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5.xml" ContentType="application/vnd.openxmlformats-officedocument.drawing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6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k\Desktop\MSc_Project\ClonedRepos\FinBERT_TFT\"/>
    </mc:Choice>
  </mc:AlternateContent>
  <xr:revisionPtr revIDLastSave="0" documentId="13_ncr:1_{55011DD0-504F-418F-A8C9-47AA33517CC2}" xr6:coauthVersionLast="47" xr6:coauthVersionMax="47" xr10:uidLastSave="{00000000-0000-0000-0000-000000000000}"/>
  <bookViews>
    <workbookView xWindow="-110" yWindow="-110" windowWidth="29020" windowHeight="17620" tabRatio="788" firstSheet="1" activeTab="1" xr2:uid="{43C1B883-4EFE-4C13-9C49-A16FFDF0F8A2}"/>
  </bookViews>
  <sheets>
    <sheet name="OVERVIEW - apx1 apx2" sheetId="1" r:id="rId1"/>
    <sheet name="COMPARISON 1 - apx 3" sheetId="5" r:id="rId2"/>
    <sheet name="COMPARISON 2 - apx 4" sheetId="6" r:id="rId3"/>
    <sheet name="COMPARISON 3 - apx 5" sheetId="8" r:id="rId4"/>
    <sheet name="COMPARISON 4 - apx 6" sheetId="10" r:id="rId5"/>
    <sheet name="COMPARISON 5 - apx 7" sheetId="13" r:id="rId6"/>
    <sheet name="Feature Map" sheetId="9" r:id="rId7"/>
    <sheet name="experiment 1 - LSTM" sheetId="3" r:id="rId8"/>
    <sheet name="known vs unknown" sheetId="11" r:id="rId9"/>
    <sheet name="expanding window" sheetId="14" r:id="rId10"/>
    <sheet name="Sheet2" sheetId="12" r:id="rId11"/>
  </sheets>
  <definedNames>
    <definedName name="ExternalData_1" localSheetId="7" hidden="1">'experiment 1 - LSTM'!$A$1:$N$253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N40" i="6" l="1"/>
  <c r="N41" i="6"/>
  <c r="N42" i="6"/>
  <c r="N43" i="6"/>
  <c r="N39" i="6"/>
  <c r="M40" i="6"/>
  <c r="M41" i="6"/>
  <c r="M42" i="6"/>
  <c r="M43" i="6"/>
  <c r="M39" i="6"/>
  <c r="L40" i="6"/>
  <c r="L41" i="6"/>
  <c r="L42" i="6"/>
  <c r="L43" i="6"/>
  <c r="L39" i="6"/>
  <c r="K40" i="6"/>
  <c r="K41" i="6"/>
  <c r="K42" i="6"/>
  <c r="K43" i="6"/>
  <c r="K39" i="6"/>
  <c r="N34" i="6"/>
  <c r="N35" i="6"/>
  <c r="N36" i="6"/>
  <c r="N37" i="6"/>
  <c r="N33" i="6"/>
  <c r="M34" i="6"/>
  <c r="M35" i="6"/>
  <c r="M36" i="6"/>
  <c r="M37" i="6"/>
  <c r="M33" i="6"/>
  <c r="L34" i="6"/>
  <c r="L35" i="6"/>
  <c r="L36" i="6"/>
  <c r="L37" i="6"/>
  <c r="L33" i="6"/>
  <c r="K34" i="6"/>
  <c r="K35" i="6"/>
  <c r="K36" i="6"/>
  <c r="K37" i="6"/>
  <c r="K33" i="6"/>
  <c r="E35" i="6"/>
  <c r="E36" i="6"/>
  <c r="E37" i="6" s="1"/>
  <c r="E34" i="6"/>
  <c r="E33" i="6"/>
  <c r="E40" i="6"/>
  <c r="E41" i="6"/>
  <c r="E42" i="6"/>
  <c r="E43" i="6"/>
  <c r="E39" i="6"/>
  <c r="I24" i="10"/>
  <c r="I25" i="10"/>
  <c r="I33" i="10"/>
  <c r="I27" i="10"/>
  <c r="I28" i="10"/>
  <c r="H7" i="1"/>
  <c r="H6" i="1"/>
  <c r="H5" i="1"/>
  <c r="H57" i="13"/>
  <c r="H82" i="13"/>
  <c r="H80" i="13"/>
  <c r="G79" i="13"/>
  <c r="I28" i="13"/>
  <c r="J37" i="13"/>
  <c r="G36" i="13"/>
  <c r="F36" i="13"/>
  <c r="E36" i="13"/>
  <c r="J31" i="13"/>
  <c r="J32" i="13" s="1"/>
  <c r="J33" i="13" s="1"/>
  <c r="J34" i="13" s="1"/>
  <c r="J35" i="13" s="1"/>
  <c r="I71" i="13"/>
  <c r="H71" i="13"/>
  <c r="G71" i="13"/>
  <c r="F71" i="13"/>
  <c r="E71" i="13"/>
  <c r="I70" i="13"/>
  <c r="H70" i="13"/>
  <c r="G70" i="13"/>
  <c r="F70" i="13"/>
  <c r="E70" i="13"/>
  <c r="I69" i="13"/>
  <c r="H69" i="13"/>
  <c r="G69" i="13"/>
  <c r="F69" i="13"/>
  <c r="E69" i="13"/>
  <c r="I68" i="13"/>
  <c r="H68" i="13"/>
  <c r="G68" i="13"/>
  <c r="F68" i="13"/>
  <c r="E68" i="13"/>
  <c r="I67" i="13"/>
  <c r="I61" i="13" s="1"/>
  <c r="H67" i="13"/>
  <c r="H61" i="13" s="1"/>
  <c r="G67" i="13"/>
  <c r="G61" i="13" s="1"/>
  <c r="F67" i="13"/>
  <c r="F61" i="13" s="1"/>
  <c r="F62" i="13" s="1"/>
  <c r="F63" i="13" s="1"/>
  <c r="F64" i="13" s="1"/>
  <c r="E67" i="13"/>
  <c r="E61" i="13" s="1"/>
  <c r="I83" i="13"/>
  <c r="I82" i="13"/>
  <c r="I81" i="13"/>
  <c r="I80" i="13"/>
  <c r="I79" i="13"/>
  <c r="J58" i="13"/>
  <c r="G57" i="13"/>
  <c r="F57" i="13"/>
  <c r="E57" i="13"/>
  <c r="H83" i="13"/>
  <c r="H81" i="13"/>
  <c r="J51" i="13"/>
  <c r="G50" i="13"/>
  <c r="F50" i="13"/>
  <c r="E50" i="13"/>
  <c r="I49" i="13"/>
  <c r="H49" i="13"/>
  <c r="I48" i="13"/>
  <c r="H48" i="13"/>
  <c r="I47" i="13"/>
  <c r="H47" i="13"/>
  <c r="I46" i="13"/>
  <c r="H46" i="13"/>
  <c r="I45" i="13"/>
  <c r="J45" i="13" s="1"/>
  <c r="H45" i="13"/>
  <c r="J44" i="13"/>
  <c r="G43" i="13"/>
  <c r="F43" i="13"/>
  <c r="E43" i="13"/>
  <c r="G83" i="13"/>
  <c r="G82" i="13"/>
  <c r="G81" i="13"/>
  <c r="G80" i="13"/>
  <c r="J38" i="13"/>
  <c r="J30" i="13"/>
  <c r="G29" i="13"/>
  <c r="F29" i="13"/>
  <c r="E29" i="13"/>
  <c r="H28" i="13"/>
  <c r="F83" i="13" s="1"/>
  <c r="I27" i="13"/>
  <c r="H27" i="13"/>
  <c r="F82" i="13" s="1"/>
  <c r="I26" i="13"/>
  <c r="H26" i="13"/>
  <c r="F81" i="13" s="1"/>
  <c r="I25" i="13"/>
  <c r="H25" i="13"/>
  <c r="F80" i="13" s="1"/>
  <c r="I24" i="13"/>
  <c r="J24" i="13" s="1"/>
  <c r="H24" i="13"/>
  <c r="J23" i="13"/>
  <c r="G22" i="13"/>
  <c r="F22" i="13"/>
  <c r="E22" i="13"/>
  <c r="I21" i="13"/>
  <c r="H21" i="13"/>
  <c r="E83" i="13" s="1"/>
  <c r="I20" i="13"/>
  <c r="H20" i="13"/>
  <c r="E82" i="13" s="1"/>
  <c r="I19" i="13"/>
  <c r="H19" i="13"/>
  <c r="E81" i="13" s="1"/>
  <c r="I18" i="13"/>
  <c r="H18" i="13"/>
  <c r="E80" i="13" s="1"/>
  <c r="I17" i="13"/>
  <c r="J17" i="13" s="1"/>
  <c r="H17" i="13"/>
  <c r="E79" i="13" s="1"/>
  <c r="J16" i="13"/>
  <c r="G15" i="13"/>
  <c r="F15" i="13"/>
  <c r="E15" i="13"/>
  <c r="I14" i="13"/>
  <c r="H14" i="13"/>
  <c r="I13" i="13"/>
  <c r="H13" i="13"/>
  <c r="I12" i="13"/>
  <c r="H12" i="13"/>
  <c r="I11" i="13"/>
  <c r="H11" i="13"/>
  <c r="I10" i="13"/>
  <c r="J10" i="13" s="1"/>
  <c r="J11" i="13" s="1"/>
  <c r="J12" i="13" s="1"/>
  <c r="H10" i="13"/>
  <c r="J9" i="13"/>
  <c r="G8" i="13"/>
  <c r="F8" i="13"/>
  <c r="E8" i="13"/>
  <c r="I7" i="13"/>
  <c r="H7" i="13"/>
  <c r="I6" i="13"/>
  <c r="H6" i="13"/>
  <c r="I5" i="13"/>
  <c r="H5" i="13"/>
  <c r="I4" i="13"/>
  <c r="H4" i="13"/>
  <c r="I3" i="13"/>
  <c r="J3" i="13" s="1"/>
  <c r="J4" i="13" s="1"/>
  <c r="H3" i="13"/>
  <c r="C28" i="11" a="1"/>
  <c r="C28" i="11" s="1"/>
  <c r="C27" i="11" a="1"/>
  <c r="C27" i="11" s="1"/>
  <c r="C26" i="11" a="1"/>
  <c r="C26" i="11" s="1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Q128" i="1"/>
  <c r="R41" i="9"/>
  <c r="R40" i="9"/>
  <c r="J136" i="1"/>
  <c r="I56" i="10"/>
  <c r="I55" i="10"/>
  <c r="I54" i="10"/>
  <c r="I53" i="10"/>
  <c r="I52" i="10"/>
  <c r="H56" i="10"/>
  <c r="H57" i="10" s="1"/>
  <c r="H55" i="10"/>
  <c r="H54" i="10"/>
  <c r="H53" i="10"/>
  <c r="I80" i="10" s="1"/>
  <c r="H52" i="10"/>
  <c r="E68" i="10"/>
  <c r="E69" i="10"/>
  <c r="E70" i="10"/>
  <c r="E71" i="10"/>
  <c r="E67" i="10"/>
  <c r="E61" i="10" s="1"/>
  <c r="E62" i="10" s="1"/>
  <c r="F68" i="10"/>
  <c r="F69" i="10"/>
  <c r="F70" i="10"/>
  <c r="F71" i="10"/>
  <c r="F67" i="10"/>
  <c r="F61" i="10" s="1"/>
  <c r="G68" i="10"/>
  <c r="G69" i="10"/>
  <c r="G70" i="10"/>
  <c r="G71" i="10"/>
  <c r="G67" i="10"/>
  <c r="H68" i="10"/>
  <c r="H69" i="10"/>
  <c r="H70" i="10"/>
  <c r="H71" i="10"/>
  <c r="H67" i="10"/>
  <c r="H61" i="10" s="1"/>
  <c r="I68" i="10"/>
  <c r="I69" i="10"/>
  <c r="I70" i="10"/>
  <c r="I71" i="10"/>
  <c r="I67" i="10"/>
  <c r="G73" i="10"/>
  <c r="H81" i="10"/>
  <c r="I81" i="10"/>
  <c r="H82" i="10"/>
  <c r="I82" i="10"/>
  <c r="I83" i="10"/>
  <c r="I79" i="10"/>
  <c r="J58" i="10"/>
  <c r="G57" i="10"/>
  <c r="F57" i="10"/>
  <c r="E57" i="10"/>
  <c r="I49" i="10"/>
  <c r="I48" i="10"/>
  <c r="I47" i="10"/>
  <c r="I46" i="10"/>
  <c r="I45" i="10"/>
  <c r="J45" i="10" s="1"/>
  <c r="H49" i="10"/>
  <c r="H83" i="10" s="1"/>
  <c r="H48" i="10"/>
  <c r="H47" i="10"/>
  <c r="H46" i="10"/>
  <c r="H80" i="10" s="1"/>
  <c r="H45" i="10"/>
  <c r="H79" i="10" s="1"/>
  <c r="E50" i="10"/>
  <c r="F50" i="10"/>
  <c r="G50" i="10"/>
  <c r="J51" i="10"/>
  <c r="H3" i="10"/>
  <c r="I3" i="10"/>
  <c r="J3" i="10" s="1"/>
  <c r="H4" i="10"/>
  <c r="I4" i="10"/>
  <c r="H5" i="10"/>
  <c r="I5" i="10"/>
  <c r="H6" i="10"/>
  <c r="I6" i="10"/>
  <c r="H7" i="10"/>
  <c r="I7" i="10"/>
  <c r="E8" i="10"/>
  <c r="F8" i="10"/>
  <c r="G8" i="10"/>
  <c r="J9" i="10"/>
  <c r="H10" i="10"/>
  <c r="I10" i="10"/>
  <c r="J10" i="10" s="1"/>
  <c r="H11" i="10"/>
  <c r="I11" i="10"/>
  <c r="H12" i="10"/>
  <c r="I12" i="10"/>
  <c r="H13" i="10"/>
  <c r="I13" i="10"/>
  <c r="H14" i="10"/>
  <c r="I14" i="10"/>
  <c r="E15" i="10"/>
  <c r="F15" i="10"/>
  <c r="G15" i="10"/>
  <c r="J16" i="10"/>
  <c r="I61" i="10"/>
  <c r="G61" i="10"/>
  <c r="J44" i="10"/>
  <c r="G43" i="10"/>
  <c r="F43" i="10"/>
  <c r="E43" i="10"/>
  <c r="I42" i="10"/>
  <c r="H42" i="10"/>
  <c r="I41" i="10"/>
  <c r="H41" i="10"/>
  <c r="I40" i="10"/>
  <c r="H40" i="10"/>
  <c r="I39" i="10"/>
  <c r="H39" i="10"/>
  <c r="I38" i="10"/>
  <c r="J38" i="10" s="1"/>
  <c r="H38" i="10"/>
  <c r="J37" i="10"/>
  <c r="G36" i="10"/>
  <c r="F36" i="10"/>
  <c r="E36" i="10"/>
  <c r="I35" i="10"/>
  <c r="H35" i="10"/>
  <c r="G83" i="10" s="1"/>
  <c r="I34" i="10"/>
  <c r="H34" i="10"/>
  <c r="G82" i="10" s="1"/>
  <c r="H33" i="10"/>
  <c r="G81" i="10" s="1"/>
  <c r="I32" i="10"/>
  <c r="H32" i="10"/>
  <c r="G80" i="10" s="1"/>
  <c r="I31" i="10"/>
  <c r="J31" i="10" s="1"/>
  <c r="H31" i="10"/>
  <c r="G79" i="10" s="1"/>
  <c r="J30" i="10"/>
  <c r="G29" i="10"/>
  <c r="F29" i="10"/>
  <c r="E29" i="10"/>
  <c r="H28" i="10"/>
  <c r="F83" i="10" s="1"/>
  <c r="H27" i="10"/>
  <c r="F82" i="10" s="1"/>
  <c r="I26" i="10"/>
  <c r="H26" i="10"/>
  <c r="F81" i="10" s="1"/>
  <c r="H25" i="10"/>
  <c r="F80" i="10" s="1"/>
  <c r="H24" i="10"/>
  <c r="F79" i="10" s="1"/>
  <c r="J23" i="10"/>
  <c r="G22" i="10"/>
  <c r="F22" i="10"/>
  <c r="E22" i="10"/>
  <c r="I21" i="10"/>
  <c r="H21" i="10"/>
  <c r="E83" i="10" s="1"/>
  <c r="I20" i="10"/>
  <c r="H20" i="10"/>
  <c r="E82" i="10" s="1"/>
  <c r="I19" i="10"/>
  <c r="H19" i="10"/>
  <c r="E81" i="10" s="1"/>
  <c r="I18" i="10"/>
  <c r="H18" i="10"/>
  <c r="E80" i="10" s="1"/>
  <c r="I17" i="10"/>
  <c r="J17" i="10" s="1"/>
  <c r="E73" i="10" s="1"/>
  <c r="H17" i="10"/>
  <c r="E79" i="10" s="1"/>
  <c r="K74" i="8"/>
  <c r="K75" i="8"/>
  <c r="K72" i="8"/>
  <c r="I49" i="8"/>
  <c r="I48" i="8"/>
  <c r="I47" i="8"/>
  <c r="I46" i="8"/>
  <c r="I45" i="8"/>
  <c r="H49" i="8"/>
  <c r="K76" i="8" s="1"/>
  <c r="H48" i="8"/>
  <c r="H47" i="8"/>
  <c r="H46" i="8"/>
  <c r="K73" i="8" s="1"/>
  <c r="H45" i="8"/>
  <c r="K61" i="8"/>
  <c r="K62" i="8"/>
  <c r="K63" i="8"/>
  <c r="K64" i="8"/>
  <c r="K60" i="8"/>
  <c r="K54" i="8" s="1"/>
  <c r="I75" i="8"/>
  <c r="J61" i="8"/>
  <c r="J62" i="8"/>
  <c r="J63" i="8"/>
  <c r="J64" i="8"/>
  <c r="J60" i="8"/>
  <c r="J54" i="8" s="1"/>
  <c r="I61" i="8"/>
  <c r="I62" i="8"/>
  <c r="I63" i="8"/>
  <c r="I64" i="8"/>
  <c r="I60" i="8"/>
  <c r="I54" i="8" s="1"/>
  <c r="I42" i="8"/>
  <c r="I41" i="8"/>
  <c r="I40" i="8"/>
  <c r="I39" i="8"/>
  <c r="I38" i="8"/>
  <c r="H42" i="8"/>
  <c r="J76" i="8" s="1"/>
  <c r="H41" i="8"/>
  <c r="J75" i="8" s="1"/>
  <c r="H40" i="8"/>
  <c r="H39" i="8"/>
  <c r="J73" i="8" s="1"/>
  <c r="H38" i="8"/>
  <c r="J72" i="8" s="1"/>
  <c r="I35" i="8"/>
  <c r="I34" i="8"/>
  <c r="I33" i="8"/>
  <c r="I32" i="8"/>
  <c r="I31" i="8"/>
  <c r="J31" i="8" s="1"/>
  <c r="I66" i="8" s="1"/>
  <c r="H35" i="8"/>
  <c r="I76" i="8" s="1"/>
  <c r="H34" i="8"/>
  <c r="H33" i="8"/>
  <c r="I74" i="8" s="1"/>
  <c r="H32" i="8"/>
  <c r="I73" i="8" s="1"/>
  <c r="H31" i="8"/>
  <c r="J44" i="8"/>
  <c r="G43" i="8"/>
  <c r="F43" i="8"/>
  <c r="E43" i="8"/>
  <c r="J37" i="8"/>
  <c r="G36" i="8"/>
  <c r="F36" i="8"/>
  <c r="E36" i="8"/>
  <c r="I28" i="8"/>
  <c r="I27" i="8"/>
  <c r="I26" i="8"/>
  <c r="I25" i="8"/>
  <c r="I24" i="8"/>
  <c r="J24" i="8" s="1"/>
  <c r="H66" i="8" s="1"/>
  <c r="H28" i="8"/>
  <c r="H76" i="8" s="1"/>
  <c r="H27" i="8"/>
  <c r="H75" i="8" s="1"/>
  <c r="H26" i="8"/>
  <c r="H74" i="8" s="1"/>
  <c r="H25" i="8"/>
  <c r="H73" i="8" s="1"/>
  <c r="H24" i="8"/>
  <c r="H72" i="8" s="1"/>
  <c r="H61" i="8"/>
  <c r="H62" i="8"/>
  <c r="H63" i="8"/>
  <c r="H64" i="8"/>
  <c r="H60" i="8"/>
  <c r="H54" i="8" s="1"/>
  <c r="G61" i="8"/>
  <c r="G62" i="8"/>
  <c r="G63" i="8"/>
  <c r="G64" i="8"/>
  <c r="G60" i="8"/>
  <c r="G54" i="8" s="1"/>
  <c r="F61" i="8"/>
  <c r="F62" i="8"/>
  <c r="F63" i="8"/>
  <c r="F64" i="8"/>
  <c r="F60" i="8"/>
  <c r="F54" i="8" s="1"/>
  <c r="E61" i="8"/>
  <c r="E62" i="8"/>
  <c r="E63" i="8"/>
  <c r="E64" i="8"/>
  <c r="E60" i="8"/>
  <c r="E54" i="8" s="1"/>
  <c r="I21" i="8"/>
  <c r="I20" i="8"/>
  <c r="I19" i="8"/>
  <c r="I18" i="8"/>
  <c r="I17" i="8"/>
  <c r="I22" i="8" s="1"/>
  <c r="H21" i="8"/>
  <c r="G76" i="8" s="1"/>
  <c r="H20" i="8"/>
  <c r="G75" i="8" s="1"/>
  <c r="H19" i="8"/>
  <c r="G74" i="8" s="1"/>
  <c r="H18" i="8"/>
  <c r="G73" i="8" s="1"/>
  <c r="H17" i="8"/>
  <c r="G72" i="8" s="1"/>
  <c r="J23" i="8"/>
  <c r="G22" i="8"/>
  <c r="F22" i="8"/>
  <c r="E22" i="8"/>
  <c r="J51" i="8"/>
  <c r="G50" i="8"/>
  <c r="F50" i="8"/>
  <c r="E50" i="8"/>
  <c r="J45" i="8"/>
  <c r="J46" i="8" s="1"/>
  <c r="J30" i="8"/>
  <c r="G29" i="8"/>
  <c r="F29" i="8"/>
  <c r="E29" i="8"/>
  <c r="J16" i="8"/>
  <c r="G15" i="8"/>
  <c r="F15" i="8"/>
  <c r="E15" i="8"/>
  <c r="I14" i="8"/>
  <c r="H14" i="8"/>
  <c r="F76" i="8" s="1"/>
  <c r="I13" i="8"/>
  <c r="H13" i="8"/>
  <c r="F75" i="8" s="1"/>
  <c r="I12" i="8"/>
  <c r="H12" i="8"/>
  <c r="F74" i="8" s="1"/>
  <c r="I11" i="8"/>
  <c r="H11" i="8"/>
  <c r="F73" i="8" s="1"/>
  <c r="I10" i="8"/>
  <c r="J10" i="8" s="1"/>
  <c r="F66" i="8" s="1"/>
  <c r="H10" i="8"/>
  <c r="F72" i="8" s="1"/>
  <c r="J9" i="8"/>
  <c r="G8" i="8"/>
  <c r="F8" i="8"/>
  <c r="E8" i="8"/>
  <c r="I7" i="8"/>
  <c r="H7" i="8"/>
  <c r="E76" i="8" s="1"/>
  <c r="I6" i="8"/>
  <c r="H6" i="8"/>
  <c r="E75" i="8" s="1"/>
  <c r="I5" i="8"/>
  <c r="H5" i="8"/>
  <c r="E74" i="8" s="1"/>
  <c r="I4" i="8"/>
  <c r="H4" i="8"/>
  <c r="E73" i="8" s="1"/>
  <c r="I3" i="8"/>
  <c r="J3" i="8" s="1"/>
  <c r="E66" i="8" s="1"/>
  <c r="H3" i="8"/>
  <c r="E72" i="8" s="1"/>
  <c r="J30" i="6"/>
  <c r="G29" i="6"/>
  <c r="F29" i="6"/>
  <c r="E29" i="6"/>
  <c r="I28" i="6"/>
  <c r="H28" i="6"/>
  <c r="I27" i="6"/>
  <c r="H27" i="6"/>
  <c r="I26" i="6"/>
  <c r="H26" i="6"/>
  <c r="I25" i="6"/>
  <c r="H25" i="6"/>
  <c r="I24" i="6"/>
  <c r="J24" i="6" s="1"/>
  <c r="H24" i="6"/>
  <c r="I141" i="1"/>
  <c r="I140" i="1"/>
  <c r="I139" i="1"/>
  <c r="I138" i="1"/>
  <c r="I137" i="1"/>
  <c r="H141" i="1"/>
  <c r="H140" i="1"/>
  <c r="H139" i="1"/>
  <c r="H138" i="1"/>
  <c r="H137" i="1"/>
  <c r="I78" i="1"/>
  <c r="I77" i="1"/>
  <c r="I76" i="1"/>
  <c r="I75" i="1"/>
  <c r="I74" i="1"/>
  <c r="H78" i="1"/>
  <c r="H77" i="1"/>
  <c r="H76" i="1"/>
  <c r="H75" i="1"/>
  <c r="H74" i="1"/>
  <c r="I7" i="6"/>
  <c r="I6" i="6"/>
  <c r="I5" i="6"/>
  <c r="I4" i="6"/>
  <c r="I3" i="6"/>
  <c r="J3" i="6" s="1"/>
  <c r="H7" i="6"/>
  <c r="H6" i="6"/>
  <c r="H5" i="6"/>
  <c r="H4" i="6"/>
  <c r="H3" i="6"/>
  <c r="H40" i="6"/>
  <c r="H41" i="6"/>
  <c r="H42" i="6"/>
  <c r="H43" i="6"/>
  <c r="H39" i="6"/>
  <c r="H33" i="6" s="1"/>
  <c r="I33" i="6"/>
  <c r="I34" i="6" s="1"/>
  <c r="I35" i="6" s="1"/>
  <c r="I36" i="6" s="1"/>
  <c r="I37" i="6" s="1"/>
  <c r="G33" i="6"/>
  <c r="G34" i="6" s="1"/>
  <c r="G35" i="6" s="1"/>
  <c r="G36" i="6" s="1"/>
  <c r="G37" i="6" s="1"/>
  <c r="F33" i="6"/>
  <c r="F34" i="6" s="1"/>
  <c r="F35" i="6" s="1"/>
  <c r="F36" i="6" s="1"/>
  <c r="F37" i="6" s="1"/>
  <c r="J23" i="6"/>
  <c r="G22" i="6"/>
  <c r="F22" i="6"/>
  <c r="E22" i="6"/>
  <c r="I21" i="6"/>
  <c r="H21" i="6"/>
  <c r="I20" i="6"/>
  <c r="H20" i="6"/>
  <c r="I19" i="6"/>
  <c r="H19" i="6"/>
  <c r="I18" i="6"/>
  <c r="H18" i="6"/>
  <c r="I17" i="6"/>
  <c r="J17" i="6" s="1"/>
  <c r="H17" i="6"/>
  <c r="I134" i="1"/>
  <c r="I133" i="1"/>
  <c r="I132" i="1"/>
  <c r="I131" i="1"/>
  <c r="I130" i="1"/>
  <c r="J130" i="1" s="1"/>
  <c r="H134" i="1"/>
  <c r="H133" i="1"/>
  <c r="H132" i="1"/>
  <c r="H131" i="1"/>
  <c r="H130" i="1"/>
  <c r="J143" i="1"/>
  <c r="G142" i="1"/>
  <c r="F142" i="1"/>
  <c r="E142" i="1"/>
  <c r="G135" i="1"/>
  <c r="F135" i="1"/>
  <c r="E135" i="1"/>
  <c r="J9" i="6"/>
  <c r="G8" i="6"/>
  <c r="F8" i="6"/>
  <c r="E8" i="6"/>
  <c r="J16" i="6"/>
  <c r="G15" i="6"/>
  <c r="F15" i="6"/>
  <c r="E15" i="6"/>
  <c r="I14" i="6"/>
  <c r="H14" i="6"/>
  <c r="I13" i="6"/>
  <c r="H13" i="6"/>
  <c r="I12" i="6"/>
  <c r="H12" i="6"/>
  <c r="I11" i="6"/>
  <c r="H11" i="6"/>
  <c r="I10" i="6"/>
  <c r="H10" i="6"/>
  <c r="J37" i="5"/>
  <c r="G36" i="5"/>
  <c r="F36" i="5"/>
  <c r="E36" i="5"/>
  <c r="I35" i="5"/>
  <c r="H35" i="5"/>
  <c r="I34" i="5"/>
  <c r="H34" i="5"/>
  <c r="I33" i="5"/>
  <c r="H33" i="5"/>
  <c r="I32" i="5"/>
  <c r="H32" i="5"/>
  <c r="I31" i="5"/>
  <c r="J31" i="5" s="1"/>
  <c r="H31" i="5"/>
  <c r="J30" i="5"/>
  <c r="G29" i="5"/>
  <c r="F29" i="5"/>
  <c r="E29" i="5"/>
  <c r="I28" i="5"/>
  <c r="H28" i="5"/>
  <c r="I27" i="5"/>
  <c r="H27" i="5"/>
  <c r="I26" i="5"/>
  <c r="H26" i="5"/>
  <c r="I25" i="5"/>
  <c r="H25" i="5"/>
  <c r="I24" i="5"/>
  <c r="H24" i="5"/>
  <c r="J23" i="5"/>
  <c r="G22" i="5"/>
  <c r="F22" i="5"/>
  <c r="E22" i="5"/>
  <c r="I21" i="5"/>
  <c r="H21" i="5"/>
  <c r="I20" i="5"/>
  <c r="I19" i="5"/>
  <c r="H19" i="5"/>
  <c r="I18" i="5"/>
  <c r="H18" i="5"/>
  <c r="I17" i="5"/>
  <c r="H17" i="5"/>
  <c r="J16" i="5"/>
  <c r="G15" i="5"/>
  <c r="F15" i="5"/>
  <c r="E15" i="5"/>
  <c r="I14" i="5"/>
  <c r="H14" i="5"/>
  <c r="I13" i="5"/>
  <c r="H13" i="5"/>
  <c r="I12" i="5"/>
  <c r="H12" i="5"/>
  <c r="I11" i="5"/>
  <c r="H11" i="5"/>
  <c r="I10" i="5"/>
  <c r="H10" i="5"/>
  <c r="J9" i="5"/>
  <c r="G8" i="5"/>
  <c r="F8" i="5"/>
  <c r="E8" i="5"/>
  <c r="I7" i="5"/>
  <c r="H7" i="5"/>
  <c r="I6" i="5"/>
  <c r="H6" i="5"/>
  <c r="I5" i="5"/>
  <c r="H5" i="5"/>
  <c r="I4" i="5"/>
  <c r="H4" i="5"/>
  <c r="I3" i="5"/>
  <c r="H3" i="5"/>
  <c r="J122" i="1"/>
  <c r="G121" i="1"/>
  <c r="F121" i="1"/>
  <c r="E121" i="1"/>
  <c r="J115" i="1"/>
  <c r="G114" i="1"/>
  <c r="F114" i="1"/>
  <c r="E114" i="1"/>
  <c r="J108" i="1"/>
  <c r="G107" i="1"/>
  <c r="F107" i="1"/>
  <c r="E107" i="1"/>
  <c r="J129" i="1"/>
  <c r="G128" i="1"/>
  <c r="F128" i="1"/>
  <c r="E128" i="1"/>
  <c r="J101" i="1"/>
  <c r="G100" i="1"/>
  <c r="F100" i="1"/>
  <c r="E100" i="1"/>
  <c r="J94" i="1"/>
  <c r="G93" i="1"/>
  <c r="F93" i="1"/>
  <c r="E93" i="1"/>
  <c r="J87" i="1"/>
  <c r="G86" i="1"/>
  <c r="F86" i="1"/>
  <c r="E86" i="1"/>
  <c r="J80" i="1"/>
  <c r="G79" i="1"/>
  <c r="F79" i="1"/>
  <c r="E79" i="1"/>
  <c r="J73" i="1"/>
  <c r="G72" i="1"/>
  <c r="F72" i="1"/>
  <c r="E72" i="1"/>
  <c r="J9" i="1"/>
  <c r="G8" i="1"/>
  <c r="F8" i="1"/>
  <c r="E8" i="1"/>
  <c r="J16" i="1"/>
  <c r="G15" i="1"/>
  <c r="F15" i="1"/>
  <c r="E15" i="1"/>
  <c r="J23" i="1"/>
  <c r="G22" i="1"/>
  <c r="F22" i="1"/>
  <c r="E22" i="1"/>
  <c r="J37" i="1"/>
  <c r="G36" i="1"/>
  <c r="F36" i="1"/>
  <c r="E36" i="1"/>
  <c r="J44" i="1"/>
  <c r="G43" i="1"/>
  <c r="F43" i="1"/>
  <c r="E43" i="1"/>
  <c r="J30" i="1"/>
  <c r="H40" i="5"/>
  <c r="H41" i="5" s="1"/>
  <c r="H42" i="5" s="1"/>
  <c r="H43" i="5" s="1"/>
  <c r="H44" i="5" s="1"/>
  <c r="I127" i="1"/>
  <c r="I126" i="1"/>
  <c r="I125" i="1"/>
  <c r="I124" i="1"/>
  <c r="I123" i="1"/>
  <c r="H127" i="1"/>
  <c r="H126" i="1"/>
  <c r="H125" i="1"/>
  <c r="H124" i="1"/>
  <c r="H123" i="1"/>
  <c r="F41" i="5"/>
  <c r="F42" i="5" s="1"/>
  <c r="F43" i="5" s="1"/>
  <c r="F44" i="5" s="1"/>
  <c r="G41" i="5"/>
  <c r="G42" i="5" s="1"/>
  <c r="G43" i="5" s="1"/>
  <c r="G44" i="5" s="1"/>
  <c r="I41" i="5"/>
  <c r="I42" i="5" s="1"/>
  <c r="I43" i="5" s="1"/>
  <c r="I44" i="5" s="1"/>
  <c r="E41" i="5"/>
  <c r="E42" i="5" s="1"/>
  <c r="E43" i="5" s="1"/>
  <c r="E44" i="5" s="1"/>
  <c r="I120" i="1"/>
  <c r="I119" i="1"/>
  <c r="I118" i="1"/>
  <c r="I117" i="1"/>
  <c r="I116" i="1"/>
  <c r="H120" i="1"/>
  <c r="H119" i="1"/>
  <c r="H118" i="1"/>
  <c r="H117" i="1"/>
  <c r="H116" i="1"/>
  <c r="I113" i="1"/>
  <c r="I112" i="1"/>
  <c r="I111" i="1"/>
  <c r="I110" i="1"/>
  <c r="I109" i="1"/>
  <c r="H113" i="1"/>
  <c r="H112" i="1"/>
  <c r="H111" i="1"/>
  <c r="H110" i="1"/>
  <c r="H109" i="1"/>
  <c r="I106" i="1"/>
  <c r="I105" i="1"/>
  <c r="I104" i="1"/>
  <c r="I103" i="1"/>
  <c r="I102" i="1"/>
  <c r="H106" i="1"/>
  <c r="H105" i="1"/>
  <c r="H104" i="1"/>
  <c r="H103" i="1"/>
  <c r="H102" i="1"/>
  <c r="I99" i="1"/>
  <c r="I98" i="1"/>
  <c r="I97" i="1"/>
  <c r="I96" i="1"/>
  <c r="I95" i="1"/>
  <c r="H99" i="1"/>
  <c r="H98" i="1"/>
  <c r="H97" i="1"/>
  <c r="H96" i="1"/>
  <c r="H95" i="1"/>
  <c r="J102" i="1"/>
  <c r="G29" i="1"/>
  <c r="F29" i="1"/>
  <c r="E29" i="1"/>
  <c r="H71" i="1"/>
  <c r="H70" i="1"/>
  <c r="H69" i="1"/>
  <c r="H68" i="1"/>
  <c r="H67" i="1"/>
  <c r="H92" i="1"/>
  <c r="H90" i="1"/>
  <c r="H89" i="1"/>
  <c r="H88" i="1"/>
  <c r="I92" i="1"/>
  <c r="I91" i="1"/>
  <c r="I90" i="1"/>
  <c r="I89" i="1"/>
  <c r="I88" i="1"/>
  <c r="J88" i="1" s="1"/>
  <c r="I85" i="1"/>
  <c r="I84" i="1"/>
  <c r="I83" i="1"/>
  <c r="I82" i="1"/>
  <c r="I81" i="1"/>
  <c r="J81" i="1" s="1"/>
  <c r="H85" i="1"/>
  <c r="H84" i="1"/>
  <c r="H83" i="1"/>
  <c r="H82" i="1"/>
  <c r="H81" i="1"/>
  <c r="I71" i="1"/>
  <c r="I70" i="1"/>
  <c r="I69" i="1"/>
  <c r="I68" i="1"/>
  <c r="I67" i="1"/>
  <c r="J67" i="1" s="1"/>
  <c r="H42" i="1"/>
  <c r="H41" i="1"/>
  <c r="H40" i="1"/>
  <c r="H39" i="1"/>
  <c r="H38" i="1"/>
  <c r="H35" i="1"/>
  <c r="H34" i="1"/>
  <c r="H33" i="1"/>
  <c r="H32" i="1"/>
  <c r="H31" i="1"/>
  <c r="H28" i="1"/>
  <c r="H27" i="1"/>
  <c r="H26" i="1"/>
  <c r="H25" i="1"/>
  <c r="H24" i="1"/>
  <c r="H21" i="1"/>
  <c r="H20" i="1"/>
  <c r="H19" i="1"/>
  <c r="H18" i="1"/>
  <c r="H17" i="1"/>
  <c r="H14" i="1"/>
  <c r="H13" i="1"/>
  <c r="H12" i="1"/>
  <c r="H11" i="1"/>
  <c r="H10" i="1"/>
  <c r="H4" i="1"/>
  <c r="H3" i="1"/>
  <c r="I42" i="1"/>
  <c r="I41" i="1"/>
  <c r="I40" i="1"/>
  <c r="I39" i="1"/>
  <c r="I38" i="1"/>
  <c r="I35" i="1"/>
  <c r="I34" i="1"/>
  <c r="I33" i="1"/>
  <c r="I32" i="1"/>
  <c r="I31" i="1"/>
  <c r="J31" i="1" s="1"/>
  <c r="I28" i="1"/>
  <c r="I27" i="1"/>
  <c r="I26" i="1"/>
  <c r="I25" i="1"/>
  <c r="I24" i="1"/>
  <c r="J24" i="1" s="1"/>
  <c r="I21" i="1"/>
  <c r="I20" i="1"/>
  <c r="I19" i="1"/>
  <c r="I18" i="1"/>
  <c r="I17" i="1"/>
  <c r="J17" i="1" s="1"/>
  <c r="I14" i="1"/>
  <c r="I13" i="1"/>
  <c r="I12" i="1"/>
  <c r="I11" i="1"/>
  <c r="I10" i="1"/>
  <c r="J10" i="1" s="1"/>
  <c r="I6" i="1"/>
  <c r="I5" i="1"/>
  <c r="I4" i="1"/>
  <c r="I3" i="1"/>
  <c r="J3" i="1" s="1"/>
  <c r="G2" i="3"/>
  <c r="G3" i="3" s="1"/>
  <c r="G4" i="3" s="1"/>
  <c r="G5" i="3" s="1"/>
  <c r="G6" i="3" s="1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J46" i="10" l="1"/>
  <c r="H74" i="10" s="1"/>
  <c r="H73" i="10"/>
  <c r="F65" i="13"/>
  <c r="J32" i="5"/>
  <c r="J33" i="5" s="1"/>
  <c r="J34" i="5" s="1"/>
  <c r="J35" i="5" s="1"/>
  <c r="H22" i="6"/>
  <c r="J13" i="13"/>
  <c r="J14" i="13" s="1"/>
  <c r="H43" i="8"/>
  <c r="J5" i="13"/>
  <c r="J6" i="13" s="1"/>
  <c r="J7" i="13" s="1"/>
  <c r="J131" i="1"/>
  <c r="J132" i="1" s="1"/>
  <c r="I15" i="6"/>
  <c r="H36" i="8"/>
  <c r="K55" i="8"/>
  <c r="H50" i="8"/>
  <c r="E62" i="13"/>
  <c r="E63" i="13" s="1"/>
  <c r="E64" i="13" s="1"/>
  <c r="E65" i="13" s="1"/>
  <c r="H36" i="13"/>
  <c r="I36" i="13"/>
  <c r="I57" i="13"/>
  <c r="I29" i="13"/>
  <c r="I43" i="13"/>
  <c r="H15" i="13"/>
  <c r="H43" i="13"/>
  <c r="J46" i="13"/>
  <c r="J47" i="13" s="1"/>
  <c r="J48" i="13" s="1"/>
  <c r="J49" i="13" s="1"/>
  <c r="G62" i="13"/>
  <c r="G63" i="13" s="1"/>
  <c r="G64" i="13" s="1"/>
  <c r="G65" i="13" s="1"/>
  <c r="H29" i="13"/>
  <c r="H50" i="13"/>
  <c r="I8" i="13"/>
  <c r="I62" i="13"/>
  <c r="I63" i="13" s="1"/>
  <c r="I64" i="13" s="1"/>
  <c r="I65" i="13" s="1"/>
  <c r="I15" i="13"/>
  <c r="H8" i="13"/>
  <c r="I22" i="13"/>
  <c r="H62" i="13"/>
  <c r="H63" i="13" s="1"/>
  <c r="H64" i="13" s="1"/>
  <c r="H65" i="13" s="1"/>
  <c r="J39" i="13"/>
  <c r="G73" i="13"/>
  <c r="F73" i="13"/>
  <c r="J25" i="13"/>
  <c r="E73" i="13"/>
  <c r="J18" i="13"/>
  <c r="I74" i="13"/>
  <c r="H22" i="13"/>
  <c r="I50" i="13"/>
  <c r="F79" i="13"/>
  <c r="I73" i="13"/>
  <c r="H79" i="13"/>
  <c r="J52" i="13"/>
  <c r="P40" i="9"/>
  <c r="P41" i="9"/>
  <c r="H8" i="1"/>
  <c r="J89" i="1"/>
  <c r="J90" i="1" s="1"/>
  <c r="J91" i="1" s="1"/>
  <c r="J92" i="1" s="1"/>
  <c r="H135" i="1"/>
  <c r="H43" i="1"/>
  <c r="H79" i="1"/>
  <c r="I57" i="10"/>
  <c r="H62" i="10"/>
  <c r="H63" i="10" s="1"/>
  <c r="H64" i="10" s="1"/>
  <c r="H65" i="10" s="1"/>
  <c r="I50" i="10"/>
  <c r="J52" i="10"/>
  <c r="H50" i="10"/>
  <c r="J47" i="10"/>
  <c r="I62" i="10"/>
  <c r="I63" i="10" s="1"/>
  <c r="I64" i="10" s="1"/>
  <c r="I65" i="10" s="1"/>
  <c r="J4" i="10"/>
  <c r="J5" i="10" s="1"/>
  <c r="J6" i="10" s="1"/>
  <c r="J7" i="10" s="1"/>
  <c r="I8" i="10"/>
  <c r="H15" i="10"/>
  <c r="H8" i="10"/>
  <c r="J11" i="10"/>
  <c r="J12" i="10" s="1"/>
  <c r="J13" i="10" s="1"/>
  <c r="J14" i="10" s="1"/>
  <c r="I15" i="10"/>
  <c r="H36" i="10"/>
  <c r="I29" i="10"/>
  <c r="E63" i="10"/>
  <c r="E64" i="10" s="1"/>
  <c r="E65" i="10" s="1"/>
  <c r="J24" i="10"/>
  <c r="F73" i="10" s="1"/>
  <c r="H43" i="10"/>
  <c r="F62" i="10"/>
  <c r="F63" i="10" s="1"/>
  <c r="F64" i="10" s="1"/>
  <c r="F65" i="10" s="1"/>
  <c r="I22" i="10"/>
  <c r="I43" i="10"/>
  <c r="G62" i="10"/>
  <c r="G63" i="10" s="1"/>
  <c r="G64" i="10" s="1"/>
  <c r="G65" i="10" s="1"/>
  <c r="J18" i="10"/>
  <c r="E74" i="10" s="1"/>
  <c r="J32" i="10"/>
  <c r="G74" i="10" s="1"/>
  <c r="I36" i="10"/>
  <c r="H29" i="10"/>
  <c r="H22" i="10"/>
  <c r="J39" i="10"/>
  <c r="J47" i="8"/>
  <c r="J48" i="8" s="1"/>
  <c r="J49" i="8" s="1"/>
  <c r="K70" i="8" s="1"/>
  <c r="I50" i="8"/>
  <c r="K68" i="8"/>
  <c r="K67" i="8"/>
  <c r="K69" i="8"/>
  <c r="K66" i="8"/>
  <c r="H22" i="1"/>
  <c r="H107" i="1"/>
  <c r="H128" i="1"/>
  <c r="H36" i="1"/>
  <c r="I100" i="1"/>
  <c r="J74" i="8"/>
  <c r="I107" i="1"/>
  <c r="H15" i="1"/>
  <c r="I43" i="1"/>
  <c r="H72" i="1"/>
  <c r="I22" i="6"/>
  <c r="H142" i="1"/>
  <c r="H29" i="6"/>
  <c r="K56" i="8"/>
  <c r="K57" i="8" s="1"/>
  <c r="K58" i="8" s="1"/>
  <c r="H121" i="1"/>
  <c r="H100" i="1"/>
  <c r="I114" i="1"/>
  <c r="I128" i="1"/>
  <c r="H29" i="5"/>
  <c r="I135" i="1"/>
  <c r="I29" i="6"/>
  <c r="I72" i="8"/>
  <c r="H93" i="1"/>
  <c r="I121" i="1"/>
  <c r="H86" i="1"/>
  <c r="H114" i="1"/>
  <c r="H34" i="6"/>
  <c r="H35" i="6" s="1"/>
  <c r="H36" i="6" s="1"/>
  <c r="H37" i="6" s="1"/>
  <c r="G55" i="8"/>
  <c r="G56" i="8" s="1"/>
  <c r="G57" i="8" s="1"/>
  <c r="G58" i="8" s="1"/>
  <c r="J55" i="8"/>
  <c r="J56" i="8" s="1"/>
  <c r="J57" i="8" s="1"/>
  <c r="J58" i="8" s="1"/>
  <c r="I43" i="8"/>
  <c r="I36" i="8"/>
  <c r="J32" i="8"/>
  <c r="J38" i="8"/>
  <c r="I29" i="8"/>
  <c r="E55" i="8"/>
  <c r="E56" i="8" s="1"/>
  <c r="E57" i="8" s="1"/>
  <c r="E58" i="8" s="1"/>
  <c r="F55" i="8"/>
  <c r="F56" i="8" s="1"/>
  <c r="F57" i="8" s="1"/>
  <c r="F58" i="8" s="1"/>
  <c r="I55" i="8"/>
  <c r="I56" i="8" s="1"/>
  <c r="I57" i="8" s="1"/>
  <c r="I58" i="8" s="1"/>
  <c r="H22" i="8"/>
  <c r="J25" i="8"/>
  <c r="H29" i="8"/>
  <c r="H55" i="8"/>
  <c r="H56" i="8" s="1"/>
  <c r="H57" i="8" s="1"/>
  <c r="H58" i="8" s="1"/>
  <c r="J4" i="8"/>
  <c r="E67" i="8" s="1"/>
  <c r="J17" i="8"/>
  <c r="I8" i="8"/>
  <c r="I15" i="8"/>
  <c r="J11" i="8"/>
  <c r="H8" i="8"/>
  <c r="H15" i="8"/>
  <c r="J25" i="6"/>
  <c r="I142" i="1"/>
  <c r="J137" i="1"/>
  <c r="J138" i="1" s="1"/>
  <c r="J139" i="1" s="1"/>
  <c r="J140" i="1" s="1"/>
  <c r="J141" i="1" s="1"/>
  <c r="I79" i="1"/>
  <c r="I8" i="6"/>
  <c r="J4" i="6"/>
  <c r="J5" i="6" s="1"/>
  <c r="J6" i="6" s="1"/>
  <c r="J7" i="6" s="1"/>
  <c r="H8" i="6"/>
  <c r="J18" i="6"/>
  <c r="J19" i="6" s="1"/>
  <c r="J20" i="6" s="1"/>
  <c r="J21" i="6" s="1"/>
  <c r="J133" i="1"/>
  <c r="J134" i="1" s="1"/>
  <c r="I36" i="1"/>
  <c r="I72" i="1"/>
  <c r="H22" i="5"/>
  <c r="I22" i="5"/>
  <c r="J38" i="1"/>
  <c r="J39" i="1" s="1"/>
  <c r="J40" i="1" s="1"/>
  <c r="J41" i="1" s="1"/>
  <c r="J42" i="1" s="1"/>
  <c r="I8" i="1"/>
  <c r="I93" i="1"/>
  <c r="H8" i="5"/>
  <c r="H15" i="5"/>
  <c r="I8" i="5"/>
  <c r="I15" i="5"/>
  <c r="H36" i="5"/>
  <c r="H15" i="6"/>
  <c r="I15" i="1"/>
  <c r="I86" i="1"/>
  <c r="J3" i="5"/>
  <c r="J4" i="5" s="1"/>
  <c r="J5" i="5" s="1"/>
  <c r="J6" i="5" s="1"/>
  <c r="J7" i="5" s="1"/>
  <c r="I36" i="5"/>
  <c r="I22" i="1"/>
  <c r="I29" i="5"/>
  <c r="J10" i="6"/>
  <c r="J11" i="6" s="1"/>
  <c r="J12" i="6" s="1"/>
  <c r="J13" i="6" s="1"/>
  <c r="J14" i="6" s="1"/>
  <c r="J24" i="5"/>
  <c r="J25" i="5" s="1"/>
  <c r="J26" i="5" s="1"/>
  <c r="J27" i="5" s="1"/>
  <c r="J28" i="5" s="1"/>
  <c r="J17" i="5"/>
  <c r="J18" i="5" s="1"/>
  <c r="J19" i="5" s="1"/>
  <c r="J20" i="5" s="1"/>
  <c r="J21" i="5" s="1"/>
  <c r="J10" i="5"/>
  <c r="J11" i="5" s="1"/>
  <c r="J12" i="5" s="1"/>
  <c r="J13" i="5" s="1"/>
  <c r="J14" i="5" s="1"/>
  <c r="J123" i="1"/>
  <c r="J124" i="1" s="1"/>
  <c r="J125" i="1" s="1"/>
  <c r="J126" i="1" s="1"/>
  <c r="J127" i="1" s="1"/>
  <c r="J74" i="1"/>
  <c r="J75" i="1" s="1"/>
  <c r="J76" i="1" s="1"/>
  <c r="J77" i="1" s="1"/>
  <c r="J78" i="1" s="1"/>
  <c r="J116" i="1"/>
  <c r="J117" i="1" s="1"/>
  <c r="J118" i="1" s="1"/>
  <c r="J119" i="1" s="1"/>
  <c r="J120" i="1" s="1"/>
  <c r="J11" i="1"/>
  <c r="J12" i="1" s="1"/>
  <c r="J13" i="1" s="1"/>
  <c r="J14" i="1" s="1"/>
  <c r="H29" i="1"/>
  <c r="J109" i="1"/>
  <c r="J110" i="1" s="1"/>
  <c r="J111" i="1" s="1"/>
  <c r="J112" i="1" s="1"/>
  <c r="J113" i="1" s="1"/>
  <c r="J25" i="1"/>
  <c r="J26" i="1" s="1"/>
  <c r="J27" i="1" s="1"/>
  <c r="J28" i="1" s="1"/>
  <c r="I29" i="1"/>
  <c r="J103" i="1"/>
  <c r="J104" i="1" s="1"/>
  <c r="J105" i="1" s="1"/>
  <c r="J106" i="1" s="1"/>
  <c r="J95" i="1"/>
  <c r="J96" i="1" s="1"/>
  <c r="J97" i="1" s="1"/>
  <c r="J98" i="1" s="1"/>
  <c r="J99" i="1" s="1"/>
  <c r="J82" i="1"/>
  <c r="J83" i="1" s="1"/>
  <c r="J84" i="1" s="1"/>
  <c r="J85" i="1" s="1"/>
  <c r="J68" i="1"/>
  <c r="J69" i="1" s="1"/>
  <c r="J70" i="1" s="1"/>
  <c r="J71" i="1" s="1"/>
  <c r="J32" i="1"/>
  <c r="J33" i="1" s="1"/>
  <c r="J34" i="1" s="1"/>
  <c r="J35" i="1" s="1"/>
  <c r="J18" i="1"/>
  <c r="J19" i="1" s="1"/>
  <c r="J20" i="1" s="1"/>
  <c r="J21" i="1" s="1"/>
  <c r="J4" i="1"/>
  <c r="J5" i="1" s="1"/>
  <c r="J6" i="1" s="1"/>
  <c r="J7" i="1" s="1"/>
  <c r="J48" i="10" l="1"/>
  <c r="H75" i="10"/>
  <c r="J53" i="13"/>
  <c r="H73" i="13"/>
  <c r="J19" i="13"/>
  <c r="E74" i="13"/>
  <c r="I75" i="13"/>
  <c r="J26" i="13"/>
  <c r="F74" i="13"/>
  <c r="G74" i="13"/>
  <c r="J40" i="13"/>
  <c r="J53" i="10"/>
  <c r="I73" i="10"/>
  <c r="J25" i="10"/>
  <c r="F74" i="10" s="1"/>
  <c r="J33" i="10"/>
  <c r="G75" i="10" s="1"/>
  <c r="J40" i="10"/>
  <c r="J19" i="10"/>
  <c r="E75" i="10" s="1"/>
  <c r="J33" i="8"/>
  <c r="I67" i="8"/>
  <c r="J39" i="8"/>
  <c r="J66" i="8"/>
  <c r="J18" i="8"/>
  <c r="G66" i="8"/>
  <c r="J5" i="8"/>
  <c r="J12" i="8"/>
  <c r="F67" i="8"/>
  <c r="J26" i="8"/>
  <c r="H67" i="8"/>
  <c r="J26" i="6"/>
  <c r="J49" i="10" l="1"/>
  <c r="H77" i="10" s="1"/>
  <c r="H76" i="10"/>
  <c r="I77" i="13"/>
  <c r="I76" i="13"/>
  <c r="J20" i="13"/>
  <c r="E75" i="13"/>
  <c r="H74" i="13"/>
  <c r="J54" i="13"/>
  <c r="J27" i="13"/>
  <c r="F75" i="13"/>
  <c r="J41" i="13"/>
  <c r="G75" i="13"/>
  <c r="J54" i="10"/>
  <c r="I74" i="10"/>
  <c r="J26" i="10"/>
  <c r="F75" i="10" s="1"/>
  <c r="J41" i="10"/>
  <c r="J20" i="10"/>
  <c r="E76" i="10" s="1"/>
  <c r="J34" i="10"/>
  <c r="G76" i="10" s="1"/>
  <c r="J40" i="8"/>
  <c r="J67" i="8"/>
  <c r="J34" i="8"/>
  <c r="I68" i="8"/>
  <c r="J13" i="8"/>
  <c r="F68" i="8"/>
  <c r="J6" i="8"/>
  <c r="E68" i="8"/>
  <c r="J19" i="8"/>
  <c r="G67" i="8"/>
  <c r="J27" i="8"/>
  <c r="H68" i="8"/>
  <c r="J27" i="6"/>
  <c r="J27" i="10" l="1"/>
  <c r="F76" i="10" s="1"/>
  <c r="F76" i="13"/>
  <c r="J28" i="13"/>
  <c r="F77" i="13" s="1"/>
  <c r="J55" i="13"/>
  <c r="H75" i="13"/>
  <c r="E76" i="13"/>
  <c r="J21" i="13"/>
  <c r="E77" i="13" s="1"/>
  <c r="G76" i="13"/>
  <c r="J42" i="13"/>
  <c r="G77" i="13" s="1"/>
  <c r="J55" i="10"/>
  <c r="I75" i="10"/>
  <c r="J35" i="10"/>
  <c r="G77" i="10" s="1"/>
  <c r="J21" i="10"/>
  <c r="E77" i="10" s="1"/>
  <c r="J42" i="10"/>
  <c r="J35" i="8"/>
  <c r="I70" i="8" s="1"/>
  <c r="I69" i="8"/>
  <c r="J41" i="8"/>
  <c r="J68" i="8"/>
  <c r="J20" i="8"/>
  <c r="G68" i="8"/>
  <c r="J7" i="8"/>
  <c r="E70" i="8" s="1"/>
  <c r="E69" i="8"/>
  <c r="J14" i="8"/>
  <c r="F70" i="8" s="1"/>
  <c r="F69" i="8"/>
  <c r="J28" i="8"/>
  <c r="H70" i="8" s="1"/>
  <c r="H69" i="8"/>
  <c r="J28" i="6"/>
  <c r="J28" i="10" l="1"/>
  <c r="F77" i="10" s="1"/>
  <c r="H76" i="13"/>
  <c r="J56" i="13"/>
  <c r="H77" i="13" s="1"/>
  <c r="J56" i="10"/>
  <c r="I77" i="10" s="1"/>
  <c r="I76" i="10"/>
  <c r="J42" i="8"/>
  <c r="J70" i="8" s="1"/>
  <c r="J69" i="8"/>
  <c r="J21" i="8"/>
  <c r="G70" i="8" s="1"/>
  <c r="G69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3DB248-1B01-4283-A10F-12DBBE984EA5}" keepAlive="1" name="Query - captured_returns_sw" description="Connection to the 'captured_returns_sw' query in the workbook." type="5" refreshedVersion="8" background="1" saveData="1">
    <dbPr connection="Provider=Microsoft.Mashup.OleDb.1;Data Source=$Workbook$;Location=captured_returns_sw;Extended Properties=&quot;&quot;" command="SELECT * FROM [captured_returns_sw]"/>
  </connection>
  <connection id="2" xr16:uid="{797BCD45-5BDE-4B24-9D51-F28DA8108508}" keepAlive="1" name="Query - captured_returns_sw (2)" description="Connection to the 'captured_returns_sw (2)' query in the workbook." type="5" refreshedVersion="0" background="1">
    <dbPr connection="Provider=Microsoft.Mashup.OleDb.1;Data Source=$Workbook$;Location=&quot;captured_returns_sw (2)&quot;;Extended Properties=&quot;&quot;" command="SELECT * FROM [captured_returns_sw (2)]"/>
  </connection>
  <connection id="3" xr16:uid="{41020FFE-CA67-43FA-A75F-51E518EBF88E}" keepAlive="1" name="Query - captured_returns_sw (3)" description="Connection to the 'captured_returns_sw (3)' query in the workbook." type="5" refreshedVersion="0" background="1">
    <dbPr connection="Provider=Microsoft.Mashup.OleDb.1;Data Source=$Workbook$;Location=&quot;captured_returns_sw (3)&quot;;Extended Properties=&quot;&quot;" command="SELECT * FROM [captured_returns_sw (3)]"/>
  </connection>
  <connection id="4" xr16:uid="{0A0F0A46-05EE-4E18-BBE3-51F55E5ED7E1}" keepAlive="1" name="Query - captured_returns_sw (4)" description="Connection to the 'captured_returns_sw (4)' query in the workbook." type="5" refreshedVersion="0" background="1">
    <dbPr connection="Provider=Microsoft.Mashup.OleDb.1;Data Source=$Workbook$;Location=&quot;captured_returns_sw (4)&quot;;Extended Properties=&quot;&quot;" command="SELECT * FROM [captured_returns_sw (4)]"/>
  </connection>
  <connection id="5" xr16:uid="{BC7C0C58-0104-454B-AA66-E7AD32B3C4B7}" keepAlive="1" name="Query - captured_returns_sw (5)" description="Connection to the 'captured_returns_sw (5)' query in the workbook." type="5" refreshedVersion="0" background="1">
    <dbPr connection="Provider=Microsoft.Mashup.OleDb.1;Data Source=$Workbook$;Location=&quot;captured_returns_sw (5)&quot;;Extended Properties=&quot;&quot;" command="SELECT * FROM [captured_returns_sw (5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<sst xmlns="http://schemas.openxmlformats.org/spreadsheetml/2006/main" count="2778" uniqueCount="281">
  <si>
    <t>folder name</t>
  </si>
  <si>
    <t>exp_mom_trans_LSTM_daily_lstm_cpnone_len63_notime_div_v1</t>
  </si>
  <si>
    <t>dataset settings</t>
  </si>
  <si>
    <t>Original Features from Momentum Transformer paper</t>
  </si>
  <si>
    <t>2016 - 2017</t>
  </si>
  <si>
    <t>year</t>
  </si>
  <si>
    <t>Sharpe</t>
  </si>
  <si>
    <t>exp #</t>
  </si>
  <si>
    <t>MODEL</t>
  </si>
  <si>
    <t>None</t>
  </si>
  <si>
    <t>Option 1</t>
  </si>
  <si>
    <t>2020 - 2021</t>
  </si>
  <si>
    <t>2017 - 2018</t>
  </si>
  <si>
    <t>2018 - 2019</t>
  </si>
  <si>
    <t>2019 - 2020</t>
  </si>
  <si>
    <t>Option 3</t>
  </si>
  <si>
    <t>Column1</t>
  </si>
  <si>
    <t>identifier</t>
  </si>
  <si>
    <t>time</t>
  </si>
  <si>
    <t>returns</t>
  </si>
  <si>
    <t>position</t>
  </si>
  <si>
    <t>captured_returns</t>
  </si>
  <si>
    <t>daily_vol</t>
  </si>
  <si>
    <t>captured_returns_0_5_bps</t>
  </si>
  <si>
    <t>captured_returns_1_0_bps</t>
  </si>
  <si>
    <t>captured_returns_1_5_bps</t>
  </si>
  <si>
    <t>captured_returns_2_0_bps</t>
  </si>
  <si>
    <t>captured_returns_2_5_bps</t>
  </si>
  <si>
    <t>captured_returns_3_0_bps</t>
  </si>
  <si>
    <t>CME_ES</t>
  </si>
  <si>
    <t>cum_return</t>
  </si>
  <si>
    <t>exp_mom_trans_LSTM_daily_lstm_cp21_len252_notime_div_v1</t>
  </si>
  <si>
    <t>CPD 21</t>
  </si>
  <si>
    <t>exp_mom_trans_TFT_daily_tft_cpnone_len252_notime_div_v1</t>
  </si>
  <si>
    <t>normalised returns</t>
  </si>
  <si>
    <t>sharpe ratio</t>
  </si>
  <si>
    <t>exp_mom_trans_TFT_daily_tft_cpnone_len63_notime_div_v1</t>
  </si>
  <si>
    <t>annual volatility</t>
  </si>
  <si>
    <t>annual return</t>
  </si>
  <si>
    <t>exp_mom_trans_TFT_daily_tft_cp21_len252_notime_div_v1</t>
  </si>
  <si>
    <t xml:space="preserve">Volatility Normalised Cumulative Return (%) </t>
  </si>
  <si>
    <t>Annual Return Rescaled (%)</t>
  </si>
  <si>
    <t>Annualised Sharpe Ratio vs 15% Volatility                                                                   Normalised Cumulative Annual Return</t>
  </si>
  <si>
    <t>max drawdown rescaled (%)</t>
  </si>
  <si>
    <t>A</t>
  </si>
  <si>
    <t>B</t>
  </si>
  <si>
    <t>python -m examples.run_dmn_experiment FinBERT-LSTM-63</t>
  </si>
  <si>
    <t>python -m examples.run_dmn_experiment LSTM</t>
  </si>
  <si>
    <t>EXPERIMENTS [daily_50_10_15_30_8_24_16_16_48_32_32_96_64_1_1_1_1_1_D_5]</t>
  </si>
  <si>
    <t>CPD options</t>
  </si>
  <si>
    <t>C</t>
  </si>
  <si>
    <t>python -m examples.run_dmn_experiment FinBERT-TFT-63</t>
  </si>
  <si>
    <t>exp_FinBERT_LSTM_daily_TEST_lstm_cp0_len63_notime_div_v1</t>
  </si>
  <si>
    <t>exp_FinBERT_LSTM_daily_lstm_cp0_len63_notime_div_v1</t>
  </si>
  <si>
    <t>MEAN:</t>
  </si>
  <si>
    <t>D</t>
  </si>
  <si>
    <t>python -m examples.run_dmn_experiment TFT</t>
  </si>
  <si>
    <t>python -m examples.run_dmn_experiment TFT-SHORT</t>
  </si>
  <si>
    <t>exp_FinBERT_TFT_daily_tft_cp012_len63_notime_div_v1</t>
  </si>
  <si>
    <t>exp_FinBERT_TFT_daily_tft_cp0_len63_notime_div_v1</t>
  </si>
  <si>
    <t>E</t>
  </si>
  <si>
    <t>python -m examples.run_dmn_experiment LSTM-LONG-21</t>
  </si>
  <si>
    <t>F</t>
  </si>
  <si>
    <t>exp_FinBERT_TFT_daily_tft_cp0_len252_notime_div_v1</t>
  </si>
  <si>
    <t>SETTINGS</t>
  </si>
  <si>
    <t>NEWSCAL_MODE = False,  TIME_FEATURES = False,  TEST_MODE = False</t>
  </si>
  <si>
    <t>macd_16_48_32, macd_32_96_64</t>
  </si>
  <si>
    <t>df Options</t>
  </si>
  <si>
    <t>CPD Option 1</t>
  </si>
  <si>
    <t>CPD Option 2</t>
  </si>
  <si>
    <t>CPD Option 3</t>
  </si>
  <si>
    <r>
      <rPr>
        <b/>
        <sz val="11"/>
        <color rgb="FF00B050"/>
        <rFont val="Calibri"/>
        <family val="2"/>
        <scheme val="minor"/>
      </rPr>
      <t>LSTM 63</t>
    </r>
    <r>
      <rPr>
        <b/>
        <sz val="11"/>
        <rFont val="Calibri"/>
        <family val="2"/>
        <scheme val="minor"/>
      </rPr>
      <t xml:space="preserve">  </t>
    </r>
    <r>
      <rPr>
        <sz val="11"/>
        <rFont val="Calibri"/>
        <family val="2"/>
        <scheme val="minor"/>
      </rPr>
      <t xml:space="preserve">                                                                  (trained from 2012-01-01)</t>
    </r>
  </si>
  <si>
    <r>
      <rPr>
        <b/>
        <sz val="11"/>
        <color rgb="FF00B050"/>
        <rFont val="Calibri"/>
        <family val="2"/>
        <scheme val="minor"/>
      </rPr>
      <t xml:space="preserve">LSTM 63 </t>
    </r>
    <r>
      <rPr>
        <b/>
        <sz val="11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 xml:space="preserve">                                                                  (trained from 2012-01-01)</t>
    </r>
  </si>
  <si>
    <t>Proposed Improved Feature Set</t>
  </si>
  <si>
    <t>exp_mom_trans_LSTM_daily_lstm_cpnone_len252_notime_div_v1</t>
  </si>
  <si>
    <r>
      <rPr>
        <b/>
        <sz val="11"/>
        <rFont val="Calibri"/>
        <family val="2"/>
        <scheme val="minor"/>
      </rPr>
      <t>Decoder Only</t>
    </r>
    <r>
      <rPr>
        <b/>
        <sz val="11"/>
        <color rgb="FF7030A0"/>
        <rFont val="Calibri"/>
        <family val="2"/>
        <scheme val="minor"/>
      </rPr>
      <t xml:space="preserve"> TFT 252</t>
    </r>
    <r>
      <rPr>
        <b/>
        <sz val="11"/>
        <color theme="1"/>
        <rFont val="Calibri"/>
        <family val="2"/>
        <scheme val="minor"/>
      </rPr>
      <t xml:space="preserve"> - CPD 21                          </t>
    </r>
    <r>
      <rPr>
        <sz val="11"/>
        <color theme="1"/>
        <rFont val="Calibri"/>
        <family val="2"/>
        <scheme val="minor"/>
      </rPr>
      <t xml:space="preserve"> (trained from 1997-09-09)</t>
    </r>
  </si>
  <si>
    <r>
      <rPr>
        <b/>
        <sz val="11"/>
        <color rgb="FF00B050"/>
        <rFont val="Calibri"/>
        <family val="2"/>
        <scheme val="minor"/>
      </rPr>
      <t>LSTM 252</t>
    </r>
    <r>
      <rPr>
        <b/>
        <sz val="11"/>
        <color theme="1"/>
        <rFont val="Calibri"/>
        <family val="2"/>
        <scheme val="minor"/>
      </rPr>
      <t xml:space="preserve"> - CPD 21                                                 </t>
    </r>
    <r>
      <rPr>
        <sz val="11"/>
        <color theme="1"/>
        <rFont val="Calibri"/>
        <family val="2"/>
        <scheme val="minor"/>
      </rPr>
      <t xml:space="preserve"> (trained from 1997-09-09)</t>
    </r>
  </si>
  <si>
    <r>
      <rPr>
        <b/>
        <sz val="11"/>
        <color rgb="FF00B050"/>
        <rFont val="Calibri"/>
        <family val="2"/>
        <scheme val="minor"/>
      </rPr>
      <t>LSTM 252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</t>
    </r>
    <r>
      <rPr>
        <sz val="11"/>
        <color theme="1"/>
        <rFont val="Calibri"/>
        <family val="2"/>
        <scheme val="minor"/>
      </rPr>
      <t xml:space="preserve">    (trained from 1997-09-09)</t>
    </r>
  </si>
  <si>
    <r>
      <rPr>
        <b/>
        <sz val="11"/>
        <color rgb="FF00B050"/>
        <rFont val="Calibri"/>
        <family val="2"/>
        <scheme val="minor"/>
      </rPr>
      <t>LSTM 63</t>
    </r>
    <r>
      <rPr>
        <b/>
        <sz val="11"/>
        <color theme="1"/>
        <rFont val="Calibri"/>
        <family val="2"/>
        <scheme val="minor"/>
      </rPr>
      <t xml:space="preserve">                                                                </t>
    </r>
    <r>
      <rPr>
        <sz val="11"/>
        <color theme="1"/>
        <rFont val="Calibri"/>
        <family val="2"/>
        <scheme val="minor"/>
      </rPr>
      <t xml:space="preserve">    (trained from 1997-09-09)</t>
    </r>
  </si>
  <si>
    <r>
      <rPr>
        <b/>
        <sz val="11"/>
        <rFont val="Calibri"/>
        <family val="2"/>
        <scheme val="minor"/>
      </rPr>
      <t>Decoder Only</t>
    </r>
    <r>
      <rPr>
        <b/>
        <sz val="11"/>
        <color rgb="FF7030A0"/>
        <rFont val="Calibri"/>
        <family val="2"/>
        <scheme val="minor"/>
      </rPr>
      <t xml:space="preserve"> TFT 252</t>
    </r>
    <r>
      <rPr>
        <b/>
        <sz val="11"/>
        <color theme="1"/>
        <rFont val="Calibri"/>
        <family val="2"/>
        <scheme val="minor"/>
      </rPr>
      <t xml:space="preserve">                                           </t>
    </r>
    <r>
      <rPr>
        <sz val="11"/>
        <color theme="1"/>
        <rFont val="Calibri"/>
        <family val="2"/>
        <scheme val="minor"/>
      </rPr>
      <t xml:space="preserve"> (trained from 1997-09-09)</t>
    </r>
  </si>
  <si>
    <r>
      <t xml:space="preserve">Decoder Only </t>
    </r>
    <r>
      <rPr>
        <b/>
        <sz val="11"/>
        <color rgb="FF0070C0"/>
        <rFont val="Calibri"/>
        <family val="2"/>
        <scheme val="minor"/>
      </rPr>
      <t>TFT 63</t>
    </r>
    <r>
      <rPr>
        <b/>
        <sz val="11"/>
        <color theme="1"/>
        <rFont val="Calibri"/>
        <family val="2"/>
        <scheme val="minor"/>
      </rPr>
      <t xml:space="preserve">                                            </t>
    </r>
    <r>
      <rPr>
        <sz val="11"/>
        <color theme="1"/>
        <rFont val="Calibri"/>
        <family val="2"/>
        <scheme val="minor"/>
      </rPr>
      <t xml:space="preserve">  (trained from 1997-09-09)</t>
    </r>
  </si>
  <si>
    <r>
      <t xml:space="preserve">NEWSCAL_MODE = False,  TIME_FEATURES = False,  </t>
    </r>
    <r>
      <rPr>
        <b/>
        <sz val="11"/>
        <color rgb="FFFF0000"/>
        <rFont val="Calibri"/>
        <family val="2"/>
        <scheme val="minor"/>
      </rPr>
      <t>TEST_MODE = True</t>
    </r>
  </si>
  <si>
    <r>
      <rPr>
        <b/>
        <sz val="11"/>
        <rFont val="Calibri"/>
        <family val="2"/>
        <scheme val="minor"/>
      </rPr>
      <t xml:space="preserve">[0, 1, 2] = </t>
    </r>
    <r>
      <rPr>
        <sz val="11"/>
        <rFont val="Calibri"/>
        <family val="2"/>
        <scheme val="minor"/>
      </rPr>
      <t>pos_sent, neg_sent, finbert_sent_osc, twobar_pin_1 finbert_sent_osc_day, and rsi_30</t>
    </r>
  </si>
  <si>
    <r>
      <rPr>
        <b/>
        <sz val="11"/>
        <rFont val="Calibri"/>
        <family val="2"/>
        <scheme val="minor"/>
      </rPr>
      <t>[0]</t>
    </r>
    <r>
      <rPr>
        <sz val="11"/>
        <rFont val="Calibri"/>
        <family val="2"/>
        <scheme val="minor"/>
      </rPr>
      <t xml:space="preserve"> = pos_sent, neg_sent, </t>
    </r>
  </si>
  <si>
    <r>
      <rPr>
        <b/>
        <sz val="11"/>
        <rFont val="Calibri"/>
        <family val="2"/>
        <scheme val="minor"/>
      </rPr>
      <t>[0]</t>
    </r>
    <r>
      <rPr>
        <sz val="11"/>
        <rFont val="Calibri"/>
        <family val="2"/>
        <scheme val="minor"/>
      </rPr>
      <t xml:space="preserve"> = pos_sent,  neg_sent</t>
    </r>
  </si>
  <si>
    <r>
      <rPr>
        <b/>
        <sz val="11"/>
        <rFont val="Calibri"/>
        <family val="2"/>
        <scheme val="minor"/>
      </rPr>
      <t>[2]</t>
    </r>
    <r>
      <rPr>
        <sz val="11"/>
        <rFont val="Calibri"/>
        <family val="2"/>
        <scheme val="minor"/>
      </rPr>
      <t xml:space="preserve"> = twobar_pin_1,  rsi_30</t>
    </r>
  </si>
  <si>
    <t>G</t>
  </si>
  <si>
    <r>
      <rPr>
        <b/>
        <sz val="11"/>
        <color rgb="FF00B050"/>
        <rFont val="Calibri"/>
        <family val="2"/>
        <scheme val="minor"/>
      </rPr>
      <t>LSTM 63</t>
    </r>
    <r>
      <rPr>
        <b/>
        <sz val="11"/>
        <rFont val="Calibri"/>
        <family val="2"/>
        <scheme val="minor"/>
      </rPr>
      <t xml:space="preserve">                                                                   </t>
    </r>
    <r>
      <rPr>
        <sz val="11"/>
        <rFont val="Calibri"/>
        <family val="2"/>
        <scheme val="minor"/>
      </rPr>
      <t xml:space="preserve"> (trained from 2012-01-01)</t>
    </r>
  </si>
  <si>
    <r>
      <rPr>
        <b/>
        <sz val="11"/>
        <color rgb="FF7030A0"/>
        <rFont val="Calibri"/>
        <family val="2"/>
        <scheme val="minor"/>
      </rPr>
      <t xml:space="preserve">TFT 252 </t>
    </r>
    <r>
      <rPr>
        <b/>
        <sz val="11"/>
        <rFont val="Calibri"/>
        <family val="2"/>
        <scheme val="minor"/>
      </rPr>
      <t>- CPD21</t>
    </r>
    <r>
      <rPr>
        <b/>
        <sz val="11"/>
        <color rgb="FF7030A0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 xml:space="preserve">                                                     </t>
    </r>
    <r>
      <rPr>
        <sz val="11"/>
        <rFont val="Calibri"/>
        <family val="2"/>
        <scheme val="minor"/>
      </rPr>
      <t xml:space="preserve"> (trained from 2012-01-01)</t>
    </r>
  </si>
  <si>
    <t>exp_FinBERT_LSTM_daily_lstm_cp2_len63_notime_div_v1</t>
  </si>
  <si>
    <t>H</t>
  </si>
  <si>
    <t>exp_FinBERT_LSTM_daily_lstm_cp1_len63_notime_div_v1</t>
  </si>
  <si>
    <t>I</t>
  </si>
  <si>
    <t>max drawdown Rescaled (%)</t>
  </si>
  <si>
    <t>python -m examples.run_dmn_experiment TFT-CPD-21</t>
  </si>
  <si>
    <t>python -m examples.run_dmn_experiment LSTM-LONG-NONE</t>
  </si>
  <si>
    <t>python -m examples.run_dmn_experiment FinBERT-TFT-63-012</t>
  </si>
  <si>
    <t>python -m examples.run_dmn_experiment FinBERT-LSTM-63-2</t>
  </si>
  <si>
    <t>python -m examples.run_dmn_experiment FinBERT-LSTM-63-1</t>
  </si>
  <si>
    <t>python -m examples.run_dmn_experiment FinBERT-TFT-252</t>
  </si>
  <si>
    <t>J</t>
  </si>
  <si>
    <t>exp_FinBERT_TFT_daily_tft_cp1_len252_notime_div_v1</t>
  </si>
  <si>
    <r>
      <rPr>
        <b/>
        <sz val="11"/>
        <rFont val="Calibri"/>
        <family val="2"/>
        <scheme val="minor"/>
      </rPr>
      <t>Decoder Only</t>
    </r>
    <r>
      <rPr>
        <b/>
        <sz val="11"/>
        <color rgb="FF7030A0"/>
        <rFont val="Calibri"/>
        <family val="2"/>
        <scheme val="minor"/>
      </rPr>
      <t xml:space="preserve"> TFT 252</t>
    </r>
    <r>
      <rPr>
        <b/>
        <sz val="11"/>
        <color theme="1"/>
        <rFont val="Calibri"/>
        <family val="2"/>
        <scheme val="minor"/>
      </rPr>
      <t xml:space="preserve"> - 0                                     </t>
    </r>
    <r>
      <rPr>
        <sz val="11"/>
        <color theme="1"/>
        <rFont val="Calibri"/>
        <family val="2"/>
        <scheme val="minor"/>
      </rPr>
      <t xml:space="preserve"> (trained from 2012-01-01)</t>
    </r>
  </si>
  <si>
    <r>
      <rPr>
        <b/>
        <sz val="11"/>
        <rFont val="Calibri"/>
        <family val="2"/>
        <scheme val="minor"/>
      </rPr>
      <t>Decoder Only</t>
    </r>
    <r>
      <rPr>
        <b/>
        <sz val="11"/>
        <color rgb="FF7030A0"/>
        <rFont val="Calibri"/>
        <family val="2"/>
        <scheme val="minor"/>
      </rPr>
      <t xml:space="preserve"> TFT 252</t>
    </r>
    <r>
      <rPr>
        <b/>
        <sz val="11"/>
        <color theme="1"/>
        <rFont val="Calibri"/>
        <family val="2"/>
        <scheme val="minor"/>
      </rPr>
      <t xml:space="preserve"> - 1                                     </t>
    </r>
    <r>
      <rPr>
        <sz val="11"/>
        <color theme="1"/>
        <rFont val="Calibri"/>
        <family val="2"/>
        <scheme val="minor"/>
      </rPr>
      <t xml:space="preserve"> (trained from 2012-01-01)</t>
    </r>
  </si>
  <si>
    <t>exp_FinBERT_TFT_daily_tft_cp2_len252_notime_div_v1</t>
  </si>
  <si>
    <r>
      <rPr>
        <b/>
        <sz val="11"/>
        <rFont val="Calibri"/>
        <family val="2"/>
        <scheme val="minor"/>
      </rPr>
      <t>Decoder Only</t>
    </r>
    <r>
      <rPr>
        <b/>
        <sz val="11"/>
        <color rgb="FF7030A0"/>
        <rFont val="Calibri"/>
        <family val="2"/>
        <scheme val="minor"/>
      </rPr>
      <t xml:space="preserve"> TFT 252</t>
    </r>
    <r>
      <rPr>
        <b/>
        <sz val="11"/>
        <color theme="1"/>
        <rFont val="Calibri"/>
        <family val="2"/>
        <scheme val="minor"/>
      </rPr>
      <t xml:space="preserve"> - 2                                     </t>
    </r>
    <r>
      <rPr>
        <sz val="11"/>
        <color theme="1"/>
        <rFont val="Calibri"/>
        <family val="2"/>
        <scheme val="minor"/>
      </rPr>
      <t xml:space="preserve"> (trained from 2012-01-01)</t>
    </r>
  </si>
  <si>
    <t>K</t>
  </si>
  <si>
    <t>python -m examples.run_dmn_experiment FinBERT-TFT-252-1</t>
  </si>
  <si>
    <t>python -m examples.run_dmn_experiment FinBERT-TFT-252-2</t>
  </si>
  <si>
    <r>
      <t xml:space="preserve">Decoder Only </t>
    </r>
    <r>
      <rPr>
        <b/>
        <sz val="11"/>
        <color rgb="FF0070C0"/>
        <rFont val="Calibri"/>
        <family val="2"/>
        <scheme val="minor"/>
      </rPr>
      <t xml:space="preserve">TFT 63 </t>
    </r>
    <r>
      <rPr>
        <b/>
        <sz val="11"/>
        <rFont val="Calibri"/>
        <family val="2"/>
        <scheme val="minor"/>
      </rPr>
      <t xml:space="preserve">                                           </t>
    </r>
    <r>
      <rPr>
        <sz val="11"/>
        <rFont val="Calibri"/>
        <family val="2"/>
        <scheme val="minor"/>
      </rPr>
      <t xml:space="preserve">  (trained from 2012-01-01)</t>
    </r>
  </si>
  <si>
    <r>
      <rPr>
        <b/>
        <sz val="11"/>
        <rFont val="Calibri"/>
        <family val="2"/>
        <scheme val="minor"/>
      </rPr>
      <t>[0]</t>
    </r>
    <r>
      <rPr>
        <sz val="11"/>
        <rFont val="Calibri"/>
        <family val="2"/>
        <scheme val="minor"/>
      </rPr>
      <t xml:space="preserve"> = </t>
    </r>
    <r>
      <rPr>
        <b/>
        <sz val="11"/>
        <rFont val="Calibri"/>
        <family val="2"/>
        <scheme val="minor"/>
      </rPr>
      <t>pos_sent,  neg_sent</t>
    </r>
  </si>
  <si>
    <r>
      <rPr>
        <b/>
        <sz val="11"/>
        <rFont val="Calibri"/>
        <family val="2"/>
        <scheme val="minor"/>
      </rPr>
      <t>[1]</t>
    </r>
    <r>
      <rPr>
        <sz val="11"/>
        <rFont val="Calibri"/>
        <family val="2"/>
        <scheme val="minor"/>
      </rPr>
      <t xml:space="preserve"> = </t>
    </r>
    <r>
      <rPr>
        <b/>
        <sz val="11"/>
        <rFont val="Calibri"/>
        <family val="2"/>
        <scheme val="minor"/>
      </rPr>
      <t>finbert_sent_osc,  finbert_sent_osc_day</t>
    </r>
  </si>
  <si>
    <t>L</t>
  </si>
  <si>
    <t>M</t>
  </si>
  <si>
    <r>
      <rPr>
        <b/>
        <sz val="11"/>
        <color rgb="FFFF0000"/>
        <rFont val="Calibri"/>
        <family val="2"/>
        <scheme val="minor"/>
      </rPr>
      <t>NEWSCAL_MODE = TRUE</t>
    </r>
    <r>
      <rPr>
        <sz val="11"/>
        <color theme="1"/>
        <rFont val="Calibri"/>
        <family val="2"/>
        <scheme val="minor"/>
      </rPr>
      <t xml:space="preserve">,  </t>
    </r>
    <r>
      <rPr>
        <b/>
        <sz val="11"/>
        <color rgb="FFFF0000"/>
        <rFont val="Calibri"/>
        <family val="2"/>
        <scheme val="minor"/>
      </rPr>
      <t>TIME_FEATURES = True</t>
    </r>
    <r>
      <rPr>
        <sz val="11"/>
        <color theme="1"/>
        <rFont val="Calibri"/>
        <family val="2"/>
        <scheme val="minor"/>
      </rPr>
      <t>,  TEST_MODE = False</t>
    </r>
  </si>
  <si>
    <t>exp_FinBERT_LSTM_daily_TEST_lstm_cp1_len63_time_div_v1</t>
  </si>
  <si>
    <t>N</t>
  </si>
  <si>
    <r>
      <rPr>
        <b/>
        <sz val="11"/>
        <color rgb="FFFF0000"/>
        <rFont val="Calibri"/>
        <family val="2"/>
        <scheme val="minor"/>
      </rPr>
      <t xml:space="preserve">NEWSCAL_MODE = True,  TIME_FEATURES = True, 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TEST_MODE = True</t>
    </r>
  </si>
  <si>
    <r>
      <rPr>
        <b/>
        <sz val="11"/>
        <color rgb="FFFF0000"/>
        <rFont val="Calibri"/>
        <family val="2"/>
        <scheme val="minor"/>
      </rPr>
      <t>NEWSCAL_MODE = True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 TIME_FEATURES = True</t>
    </r>
    <r>
      <rPr>
        <sz val="11"/>
        <color theme="1"/>
        <rFont val="Calibri"/>
        <family val="2"/>
        <scheme val="minor"/>
      </rPr>
      <t>,  TEST_MODE = False</t>
    </r>
  </si>
  <si>
    <t>O</t>
  </si>
  <si>
    <t>P</t>
  </si>
  <si>
    <r>
      <rPr>
        <b/>
        <sz val="11"/>
        <color rgb="FFFF0000"/>
        <rFont val="Calibri"/>
        <family val="2"/>
        <scheme val="minor"/>
      </rPr>
      <t>NEWSCAL_MODE = True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 </t>
    </r>
    <r>
      <rPr>
        <sz val="11"/>
        <rFont val="Calibri"/>
        <family val="2"/>
        <scheme val="minor"/>
      </rPr>
      <t>TIME_FEATURES = False</t>
    </r>
    <r>
      <rPr>
        <sz val="11"/>
        <color theme="1"/>
        <rFont val="Calibri"/>
        <family val="2"/>
        <scheme val="minor"/>
      </rPr>
      <t>,  TEST_MODE = False</t>
    </r>
  </si>
  <si>
    <t>cum</t>
  </si>
  <si>
    <t>sharpe:</t>
  </si>
  <si>
    <t>rtn%</t>
  </si>
  <si>
    <t>DD%</t>
  </si>
  <si>
    <t>Date</t>
  </si>
  <si>
    <t>date</t>
  </si>
  <si>
    <t>ticker</t>
  </si>
  <si>
    <t>close</t>
  </si>
  <si>
    <t>srs</t>
  </si>
  <si>
    <t>daily_returns</t>
  </si>
  <si>
    <t>target_returns</t>
  </si>
  <si>
    <t>norm_daily_return</t>
  </si>
  <si>
    <t>norm_monthly_return</t>
  </si>
  <si>
    <t>norm_quarterly_return</t>
  </si>
  <si>
    <t>norm_biannual_return</t>
  </si>
  <si>
    <t>norm_annual_return</t>
  </si>
  <si>
    <t>macd_8_24</t>
  </si>
  <si>
    <t>macd_16_48</t>
  </si>
  <si>
    <t>macd_32_96</t>
  </si>
  <si>
    <t>day_of_week</t>
  </si>
  <si>
    <t>day_of_month</t>
  </si>
  <si>
    <t>week_of_year</t>
  </si>
  <si>
    <t>month_of_year</t>
  </si>
  <si>
    <t>Timestamp_5day</t>
  </si>
  <si>
    <t>bar_return</t>
  </si>
  <si>
    <t>target_return</t>
  </si>
  <si>
    <t>vwap_D_dist</t>
  </si>
  <si>
    <t>Original MomTrans Feature Set</t>
  </si>
  <si>
    <t>R</t>
  </si>
  <si>
    <t>Q</t>
  </si>
  <si>
    <t>ema_50_dist</t>
  </si>
  <si>
    <t>vwap_W_dist</t>
  </si>
  <si>
    <t>vwap_M_dist</t>
  </si>
  <si>
    <t>pin_1</t>
  </si>
  <si>
    <t>macd_8_24_16</t>
  </si>
  <si>
    <t>macd_16_48_32</t>
  </si>
  <si>
    <t>macd_32_96_64</t>
  </si>
  <si>
    <t>quarter</t>
  </si>
  <si>
    <t>Experiments</t>
  </si>
  <si>
    <t>pos_sent</t>
  </si>
  <si>
    <t>neg_sent</t>
  </si>
  <si>
    <t>finbert_sent_osc</t>
  </si>
  <si>
    <t>finbert_sent_osc_day</t>
  </si>
  <si>
    <t>twobar_pin_1</t>
  </si>
  <si>
    <t>rsi_30</t>
  </si>
  <si>
    <t>cp_rl_21</t>
  </si>
  <si>
    <t>cp_score_21</t>
  </si>
  <si>
    <t>Staining Start Time</t>
  </si>
  <si>
    <t>FEATURE MAPPING FOR EACH EXPERIMENT:</t>
  </si>
  <si>
    <r>
      <rPr>
        <b/>
        <sz val="11"/>
        <color rgb="FF00B0F0"/>
        <rFont val="Calibri"/>
        <family val="2"/>
        <scheme val="minor"/>
      </rPr>
      <t>LSTM</t>
    </r>
    <r>
      <rPr>
        <b/>
        <sz val="11"/>
        <color theme="1"/>
        <rFont val="Calibri"/>
        <family val="2"/>
        <scheme val="minor"/>
      </rPr>
      <t xml:space="preserve">   or    </t>
    </r>
    <r>
      <rPr>
        <b/>
        <sz val="11"/>
        <color rgb="FFFF0000"/>
        <rFont val="Calibri"/>
        <family val="2"/>
        <scheme val="minor"/>
      </rPr>
      <t>TFT</t>
    </r>
  </si>
  <si>
    <t>ALL_econ_cal_lab</t>
  </si>
  <si>
    <r>
      <rPr>
        <b/>
        <sz val="11"/>
        <rFont val="Calibri"/>
        <family val="2"/>
        <scheme val="minor"/>
      </rPr>
      <t>Decoder Only</t>
    </r>
    <r>
      <rPr>
        <b/>
        <sz val="11"/>
        <color rgb="FF7030A0"/>
        <rFont val="Calibri"/>
        <family val="2"/>
        <scheme val="minor"/>
      </rPr>
      <t xml:space="preserve"> TFT 63</t>
    </r>
    <r>
      <rPr>
        <b/>
        <sz val="11"/>
        <color theme="1"/>
        <rFont val="Calibri"/>
        <family val="2"/>
        <scheme val="minor"/>
      </rPr>
      <t xml:space="preserve"> - 1                                     </t>
    </r>
    <r>
      <rPr>
        <sz val="11"/>
        <color theme="1"/>
        <rFont val="Calibri"/>
        <family val="2"/>
        <scheme val="minor"/>
      </rPr>
      <t xml:space="preserve"> (trained from 2012-01-01)</t>
    </r>
  </si>
  <si>
    <t>exp_FinBERT_LSTM_daily_lstm_cp1_len63_time_div_v1</t>
  </si>
  <si>
    <t>exp_FinBERT_TFT_daily_tft_cp1_len252_time_div_v1</t>
  </si>
  <si>
    <t>exp_FinBERT_TFT_daily_tft_cp1_len63_time_div_v1</t>
  </si>
  <si>
    <t>python -m examples.run_dmn_experiment FinBERT-TFT-63-1</t>
  </si>
  <si>
    <r>
      <rPr>
        <b/>
        <sz val="11"/>
        <rFont val="Calibri"/>
        <family val="2"/>
        <scheme val="minor"/>
      </rPr>
      <t>Decoder Only</t>
    </r>
    <r>
      <rPr>
        <b/>
        <sz val="11"/>
        <color rgb="FF7030A0"/>
        <rFont val="Calibri"/>
        <family val="2"/>
        <scheme val="minor"/>
      </rPr>
      <t xml:space="preserve"> TFT 121</t>
    </r>
    <r>
      <rPr>
        <b/>
        <sz val="11"/>
        <color theme="1"/>
        <rFont val="Calibri"/>
        <family val="2"/>
        <scheme val="minor"/>
      </rPr>
      <t xml:space="preserve"> - 1                                     </t>
    </r>
    <r>
      <rPr>
        <sz val="11"/>
        <color theme="1"/>
        <rFont val="Calibri"/>
        <family val="2"/>
        <scheme val="minor"/>
      </rPr>
      <t xml:space="preserve"> (trained from 2012-01-01)</t>
    </r>
  </si>
  <si>
    <t>exp_FinBERT_TFT_daily_tft_cp1_len121_time_div_v1</t>
  </si>
  <si>
    <t>cum sharpe</t>
  </si>
  <si>
    <t>cum rtn%</t>
  </si>
  <si>
    <t>python -m examples.run_dmn_experiment FinBERT-TFT-121-1</t>
  </si>
  <si>
    <t>lookback window length</t>
  </si>
  <si>
    <t>EXPERIMENT</t>
  </si>
  <si>
    <t>Sharpe of Annual Sharpe</t>
  </si>
  <si>
    <t>Rank</t>
  </si>
  <si>
    <t>Length</t>
  </si>
  <si>
    <t>Mean Rank Per Model</t>
  </si>
  <si>
    <t xml:space="preserve">LSTM mean rank  = </t>
  </si>
  <si>
    <t xml:space="preserve">TFT mean rank     = </t>
  </si>
  <si>
    <t>SoAS</t>
  </si>
  <si>
    <t>SHARPE OF ANNUALISED SHARPE RATIO RANKED BY EXPERIMENT:</t>
  </si>
  <si>
    <t xml:space="preserve"> = Temporal Fusion Transformer</t>
  </si>
  <si>
    <t xml:space="preserve"> = Long Short Term Memory</t>
  </si>
  <si>
    <t>RANK (Sharpe of Annualised Sharpe Ratio)</t>
  </si>
  <si>
    <t>ny_hour</t>
  </si>
  <si>
    <t>time_idx</t>
  </si>
  <si>
    <t>known past events</t>
  </si>
  <si>
    <t>known future events</t>
  </si>
  <si>
    <t>t</t>
  </si>
  <si>
    <t xml:space="preserve">ts_covF </t>
  </si>
  <si>
    <t>Timeseries feaures minus target variable (whole dataset)</t>
  </si>
  <si>
    <t xml:space="preserve">ts_train </t>
  </si>
  <si>
    <t>“time series — untransformed training data”  = ts_P (timeseries target var split into test and train)</t>
  </si>
  <si>
    <t xml:space="preserve">ts_test </t>
  </si>
  <si>
    <t>“time series — untransformed test data”</t>
  </si>
  <si>
    <t xml:space="preserve">ts_ttrain </t>
  </si>
  <si>
    <t xml:space="preserve">ts_ttest </t>
  </si>
  <si>
    <t xml:space="preserve">“time series — transformed training data” </t>
  </si>
  <si>
    <t>“time series — transformed test data”</t>
  </si>
  <si>
    <t>example</t>
  </si>
  <si>
    <t>equivalent</t>
  </si>
  <si>
    <t>description</t>
  </si>
  <si>
    <t>ts_t</t>
  </si>
  <si>
    <t xml:space="preserve">covT </t>
  </si>
  <si>
    <t xml:space="preserve">covF </t>
  </si>
  <si>
    <t>shape</t>
  </si>
  <si>
    <t xml:space="preserve">ts_cov </t>
  </si>
  <si>
    <t xml:space="preserve">ts_covT </t>
  </si>
  <si>
    <t xml:space="preserve">ts_covF_t </t>
  </si>
  <si>
    <t xml:space="preserve">ts_covT_t </t>
  </si>
  <si>
    <t>covF_ttrain</t>
  </si>
  <si>
    <t>covT_ttrain</t>
  </si>
  <si>
    <t>covF_ttest</t>
  </si>
  <si>
    <t>covT_ttest</t>
  </si>
  <si>
    <t xml:space="preserve">cov_ttrain </t>
  </si>
  <si>
    <t xml:space="preserve">cov_ttest </t>
  </si>
  <si>
    <t>df3 - known time covariates - target variable. Df3 = correlation filtered df2 (whole thing)</t>
  </si>
  <si>
    <t>covT_train</t>
  </si>
  <si>
    <t>covT_test</t>
  </si>
  <si>
    <t>covT.split</t>
  </si>
  <si>
    <t>covF_train</t>
  </si>
  <si>
    <t>covF_test</t>
  </si>
  <si>
    <t>unscaled time covariates (hour, weekday, month, year, country-specific holidays)  training + test set (add_length=48)</t>
  </si>
  <si>
    <t>cov_t</t>
  </si>
  <si>
    <t>covF +  covT                  # unscaled F+T</t>
  </si>
  <si>
    <t>33 columns</t>
  </si>
  <si>
    <t>28 columns</t>
  </si>
  <si>
    <t>5 columns</t>
  </si>
  <si>
    <t>ts_P</t>
  </si>
  <si>
    <t>whole timeseries - target variable only</t>
  </si>
  <si>
    <t>whole timeseries -transformed  target variable only</t>
  </si>
  <si>
    <t>unscaled REAL covariates (all continuous variables)  training + test set (add_length=48)</t>
  </si>
  <si>
    <t>ts_covF_train_val</t>
  </si>
  <si>
    <t>TIMESERIES - unscaled time covariates (hour, weekday, month, year, country-specific holidays)  training + test set (add_length=48)</t>
  </si>
  <si>
    <t>TIMESERIES - unscaled REAL covariates (all continuous variables)  training + test set (add_length=48)</t>
  </si>
  <si>
    <t>TIMESERIES - scaled time covariates (hour, weekday, month, year, country-specific holidays)  training + test set (add_length=48)</t>
  </si>
  <si>
    <t>TIMESERIES - scaled REAL covariates (all continuous variables)  training + test set (add_length=48)</t>
  </si>
  <si>
    <t>`</t>
  </si>
  <si>
    <t>covT.split and tranformed</t>
  </si>
  <si>
    <t>split    ts_covF</t>
  </si>
  <si>
    <t>split    ts_covF  and transformed</t>
  </si>
  <si>
    <t>covF_t  +   covT_t                          # scaled F+T</t>
  </si>
  <si>
    <t>covF_ttrain   +   covT_ttrain       # scaled F+T training set</t>
  </si>
  <si>
    <t>ts_cov</t>
  </si>
  <si>
    <t>ts_covF   +   covT                           # unscaled F+T</t>
  </si>
  <si>
    <t>1 column</t>
  </si>
  <si>
    <r>
      <rPr>
        <b/>
        <sz val="11"/>
        <color rgb="FF00B0F0"/>
        <rFont val="Calibri"/>
        <family val="2"/>
        <scheme val="minor"/>
      </rPr>
      <t>NEWSCAL_MODE = TRUE</t>
    </r>
    <r>
      <rPr>
        <sz val="11"/>
        <color theme="1"/>
        <rFont val="Calibri"/>
        <family val="2"/>
        <scheme val="minor"/>
      </rPr>
      <t xml:space="preserve">,  </t>
    </r>
    <r>
      <rPr>
        <b/>
        <sz val="11"/>
        <color rgb="FFFF0000"/>
        <rFont val="Calibri"/>
        <family val="2"/>
        <scheme val="minor"/>
      </rPr>
      <t>TIME_FEATURES = True</t>
    </r>
    <r>
      <rPr>
        <sz val="11"/>
        <color theme="1"/>
        <rFont val="Calibri"/>
        <family val="2"/>
        <scheme val="minor"/>
      </rPr>
      <t>,  TEST_MODE = False</t>
    </r>
  </si>
  <si>
    <t>S</t>
  </si>
  <si>
    <t>T</t>
  </si>
  <si>
    <t>U</t>
  </si>
  <si>
    <t xml:space="preserve">APPENDIX 7   -   Comparison 5 :  with newscal actuial inputted!!!!! Not month of the year instead </t>
  </si>
  <si>
    <t>this is with news included, inputs for month ofyear = real, newscal = real, timefeatures = true, testmode = false</t>
  </si>
  <si>
    <t>this is with news included, inputs for month ofyear = categorical, newscal = real, timefeatures = true, testmode = false</t>
  </si>
  <si>
    <t>this is with news included, inputs for month ofyear = categorical, newscal = real, timefeatures = true and all set to categorical, testmode = false</t>
  </si>
  <si>
    <t>to get this result, we sent two columns named month-of-year into the model, one had the actual data, the other the financial callendar., the feature was then labelled as categorical</t>
  </si>
  <si>
    <r>
      <t xml:space="preserve">Decoder Only </t>
    </r>
    <r>
      <rPr>
        <b/>
        <sz val="11"/>
        <color rgb="FF7030A0"/>
        <rFont val="Calibri"/>
        <family val="2"/>
        <scheme val="minor"/>
      </rPr>
      <t xml:space="preserve">TFT 252 </t>
    </r>
    <r>
      <rPr>
        <b/>
        <sz val="11"/>
        <rFont val="Calibri"/>
        <family val="2"/>
        <scheme val="minor"/>
      </rPr>
      <t>- CPD21</t>
    </r>
    <r>
      <rPr>
        <b/>
        <sz val="11"/>
        <color rgb="FF7030A0"/>
        <rFont val="Calibri"/>
        <family val="2"/>
        <scheme val="minor"/>
      </rPr>
      <t xml:space="preserve"> </t>
    </r>
    <r>
      <rPr>
        <b/>
        <sz val="11"/>
        <rFont val="Calibri"/>
        <family val="2"/>
        <scheme val="minor"/>
      </rPr>
      <t xml:space="preserve">                          </t>
    </r>
    <r>
      <rPr>
        <sz val="11"/>
        <rFont val="Calibri"/>
        <family val="2"/>
        <scheme val="minor"/>
      </rPr>
      <t xml:space="preserve"> (trained from 2012-01-01)</t>
    </r>
  </si>
  <si>
    <t xml:space="preserve">Comparison of FinBERT Sentiment + Pinbar + RSI + VWAP Distance Featureset (no News Cal)  vs  Original Momentum Transformer Featureset </t>
  </si>
  <si>
    <t>Original Momentum Transformer Featureset    (Trained From 1997-09-09 for training time comparison)</t>
  </si>
  <si>
    <t>year 1</t>
  </si>
  <si>
    <t>year 2</t>
  </si>
  <si>
    <t>year 3</t>
  </si>
  <si>
    <t>year 4</t>
  </si>
  <si>
    <t>year 5</t>
  </si>
  <si>
    <t xml:space="preserve"> = test data</t>
  </si>
  <si>
    <t xml:space="preserve"> = 90% training data, 10% validation data</t>
  </si>
  <si>
    <t>Comparison 1 on LSTM Model : Original Momentum Transformer Featureset   vs   Finbert Feature Set   vs   Finbert Oscilators Feature Set   vs  New Price Based Feature Set</t>
  </si>
  <si>
    <t>Comparison 2 on TFT Model : Original Momentum Transformer Featureset   vs   Finbert Feature Set   vs   Finbert Oscilators Feature Set   vs  New Price Based Feature Set</t>
  </si>
  <si>
    <t>Comparison 3 :  Best Performing LSTM and TFT models       vs     The same models but including the News Calendar and TimeBased features</t>
  </si>
  <si>
    <t>Comparison 4 :  Various lookback window lengths for the TFT model when trained on the best performing proposed new features set     vs      best LSTM models using the same features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</si>
</sst>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</fills>
  <borders count="7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0">
    <xf numFmtId="0" fontId="0" fillId="0" borderId="0" xfId="0"/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/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8" xfId="0" applyBorder="1"/>
    <xf numFmtId="0" fontId="0" fillId="0" borderId="13" xfId="0" applyBorder="1"/>
    <xf numFmtId="49" fontId="0" fillId="0" borderId="2" xfId="0" applyNumberFormat="1" applyBorder="1"/>
    <xf numFmtId="49" fontId="0" fillId="0" borderId="3" xfId="0" applyNumberFormat="1" applyBorder="1"/>
    <xf numFmtId="49" fontId="0" fillId="0" borderId="3" xfId="0" quotePrefix="1" applyNumberFormat="1" applyBorder="1"/>
    <xf numFmtId="0" fontId="0" fillId="0" borderId="6" xfId="0" applyBorder="1"/>
    <xf numFmtId="0" fontId="0" fillId="0" borderId="12" xfId="0" applyBorder="1"/>
    <xf numFmtId="0" fontId="0" fillId="0" borderId="9" xfId="0" applyBorder="1"/>
    <xf numFmtId="0" fontId="0" fillId="0" borderId="11" xfId="0" applyBorder="1"/>
    <xf numFmtId="0" fontId="0" fillId="0" borderId="14" xfId="0" applyBorder="1"/>
    <xf numFmtId="0" fontId="2" fillId="0" borderId="8" xfId="0" applyFont="1" applyBorder="1" applyAlignment="1">
      <alignment horizontal="center" vertical="center"/>
    </xf>
    <xf numFmtId="14" fontId="0" fillId="0" borderId="0" xfId="0" applyNumberFormat="1"/>
    <xf numFmtId="0" fontId="0" fillId="4" borderId="16" xfId="0" applyFill="1" applyBorder="1"/>
    <xf numFmtId="0" fontId="0" fillId="4" borderId="17" xfId="0" applyFill="1" applyBorder="1"/>
    <xf numFmtId="0" fontId="0" fillId="4" borderId="18" xfId="0" applyFill="1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14" fontId="0" fillId="4" borderId="17" xfId="0" applyNumberFormat="1" applyFill="1" applyBorder="1"/>
    <xf numFmtId="14" fontId="0" fillId="0" borderId="17" xfId="0" applyNumberFormat="1" applyBorder="1"/>
    <xf numFmtId="0" fontId="0" fillId="4" borderId="0" xfId="0" applyFill="1"/>
    <xf numFmtId="0" fontId="5" fillId="0" borderId="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0" fillId="2" borderId="4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15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6" fillId="0" borderId="11" xfId="0" applyFont="1" applyBorder="1" applyAlignment="1">
      <alignment horizontal="left"/>
    </xf>
    <xf numFmtId="0" fontId="9" fillId="0" borderId="0" xfId="0" applyFont="1"/>
    <xf numFmtId="0" fontId="2" fillId="6" borderId="13" xfId="0" applyFont="1" applyFill="1" applyBorder="1" applyAlignment="1">
      <alignment horizontal="center" vertical="center"/>
    </xf>
    <xf numFmtId="0" fontId="5" fillId="0" borderId="0" xfId="0" applyFont="1"/>
    <xf numFmtId="0" fontId="0" fillId="0" borderId="2" xfId="0" applyBorder="1" applyAlignment="1">
      <alignment horizontal="center"/>
    </xf>
    <xf numFmtId="0" fontId="2" fillId="0" borderId="11" xfId="0" applyFont="1" applyBorder="1" applyAlignment="1">
      <alignment horizontal="left"/>
    </xf>
    <xf numFmtId="0" fontId="6" fillId="6" borderId="6" xfId="0" applyFont="1" applyFill="1" applyBorder="1" applyAlignment="1">
      <alignment horizontal="center" vertical="center"/>
    </xf>
    <xf numFmtId="0" fontId="2" fillId="6" borderId="8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49" fontId="0" fillId="0" borderId="10" xfId="0" quotePrefix="1" applyNumberFormat="1" applyBorder="1"/>
    <xf numFmtId="0" fontId="2" fillId="0" borderId="3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0" fillId="6" borderId="6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6" fillId="0" borderId="0" xfId="0" applyFont="1"/>
    <xf numFmtId="0" fontId="6" fillId="0" borderId="6" xfId="0" applyFont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0" fillId="0" borderId="10" xfId="0" applyBorder="1"/>
    <xf numFmtId="0" fontId="0" fillId="0" borderId="2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8" fillId="0" borderId="25" xfId="0" applyFont="1" applyBorder="1"/>
    <xf numFmtId="0" fontId="9" fillId="0" borderId="25" xfId="0" applyFont="1" applyBorder="1"/>
    <xf numFmtId="0" fontId="9" fillId="0" borderId="29" xfId="0" applyFont="1" applyBorder="1"/>
    <xf numFmtId="0" fontId="0" fillId="10" borderId="30" xfId="0" applyFill="1" applyBorder="1"/>
    <xf numFmtId="0" fontId="8" fillId="0" borderId="29" xfId="0" applyFont="1" applyBorder="1"/>
    <xf numFmtId="0" fontId="0" fillId="11" borderId="30" xfId="0" applyFill="1" applyBorder="1"/>
    <xf numFmtId="0" fontId="0" fillId="10" borderId="33" xfId="0" applyFill="1" applyBorder="1"/>
    <xf numFmtId="0" fontId="0" fillId="11" borderId="33" xfId="0" applyFill="1" applyBorder="1"/>
    <xf numFmtId="0" fontId="0" fillId="11" borderId="37" xfId="0" applyFill="1" applyBorder="1"/>
    <xf numFmtId="0" fontId="0" fillId="11" borderId="38" xfId="0" applyFill="1" applyBorder="1"/>
    <xf numFmtId="0" fontId="0" fillId="0" borderId="41" xfId="0" applyBorder="1"/>
    <xf numFmtId="0" fontId="0" fillId="0" borderId="42" xfId="0" applyBorder="1"/>
    <xf numFmtId="0" fontId="8" fillId="0" borderId="40" xfId="0" applyFont="1" applyBorder="1"/>
    <xf numFmtId="0" fontId="8" fillId="0" borderId="28" xfId="0" applyFont="1" applyBorder="1"/>
    <xf numFmtId="0" fontId="6" fillId="0" borderId="36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0" fillId="10" borderId="43" xfId="0" applyFill="1" applyBorder="1"/>
    <xf numFmtId="0" fontId="0" fillId="11" borderId="43" xfId="0" applyFill="1" applyBorder="1"/>
    <xf numFmtId="0" fontId="0" fillId="11" borderId="44" xfId="0" applyFill="1" applyBorder="1"/>
    <xf numFmtId="0" fontId="0" fillId="13" borderId="19" xfId="0" applyFill="1" applyBorder="1"/>
    <xf numFmtId="0" fontId="0" fillId="13" borderId="27" xfId="0" applyFill="1" applyBorder="1"/>
    <xf numFmtId="0" fontId="0" fillId="13" borderId="45" xfId="0" applyFill="1" applyBorder="1"/>
    <xf numFmtId="0" fontId="0" fillId="13" borderId="46" xfId="0" applyFill="1" applyBorder="1"/>
    <xf numFmtId="0" fontId="9" fillId="0" borderId="39" xfId="0" applyFont="1" applyBorder="1"/>
    <xf numFmtId="0" fontId="9" fillId="0" borderId="26" xfId="0" applyFont="1" applyBorder="1"/>
    <xf numFmtId="0" fontId="0" fillId="10" borderId="50" xfId="0" applyFill="1" applyBorder="1"/>
    <xf numFmtId="0" fontId="0" fillId="10" borderId="51" xfId="0" applyFill="1" applyBorder="1"/>
    <xf numFmtId="0" fontId="0" fillId="13" borderId="20" xfId="0" applyFill="1" applyBorder="1"/>
    <xf numFmtId="0" fontId="0" fillId="13" borderId="21" xfId="0" applyFill="1" applyBorder="1"/>
    <xf numFmtId="0" fontId="0" fillId="10" borderId="52" xfId="0" applyFill="1" applyBorder="1"/>
    <xf numFmtId="0" fontId="0" fillId="0" borderId="49" xfId="0" applyBorder="1"/>
    <xf numFmtId="0" fontId="0" fillId="11" borderId="53" xfId="0" applyFill="1" applyBorder="1"/>
    <xf numFmtId="0" fontId="6" fillId="0" borderId="9" xfId="0" applyFont="1" applyBorder="1" applyAlignment="1">
      <alignment horizontal="center"/>
    </xf>
    <xf numFmtId="0" fontId="0" fillId="0" borderId="0" xfId="0" applyAlignment="1">
      <alignment horizontal="center"/>
    </xf>
    <xf numFmtId="0" fontId="6" fillId="6" borderId="34" xfId="0" applyFont="1" applyFill="1" applyBorder="1" applyAlignment="1">
      <alignment horizontal="center" vertical="center"/>
    </xf>
    <xf numFmtId="0" fontId="0" fillId="0" borderId="31" xfId="0" applyBorder="1"/>
    <xf numFmtId="0" fontId="0" fillId="0" borderId="32" xfId="0" applyBorder="1"/>
    <xf numFmtId="0" fontId="0" fillId="0" borderId="47" xfId="0" applyBorder="1"/>
    <xf numFmtId="0" fontId="0" fillId="0" borderId="48" xfId="0" applyBorder="1"/>
    <xf numFmtId="0" fontId="0" fillId="14" borderId="54" xfId="0" applyFill="1" applyBorder="1"/>
    <xf numFmtId="0" fontId="0" fillId="14" borderId="55" xfId="0" applyFill="1" applyBorder="1"/>
    <xf numFmtId="0" fontId="0" fillId="15" borderId="55" xfId="0" applyFill="1" applyBorder="1"/>
    <xf numFmtId="0" fontId="10" fillId="0" borderId="25" xfId="0" applyFont="1" applyBorder="1"/>
    <xf numFmtId="0" fontId="12" fillId="16" borderId="30" xfId="0" applyFont="1" applyFill="1" applyBorder="1"/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13" fillId="0" borderId="48" xfId="0" applyFont="1" applyBorder="1" applyAlignment="1">
      <alignment horizontal="center"/>
    </xf>
    <xf numFmtId="0" fontId="12" fillId="16" borderId="38" xfId="0" applyFont="1" applyFill="1" applyBorder="1"/>
    <xf numFmtId="0" fontId="0" fillId="0" borderId="8" xfId="0" applyBorder="1" applyAlignment="1">
      <alignment horizontal="right"/>
    </xf>
    <xf numFmtId="0" fontId="0" fillId="0" borderId="9" xfId="0" applyBorder="1" applyAlignment="1">
      <alignment horizontal="right"/>
    </xf>
    <xf numFmtId="0" fontId="6" fillId="0" borderId="4" xfId="0" applyFont="1" applyBorder="1" applyAlignment="1">
      <alignment horizontal="right"/>
    </xf>
    <xf numFmtId="0" fontId="5" fillId="0" borderId="3" xfId="0" applyFont="1" applyBorder="1"/>
    <xf numFmtId="0" fontId="0" fillId="0" borderId="6" xfId="0" applyBorder="1" applyAlignment="1">
      <alignment horizontal="right"/>
    </xf>
    <xf numFmtId="0" fontId="6" fillId="0" borderId="6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14" borderId="3" xfId="0" applyFill="1" applyBorder="1"/>
    <xf numFmtId="0" fontId="0" fillId="15" borderId="3" xfId="0" applyFill="1" applyBorder="1"/>
    <xf numFmtId="0" fontId="0" fillId="15" borderId="10" xfId="0" applyFill="1" applyBorder="1"/>
    <xf numFmtId="0" fontId="6" fillId="0" borderId="8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15" borderId="2" xfId="0" applyFill="1" applyBorder="1"/>
    <xf numFmtId="0" fontId="0" fillId="14" borderId="10" xfId="0" applyFill="1" applyBorder="1"/>
    <xf numFmtId="0" fontId="0" fillId="15" borderId="1" xfId="0" applyFill="1" applyBorder="1"/>
    <xf numFmtId="0" fontId="2" fillId="0" borderId="3" xfId="0" applyFont="1" applyBorder="1"/>
    <xf numFmtId="0" fontId="0" fillId="0" borderId="0" xfId="0" applyAlignment="1">
      <alignment vertical="center"/>
    </xf>
    <xf numFmtId="0" fontId="0" fillId="0" borderId="56" xfId="0" applyBorder="1"/>
    <xf numFmtId="0" fontId="0" fillId="0" borderId="57" xfId="0" applyBorder="1" applyAlignment="1">
      <alignment horizontal="center" vertical="center"/>
    </xf>
    <xf numFmtId="0" fontId="0" fillId="13" borderId="46" xfId="0" applyFill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0" fillId="6" borderId="60" xfId="0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13" borderId="63" xfId="0" applyFill="1" applyBorder="1" applyAlignment="1">
      <alignment horizontal="center" vertical="center"/>
    </xf>
    <xf numFmtId="0" fontId="0" fillId="14" borderId="46" xfId="0" applyFill="1" applyBorder="1" applyAlignment="1">
      <alignment horizontal="center" vertical="center"/>
    </xf>
    <xf numFmtId="0" fontId="0" fillId="14" borderId="63" xfId="0" applyFill="1" applyBorder="1" applyAlignment="1">
      <alignment horizontal="center" vertical="center"/>
    </xf>
    <xf numFmtId="0" fontId="0" fillId="14" borderId="58" xfId="0" applyFill="1" applyBorder="1" applyAlignment="1">
      <alignment horizontal="center" vertical="center"/>
    </xf>
    <xf numFmtId="0" fontId="0" fillId="14" borderId="28" xfId="0" applyFill="1" applyBorder="1" applyAlignment="1">
      <alignment horizontal="center" vertical="center"/>
    </xf>
    <xf numFmtId="0" fontId="0" fillId="0" borderId="7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/>
    <xf numFmtId="0" fontId="0" fillId="0" borderId="15" xfId="0" applyBorder="1"/>
    <xf numFmtId="0" fontId="0" fillId="3" borderId="6" xfId="0" applyFill="1" applyBorder="1"/>
    <xf numFmtId="0" fontId="0" fillId="3" borderId="2" xfId="0" applyFill="1" applyBorder="1"/>
    <xf numFmtId="0" fontId="0" fillId="3" borderId="0" xfId="0" applyFill="1"/>
    <xf numFmtId="0" fontId="6" fillId="0" borderId="5" xfId="0" applyFont="1" applyBorder="1" applyAlignment="1">
      <alignment vertical="center"/>
    </xf>
    <xf numFmtId="0" fontId="6" fillId="9" borderId="1" xfId="0" applyFont="1" applyFill="1" applyBorder="1" applyAlignment="1">
      <alignment horizontal="center" vertical="center"/>
    </xf>
    <xf numFmtId="0" fontId="8" fillId="0" borderId="0" xfId="0" applyFont="1"/>
    <xf numFmtId="49" fontId="0" fillId="0" borderId="0" xfId="0" applyNumberFormat="1"/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49" fontId="0" fillId="0" borderId="0" xfId="0" quotePrefix="1" applyNumberFormat="1"/>
    <xf numFmtId="0" fontId="2" fillId="6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63" xfId="0" applyBorder="1"/>
    <xf numFmtId="0" fontId="0" fillId="0" borderId="28" xfId="0" applyBorder="1"/>
    <xf numFmtId="0" fontId="0" fillId="0" borderId="65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6" borderId="66" xfId="0" applyFill="1" applyBorder="1"/>
    <xf numFmtId="0" fontId="0" fillId="6" borderId="67" xfId="0" applyFill="1" applyBorder="1"/>
    <xf numFmtId="0" fontId="0" fillId="6" borderId="27" xfId="0" applyFill="1" applyBorder="1"/>
    <xf numFmtId="0" fontId="0" fillId="6" borderId="19" xfId="0" applyFill="1" applyBorder="1"/>
    <xf numFmtId="0" fontId="0" fillId="6" borderId="64" xfId="0" applyFill="1" applyBorder="1"/>
    <xf numFmtId="0" fontId="0" fillId="6" borderId="23" xfId="0" applyFill="1" applyBorder="1"/>
    <xf numFmtId="0" fontId="0" fillId="17" borderId="67" xfId="0" applyFill="1" applyBorder="1"/>
    <xf numFmtId="0" fontId="0" fillId="17" borderId="19" xfId="0" applyFill="1" applyBorder="1"/>
    <xf numFmtId="0" fontId="0" fillId="17" borderId="24" xfId="0" applyFill="1" applyBorder="1"/>
    <xf numFmtId="0" fontId="0" fillId="17" borderId="1" xfId="0" applyFill="1" applyBorder="1"/>
    <xf numFmtId="0" fontId="0" fillId="6" borderId="1" xfId="0" applyFill="1" applyBorder="1"/>
    <xf numFmtId="0" fontId="6" fillId="8" borderId="2" xfId="0" applyFont="1" applyFill="1" applyBorder="1" applyAlignment="1">
      <alignment horizontal="center" vertical="center"/>
    </xf>
    <xf numFmtId="0" fontId="6" fillId="8" borderId="3" xfId="0" applyFont="1" applyFill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5" fillId="0" borderId="3" xfId="0" applyFont="1" applyBorder="1" applyAlignment="1">
      <alignment horizontal="left" vertical="center" wrapText="1"/>
    </xf>
    <xf numFmtId="0" fontId="0" fillId="5" borderId="4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10" xfId="0" applyFont="1" applyFill="1" applyBorder="1" applyAlignment="1">
      <alignment horizontal="center" vertical="center"/>
    </xf>
    <xf numFmtId="0" fontId="6" fillId="7" borderId="2" xfId="0" applyFont="1" applyFill="1" applyBorder="1" applyAlignment="1">
      <alignment horizontal="center" vertical="center"/>
    </xf>
    <xf numFmtId="0" fontId="6" fillId="7" borderId="3" xfId="0" applyFont="1" applyFill="1" applyBorder="1" applyAlignment="1">
      <alignment horizontal="center" vertical="center"/>
    </xf>
    <xf numFmtId="0" fontId="6" fillId="7" borderId="10" xfId="0" applyFont="1" applyFill="1" applyBorder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0" fillId="2" borderId="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6" fillId="6" borderId="2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10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15" xfId="0" applyBorder="1" applyAlignment="1">
      <alignment horizontal="left"/>
    </xf>
    <xf numFmtId="0" fontId="6" fillId="0" borderId="8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7" borderId="4" xfId="0" applyFont="1" applyFill="1" applyBorder="1" applyAlignment="1">
      <alignment horizontal="center" vertical="center"/>
    </xf>
    <xf numFmtId="0" fontId="6" fillId="7" borderId="5" xfId="0" applyFont="1" applyFill="1" applyBorder="1" applyAlignment="1">
      <alignment horizontal="center" vertical="center"/>
    </xf>
    <xf numFmtId="0" fontId="6" fillId="7" borderId="15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12" borderId="4" xfId="0" applyFont="1" applyFill="1" applyBorder="1" applyAlignment="1">
      <alignment horizontal="center" vertical="center"/>
    </xf>
    <xf numFmtId="0" fontId="6" fillId="12" borderId="5" xfId="0" applyFont="1" applyFill="1" applyBorder="1" applyAlignment="1">
      <alignment horizontal="center" vertical="center"/>
    </xf>
    <xf numFmtId="0" fontId="6" fillId="12" borderId="15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12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13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6" fillId="0" borderId="11" xfId="0" applyFont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246">
    <dxf>
      <numFmt numFmtId="164" formatCode="m/d/yyyy"/>
    </dxf>
    <dxf>
      <numFmt numFmtId="0" formatCode="General"/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GB"/>
              <a:t>Momentum Transformer Features vs FinBERT Features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'OVERVIEW - apx1 apx2'!$C$9</c:f>
              <c:strCache>
                <c:ptCount val="1"/>
                <c:pt idx="0">
                  <c:v>LSTM 63                                                                    (trained from 1997-09-09)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apx2'!$E$170:$E$174</c:f>
              <c:numCache>
                <c:formatCode>General</c:formatCode>
                <c:ptCount val="5"/>
                <c:pt idx="0">
                  <c:v>0.28435991368598401</c:v>
                </c:pt>
                <c:pt idx="1">
                  <c:v>1.2643315592428599</c:v>
                </c:pt>
                <c:pt idx="2">
                  <c:v>-0.50149635448421503</c:v>
                </c:pt>
                <c:pt idx="3">
                  <c:v>0.83171096731891703</c:v>
                </c:pt>
                <c:pt idx="4">
                  <c:v>4.60321166065632E-2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E-4ABE-B1E4-7EDF5302310B}"/>
            </c:ext>
          </c:extLst>
        </c:ser>
        <c:ser>
          <c:idx val="1"/>
          <c:order val="1"/>
          <c:tx>
            <c:strRef>
              <c:f>'OVERVIEW - apx1 apx2'!$C$16</c:f>
              <c:strCache>
                <c:ptCount val="1"/>
                <c:pt idx="0">
                  <c:v>LSTM 252                                                                  (trained from 1997-09-09)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apx2'!$F$170:$F$174</c:f>
              <c:numCache>
                <c:formatCode>General</c:formatCode>
                <c:ptCount val="5"/>
                <c:pt idx="0">
                  <c:v>-8.9130819785258997E-2</c:v>
                </c:pt>
                <c:pt idx="1">
                  <c:v>-1.74393035995079</c:v>
                </c:pt>
                <c:pt idx="2">
                  <c:v>-4.1034259692029999E-3</c:v>
                </c:pt>
                <c:pt idx="3">
                  <c:v>1.60029441278283</c:v>
                </c:pt>
                <c:pt idx="4">
                  <c:v>0.647124470211903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E-4ABE-B1E4-7EDF5302310B}"/>
            </c:ext>
          </c:extLst>
        </c:ser>
        <c:ser>
          <c:idx val="2"/>
          <c:order val="2"/>
          <c:tx>
            <c:strRef>
              <c:f>'OVERVIEW - apx1 apx2'!$C$23</c:f>
              <c:strCache>
                <c:ptCount val="1"/>
                <c:pt idx="0">
                  <c:v>LSTM 252 - CPD 21                                                  (trained from 1997-09-09)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apx2'!$G$170:$G$174</c:f>
              <c:numCache>
                <c:formatCode>General</c:formatCode>
                <c:ptCount val="5"/>
                <c:pt idx="0">
                  <c:v>0.24470598452106701</c:v>
                </c:pt>
                <c:pt idx="1">
                  <c:v>-0.45158415318947798</c:v>
                </c:pt>
                <c:pt idx="2">
                  <c:v>-0.69049851079265201</c:v>
                </c:pt>
                <c:pt idx="3">
                  <c:v>1.4751687211003299</c:v>
                </c:pt>
                <c:pt idx="4">
                  <c:v>0.34563310694607602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9E-4ABE-B1E4-7EDF5302310B}"/>
            </c:ext>
          </c:extLst>
        </c:ser>
        <c:ser>
          <c:idx val="3"/>
          <c:order val="3"/>
          <c:tx>
            <c:strRef>
              <c:f>'OVERVIEW - apx1 apx2'!$C$30</c:f>
              <c:strCache>
                <c:ptCount val="1"/>
                <c:pt idx="0">
                  <c:v>Decoder Only TFT 252                                            (trained from 1997-09-09)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apx2'!$I$170:$I$174</c:f>
              <c:numCache>
                <c:formatCode>General</c:formatCode>
                <c:ptCount val="5"/>
                <c:pt idx="0">
                  <c:v>-0.419894519851718</c:v>
                </c:pt>
                <c:pt idx="1">
                  <c:v>-0.96287142197297004</c:v>
                </c:pt>
                <c:pt idx="2">
                  <c:v>-0.98068333740778701</c:v>
                </c:pt>
                <c:pt idx="3">
                  <c:v>7.8365109230458002E-2</c:v>
                </c:pt>
                <c:pt idx="4">
                  <c:v>0.70661947536510805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9E-4ABE-B1E4-7EDF5302310B}"/>
            </c:ext>
          </c:extLst>
        </c:ser>
        <c:ser>
          <c:idx val="4"/>
          <c:order val="4"/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apx2'!$J$170:$J$174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9E-4ABE-B1E4-7EDF5302310B}"/>
            </c:ext>
          </c:extLst>
        </c:ser>
        <c:ser>
          <c:idx val="5"/>
          <c:order val="5"/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apx2'!$K$170:$K$174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9E-4ABE-B1E4-7EDF5302310B}"/>
            </c:ext>
          </c:extLst>
        </c:ser>
        <c:ser>
          <c:idx val="6"/>
          <c:order val="6"/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apx2'!$L$170:$L$174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9E-4ABE-B1E4-7EDF5302310B}"/>
            </c:ext>
          </c:extLst>
        </c:ser>
        <c:ser>
          <c:idx val="7"/>
          <c:order val="7"/>
          <c:spPr>
            <a:ln w="381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apx2'!$M$170:$M$174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E9E-4ABE-B1E4-7EDF5302310B}"/>
            </c:ext>
          </c:extLst>
        </c:ser>
        <c:ser>
          <c:idx val="8"/>
          <c:order val="8"/>
          <c:spPr>
            <a:ln w="3810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apx2'!$N$170:$N$174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E9E-4ABE-B1E4-7EDF5302310B}"/>
            </c:ext>
          </c:extLst>
        </c:ser>
        <c:ser>
          <c:idx val="9"/>
          <c:order val="9"/>
          <c:spPr>
            <a:ln w="3810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apx2'!$D$170:$D$174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apx2'!$O$170:$O$174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E9E-4ABE-B1E4-7EDF53023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139471"/>
        <c:axId val="682134479"/>
      </c:lineChart>
      <c:catAx>
        <c:axId val="6821394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</a:t>
                </a:r>
                <a:r>
                  <a:rPr lang="en-GB" baseline="0"/>
                  <a:t> YEAR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34479"/>
        <c:crosses val="autoZero"/>
        <c:auto val="1"/>
        <c:lblAlgn val="ctr"/>
        <c:lblOffset val="100"/>
        <c:noMultiLvlLbl val="0"/>
      </c:catAx>
      <c:valAx>
        <c:axId val="68213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Annualised 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13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LSTM 63 - No CPD</a:t>
            </a:r>
            <a:r>
              <a:rPr lang="en-GB" sz="1400" b="0" i="0" u="none" strike="noStrike" baseline="0"/>
              <a:t> </a:t>
            </a:r>
            <a:endParaRPr lang="en-GB"/>
          </a:p>
        </c:rich>
      </c:tx>
      <c:layout>
        <c:manualLayout>
          <c:xMode val="edge"/>
          <c:yMode val="edge"/>
          <c:x val="0.35072704637737495"/>
          <c:y val="2.162162162162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apx2'!$E$3:$E$7</c:f>
              <c:numCache>
                <c:formatCode>General</c:formatCode>
                <c:ptCount val="5"/>
                <c:pt idx="0">
                  <c:v>1.0269812176554001</c:v>
                </c:pt>
                <c:pt idx="1">
                  <c:v>-0.36765237018563501</c:v>
                </c:pt>
                <c:pt idx="2">
                  <c:v>-0.38774539812398801</c:v>
                </c:pt>
                <c:pt idx="3">
                  <c:v>-8.2981589579949E-2</c:v>
                </c:pt>
                <c:pt idx="4">
                  <c:v>1.1748754052209999E-3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F-4305-81A3-574AF9450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apx2'!$J$3:$J$7</c:f>
              <c:numCache>
                <c:formatCode>General</c:formatCode>
                <c:ptCount val="5"/>
                <c:pt idx="0">
                  <c:v>20.474242923357998</c:v>
                </c:pt>
                <c:pt idx="1">
                  <c:v>13.862856816693508</c:v>
                </c:pt>
                <c:pt idx="2">
                  <c:v>3.9729167651716182</c:v>
                </c:pt>
                <c:pt idx="3">
                  <c:v>3.4562104680943442</c:v>
                </c:pt>
                <c:pt idx="4">
                  <c:v>3.447051757066002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EF-4305-81A3-574AF94508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LSTM 252 - No CPD</a:t>
            </a:r>
            <a:r>
              <a:rPr lang="en-GB" sz="1400" b="0" i="0" u="none" strike="noStrike" baseline="0"/>
              <a:t> </a:t>
            </a:r>
            <a:endParaRPr lang="en-GB"/>
          </a:p>
        </c:rich>
      </c:tx>
      <c:layout>
        <c:manualLayout>
          <c:xMode val="edge"/>
          <c:yMode val="edge"/>
          <c:x val="0.35072704637737495"/>
          <c:y val="2.162162162162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apx2'!$E$10:$E$14</c:f>
              <c:numCache>
                <c:formatCode>General</c:formatCode>
                <c:ptCount val="5"/>
                <c:pt idx="0">
                  <c:v>-8.9130819785258997E-2</c:v>
                </c:pt>
                <c:pt idx="1">
                  <c:v>-1.74393035995079</c:v>
                </c:pt>
                <c:pt idx="2">
                  <c:v>-4.1034259692029999E-3</c:v>
                </c:pt>
                <c:pt idx="3">
                  <c:v>1.60029441278283</c:v>
                </c:pt>
                <c:pt idx="4">
                  <c:v>0.647124470211903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3-47C7-9D01-854F874E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apx2'!$J$10:$J$14</c:f>
              <c:numCache>
                <c:formatCode>General</c:formatCode>
                <c:ptCount val="5"/>
                <c:pt idx="0">
                  <c:v>-3.6272561901274396</c:v>
                </c:pt>
                <c:pt idx="1">
                  <c:v>-28.019030690742341</c:v>
                </c:pt>
                <c:pt idx="2">
                  <c:v>-31.46006842442263</c:v>
                </c:pt>
                <c:pt idx="3">
                  <c:v>-21.57970506534161</c:v>
                </c:pt>
                <c:pt idx="4">
                  <c:v>-16.767528367064369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B3-47C7-9D01-854F874E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LSTM 252 - CPD 21</a:t>
            </a:r>
            <a:endParaRPr lang="en-GB"/>
          </a:p>
        </c:rich>
      </c:tx>
      <c:layout>
        <c:manualLayout>
          <c:xMode val="edge"/>
          <c:yMode val="edge"/>
          <c:x val="0.35072704637737495"/>
          <c:y val="2.162162162162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apx2'!$E$17:$E$21</c:f>
              <c:numCache>
                <c:formatCode>General</c:formatCode>
                <c:ptCount val="5"/>
                <c:pt idx="0">
                  <c:v>0.24470598452106701</c:v>
                </c:pt>
                <c:pt idx="1">
                  <c:v>-0.45158415318947798</c:v>
                </c:pt>
                <c:pt idx="2">
                  <c:v>-0.69049851079265201</c:v>
                </c:pt>
                <c:pt idx="3">
                  <c:v>1.4751687211003299</c:v>
                </c:pt>
                <c:pt idx="4">
                  <c:v>0.34563310694607602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3-45A2-834D-BAF329C40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apx2'!$J$17:$J$21</c:f>
              <c:numCache>
                <c:formatCode>General</c:formatCode>
                <c:ptCount val="5"/>
                <c:pt idx="0">
                  <c:v>2.12781691294796</c:v>
                </c:pt>
                <c:pt idx="1">
                  <c:v>-5.8415942650928203</c:v>
                </c:pt>
                <c:pt idx="2">
                  <c:v>-27.273712146213519</c:v>
                </c:pt>
                <c:pt idx="3">
                  <c:v>-22.070661915546211</c:v>
                </c:pt>
                <c:pt idx="4">
                  <c:v>-17.750985276308771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13-45A2-834D-BAF329C40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TFT 252 - No CPD</a:t>
            </a:r>
            <a:endParaRPr lang="en-GB"/>
          </a:p>
        </c:rich>
      </c:tx>
      <c:layout>
        <c:manualLayout>
          <c:xMode val="edge"/>
          <c:yMode val="edge"/>
          <c:x val="0.35072704637737495"/>
          <c:y val="2.162162162162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apx2'!$E$24:$E$28</c:f>
              <c:numCache>
                <c:formatCode>General</c:formatCode>
                <c:ptCount val="5"/>
                <c:pt idx="0">
                  <c:v>-0.419894519851718</c:v>
                </c:pt>
                <c:pt idx="1">
                  <c:v>-0.96287142197297004</c:v>
                </c:pt>
                <c:pt idx="2">
                  <c:v>-0.98068333740778701</c:v>
                </c:pt>
                <c:pt idx="3">
                  <c:v>7.8365109230458002E-2</c:v>
                </c:pt>
                <c:pt idx="4">
                  <c:v>0.70661947536510805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F-4586-8F16-FA0657E7F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apx2'!$J$24:$J$28</c:f>
              <c:numCache>
                <c:formatCode>General</c:formatCode>
                <c:ptCount val="5"/>
                <c:pt idx="0">
                  <c:v>-6.5391296916915902</c:v>
                </c:pt>
                <c:pt idx="1">
                  <c:v>-20.998609111503491</c:v>
                </c:pt>
                <c:pt idx="2">
                  <c:v>-38.494597693499486</c:v>
                </c:pt>
                <c:pt idx="3">
                  <c:v>-38.276219604114345</c:v>
                </c:pt>
                <c:pt idx="4">
                  <c:v>-27.777854351772447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FF-4586-8F16-FA0657E7F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TFT 63 - No CPD</a:t>
            </a:r>
            <a:endParaRPr lang="en-GB"/>
          </a:p>
        </c:rich>
      </c:tx>
      <c:layout>
        <c:manualLayout>
          <c:xMode val="edge"/>
          <c:yMode val="edge"/>
          <c:x val="0.35072704637737495"/>
          <c:y val="2.162162162162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apx2'!$E$31:$E$35</c:f>
              <c:numCache>
                <c:formatCode>General</c:formatCode>
                <c:ptCount val="5"/>
                <c:pt idx="0">
                  <c:v>4.3610241268910999E-2</c:v>
                </c:pt>
                <c:pt idx="1">
                  <c:v>1.60255773715942</c:v>
                </c:pt>
                <c:pt idx="2">
                  <c:v>-1.40377336038636</c:v>
                </c:pt>
                <c:pt idx="3">
                  <c:v>1.9604379900717399</c:v>
                </c:pt>
                <c:pt idx="4">
                  <c:v>-0.92065349349987102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4A58-AA34-F4DBED98E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apx2'!$J$31:$J$35</c:f>
              <c:numCache>
                <c:formatCode>General</c:formatCode>
                <c:ptCount val="5"/>
                <c:pt idx="0">
                  <c:v>-0.89430574885909198</c:v>
                </c:pt>
                <c:pt idx="1">
                  <c:v>11.812124327166208</c:v>
                </c:pt>
                <c:pt idx="2">
                  <c:v>-13.22508296303319</c:v>
                </c:pt>
                <c:pt idx="3">
                  <c:v>11.064079128093512</c:v>
                </c:pt>
                <c:pt idx="4">
                  <c:v>-5.8565826736372859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21-4A58-AA34-F4DBED98E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TFT 252 - CPD 21</a:t>
            </a:r>
            <a:endParaRPr lang="en-GB"/>
          </a:p>
        </c:rich>
      </c:tx>
      <c:layout>
        <c:manualLayout>
          <c:xMode val="edge"/>
          <c:yMode val="edge"/>
          <c:x val="0.35072704637737495"/>
          <c:y val="2.16216216216216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apx2'!$D$38:$D$42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apx2'!$E$38:$E$42</c:f>
              <c:numCache>
                <c:formatCode>General</c:formatCode>
                <c:ptCount val="5"/>
                <c:pt idx="0">
                  <c:v>-0.36092883098655099</c:v>
                </c:pt>
                <c:pt idx="1">
                  <c:v>-0.88191598739587695</c:v>
                </c:pt>
                <c:pt idx="2">
                  <c:v>-0.95852132210397101</c:v>
                </c:pt>
                <c:pt idx="3">
                  <c:v>3.2346324195804499</c:v>
                </c:pt>
                <c:pt idx="4">
                  <c:v>1.1484461331464799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6E-4B34-BE45-9138555AA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apx2'!$D$38:$D$42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apx2'!$J$38:$J$42</c:f>
              <c:numCache>
                <c:formatCode>General</c:formatCode>
                <c:ptCount val="5"/>
                <c:pt idx="0">
                  <c:v>-7.5689430743695896</c:v>
                </c:pt>
                <c:pt idx="1">
                  <c:v>-16.158034614759799</c:v>
                </c:pt>
                <c:pt idx="2">
                  <c:v>-36.314112669090399</c:v>
                </c:pt>
                <c:pt idx="3">
                  <c:v>24.367119540489206</c:v>
                </c:pt>
                <c:pt idx="4">
                  <c:v>37.880375543272507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E-4B34-BE45-9138555AA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apx2'!$D$67:$D$71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apx2'!$E$67:$E$71</c:f>
              <c:numCache>
                <c:formatCode>General</c:formatCode>
                <c:ptCount val="5"/>
                <c:pt idx="0">
                  <c:v>0.31310116435544699</c:v>
                </c:pt>
                <c:pt idx="1">
                  <c:v>-2.6530672315072499</c:v>
                </c:pt>
                <c:pt idx="2">
                  <c:v>-0.107100301726419</c:v>
                </c:pt>
                <c:pt idx="3">
                  <c:v>-0.74377757460332505</c:v>
                </c:pt>
                <c:pt idx="4">
                  <c:v>1.1748754052209999E-3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D-4A8D-AAEC-6CA73134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apx2'!$D$67:$D$71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apx2'!$J$67:$J$71</c:f>
              <c:numCache>
                <c:formatCode>General</c:formatCode>
                <c:ptCount val="5"/>
                <c:pt idx="0">
                  <c:v>2.6494334292594699</c:v>
                </c:pt>
                <c:pt idx="1">
                  <c:v>-38.793806489068331</c:v>
                </c:pt>
                <c:pt idx="2">
                  <c:v>-41.46540414235217</c:v>
                </c:pt>
                <c:pt idx="3">
                  <c:v>-60.234928189607473</c:v>
                </c:pt>
                <c:pt idx="4">
                  <c:v>-72.257863443922673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5D-4A8D-AAEC-6CA73134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FinBERT (0)</a:t>
            </a:r>
            <a:endParaRPr lang="en-GB"/>
          </a:p>
        </c:rich>
      </c:tx>
      <c:layout>
        <c:manualLayout>
          <c:xMode val="edge"/>
          <c:yMode val="edge"/>
          <c:x val="0.2359838842693028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apx2'!$D$81:$D$85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apx2'!$E$81:$E$85</c:f>
              <c:numCache>
                <c:formatCode>General</c:formatCode>
                <c:ptCount val="5"/>
                <c:pt idx="0">
                  <c:v>1.3046063105441901</c:v>
                </c:pt>
                <c:pt idx="1">
                  <c:v>1.1079653972741199</c:v>
                </c:pt>
                <c:pt idx="2">
                  <c:v>-0.63296341799060596</c:v>
                </c:pt>
                <c:pt idx="3">
                  <c:v>2.05899460369695</c:v>
                </c:pt>
                <c:pt idx="4">
                  <c:v>0.52735509624756005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52-4607-B0FF-0E78A722D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apx2'!$D$81:$D$85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apx2'!$J$81:$J$85</c:f>
              <c:numCache>
                <c:formatCode>General</c:formatCode>
                <c:ptCount val="5"/>
                <c:pt idx="0">
                  <c:v>17.6516465825088</c:v>
                </c:pt>
                <c:pt idx="1">
                  <c:v>23.3126220983332</c:v>
                </c:pt>
                <c:pt idx="2">
                  <c:v>8.1540445795898009</c:v>
                </c:pt>
                <c:pt idx="3">
                  <c:v>33.1358052115311</c:v>
                </c:pt>
                <c:pt idx="4">
                  <c:v>43.286497013745503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52-4607-B0FF-0E78A722D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apx2'!$D$88:$D$92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apx2'!$E$88:$E$92</c:f>
              <c:numCache>
                <c:formatCode>General</c:formatCode>
                <c:ptCount val="5"/>
                <c:pt idx="0">
                  <c:v>-0.60134125902205404</c:v>
                </c:pt>
                <c:pt idx="1">
                  <c:v>1.3805964267620201</c:v>
                </c:pt>
                <c:pt idx="2">
                  <c:v>-0.24705923351918499</c:v>
                </c:pt>
                <c:pt idx="3">
                  <c:v>1.05523081523674</c:v>
                </c:pt>
                <c:pt idx="4">
                  <c:v>0.52255200357820197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A-46C5-A716-468C5B492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apx2'!$D$88:$D$92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apx2'!$J$88:$J$92</c:f>
              <c:numCache>
                <c:formatCode>General</c:formatCode>
                <c:ptCount val="5"/>
                <c:pt idx="0">
                  <c:v>-7.9112756704249998</c:v>
                </c:pt>
                <c:pt idx="1">
                  <c:v>0.69790321805027045</c:v>
                </c:pt>
                <c:pt idx="2">
                  <c:v>-5.835888807333439</c:v>
                </c:pt>
                <c:pt idx="3">
                  <c:v>4.8979016355251614</c:v>
                </c:pt>
                <c:pt idx="4">
                  <c:v>15.89605280029086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5A-46C5-A716-468C5B492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E8-48B2-AC8D-302684CD0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E8-48B2-AC8D-302684CD0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63 - FinBERT (0,1,2)</a:t>
            </a:r>
            <a:endParaRPr lang="en-GB"/>
          </a:p>
        </c:rich>
      </c:tx>
      <c:layout>
        <c:manualLayout>
          <c:xMode val="edge"/>
          <c:yMode val="edge"/>
          <c:x val="0.2199732104867812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apx2'!$D$102:$D$106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apx2'!$E$102:$E$106</c:f>
              <c:numCache>
                <c:formatCode>General</c:formatCode>
                <c:ptCount val="5"/>
                <c:pt idx="0">
                  <c:v>0.942079850077156</c:v>
                </c:pt>
                <c:pt idx="1">
                  <c:v>0.53272539465379698</c:v>
                </c:pt>
                <c:pt idx="2">
                  <c:v>-0.51603756577569104</c:v>
                </c:pt>
                <c:pt idx="3">
                  <c:v>0.69942731604944097</c:v>
                </c:pt>
                <c:pt idx="4">
                  <c:v>0.107948519161169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1-44A1-9CF6-FE26915CD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apx2'!$D$102:$D$106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apx2'!$J$102:$J$106</c:f>
              <c:numCache>
                <c:formatCode>General</c:formatCode>
                <c:ptCount val="5"/>
                <c:pt idx="0">
                  <c:v>10.787402862344301</c:v>
                </c:pt>
                <c:pt idx="1">
                  <c:v>14.016632732678701</c:v>
                </c:pt>
                <c:pt idx="2">
                  <c:v>4.3193735060798506</c:v>
                </c:pt>
                <c:pt idx="3">
                  <c:v>11.19504886846449</c:v>
                </c:pt>
                <c:pt idx="4">
                  <c:v>9.7713839815636199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1-44A1-9CF6-FE26915CD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4-4AA6-AE2B-04D501CB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F4-4AA6-AE2B-04D501CB9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apx2'!$D$116:$D$120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apx2'!$E$116:$E$120</c:f>
              <c:numCache>
                <c:formatCode>General</c:formatCode>
                <c:ptCount val="5"/>
                <c:pt idx="0">
                  <c:v>-2.10654104400985</c:v>
                </c:pt>
                <c:pt idx="1">
                  <c:v>1.86842487719566</c:v>
                </c:pt>
                <c:pt idx="2">
                  <c:v>-0.79569343361368094</c:v>
                </c:pt>
                <c:pt idx="3">
                  <c:v>1.9109332699613999</c:v>
                </c:pt>
                <c:pt idx="4">
                  <c:v>0.61698714721048398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51-487F-B0BB-DD14A275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apx2'!$D$116:$D$120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apx2'!$J$116:$J$120</c:f>
              <c:numCache>
                <c:formatCode>General</c:formatCode>
                <c:ptCount val="5"/>
                <c:pt idx="0">
                  <c:v>-27.362226603610701</c:v>
                </c:pt>
                <c:pt idx="1">
                  <c:v>-19.189854207504862</c:v>
                </c:pt>
                <c:pt idx="2">
                  <c:v>-33.141817936817162</c:v>
                </c:pt>
                <c:pt idx="3">
                  <c:v>-12.778073585313262</c:v>
                </c:pt>
                <c:pt idx="4">
                  <c:v>1.9300036695091372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1-487F-B0BB-DD14A2752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72-40AB-9FE5-283217C58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72-40AB-9FE5-283217C58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apx2'!$E$123:$E$127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AD-4EAC-A043-F7DF36DD2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apx2'!$J$123:$J$127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D-4EAC-A043-F7DF36DD2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5-43D6-BCE9-AF429363E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45-43D6-BCE9-AF429363E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E-4749-9828-27BE131B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7E-4749-9828-27BE131B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3'!$E$3:$E$7</c:f>
              <c:numCache>
                <c:formatCode>General</c:formatCode>
                <c:ptCount val="5"/>
                <c:pt idx="0">
                  <c:v>0.31310116435544699</c:v>
                </c:pt>
                <c:pt idx="1">
                  <c:v>-2.6530672315072499</c:v>
                </c:pt>
                <c:pt idx="2">
                  <c:v>-0.107100301726419</c:v>
                </c:pt>
                <c:pt idx="3">
                  <c:v>-0.74377757460332505</c:v>
                </c:pt>
                <c:pt idx="4">
                  <c:v>1.1748754052209999E-3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F-4B2D-9A37-958B51A09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3'!$J$3:$J$7</c:f>
              <c:numCache>
                <c:formatCode>General</c:formatCode>
                <c:ptCount val="5"/>
                <c:pt idx="0">
                  <c:v>2.6494334292594699</c:v>
                </c:pt>
                <c:pt idx="1">
                  <c:v>-38.793806489068331</c:v>
                </c:pt>
                <c:pt idx="2">
                  <c:v>-41.46540414235217</c:v>
                </c:pt>
                <c:pt idx="3">
                  <c:v>-60.234928189607473</c:v>
                </c:pt>
                <c:pt idx="4">
                  <c:v>-72.257863443922673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5F-4B2D-9A37-958B51A09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FinBERT (0)</a:t>
            </a:r>
            <a:endParaRPr lang="en-GB"/>
          </a:p>
        </c:rich>
      </c:tx>
      <c:layout>
        <c:manualLayout>
          <c:xMode val="edge"/>
          <c:yMode val="edge"/>
          <c:x val="0.2359838842693028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3'!$E$10:$E$14</c:f>
              <c:numCache>
                <c:formatCode>General</c:formatCode>
                <c:ptCount val="5"/>
                <c:pt idx="0">
                  <c:v>1.3046063105441901</c:v>
                </c:pt>
                <c:pt idx="1">
                  <c:v>1.1079653972741199</c:v>
                </c:pt>
                <c:pt idx="2">
                  <c:v>-0.63296341799060596</c:v>
                </c:pt>
                <c:pt idx="3">
                  <c:v>2.05899460369695</c:v>
                </c:pt>
                <c:pt idx="4">
                  <c:v>0.52735509624756005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46-4DE9-9F04-3752C436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3'!$J$10:$J$14</c:f>
              <c:numCache>
                <c:formatCode>General</c:formatCode>
                <c:ptCount val="5"/>
                <c:pt idx="0">
                  <c:v>17.6516465825088</c:v>
                </c:pt>
                <c:pt idx="1">
                  <c:v>23.3126220983332</c:v>
                </c:pt>
                <c:pt idx="2">
                  <c:v>8.1540445795898009</c:v>
                </c:pt>
                <c:pt idx="3">
                  <c:v>33.1358052115311</c:v>
                </c:pt>
                <c:pt idx="4">
                  <c:v>43.286497013745503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46-4DE9-9F04-3752C4366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3'!$E$17:$E$21</c:f>
              <c:numCache>
                <c:formatCode>General</c:formatCode>
                <c:ptCount val="5"/>
                <c:pt idx="0">
                  <c:v>-0.60134125902205404</c:v>
                </c:pt>
                <c:pt idx="1">
                  <c:v>1.3805964267620201</c:v>
                </c:pt>
                <c:pt idx="2">
                  <c:v>-0.24705923351918499</c:v>
                </c:pt>
                <c:pt idx="3">
                  <c:v>1.05523081523674</c:v>
                </c:pt>
                <c:pt idx="4">
                  <c:v>0.52255200357820197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2-4551-828C-6A3899AD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3'!$J$17:$J$21</c:f>
              <c:numCache>
                <c:formatCode>General</c:formatCode>
                <c:ptCount val="5"/>
                <c:pt idx="0">
                  <c:v>-7.9112756704249998</c:v>
                </c:pt>
                <c:pt idx="1">
                  <c:v>0.69790321805027045</c:v>
                </c:pt>
                <c:pt idx="2">
                  <c:v>-5.835888807333439</c:v>
                </c:pt>
                <c:pt idx="3">
                  <c:v>4.8979016355251614</c:v>
                </c:pt>
                <c:pt idx="4">
                  <c:v>15.89605280029086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D2-4551-828C-6A3899AD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A-4EDC-B808-FCB756CE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6A-4EDC-B808-FCB756CE1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3'!$E$31:$E$35</c:f>
              <c:numCache>
                <c:formatCode>General</c:formatCode>
                <c:ptCount val="5"/>
                <c:pt idx="0">
                  <c:v>-2.10654104400985</c:v>
                </c:pt>
                <c:pt idx="1">
                  <c:v>1.86842487719566</c:v>
                </c:pt>
                <c:pt idx="2">
                  <c:v>-0.79569343361368094</c:v>
                </c:pt>
                <c:pt idx="3">
                  <c:v>1.9109332699613999</c:v>
                </c:pt>
                <c:pt idx="4">
                  <c:v>0.61698714721048398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0-4A43-9541-E67516F5F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3'!$J$31:$J$35</c:f>
              <c:numCache>
                <c:formatCode>General</c:formatCode>
                <c:ptCount val="5"/>
                <c:pt idx="0">
                  <c:v>-27.362226603610701</c:v>
                </c:pt>
                <c:pt idx="1">
                  <c:v>-19.189854207504862</c:v>
                </c:pt>
                <c:pt idx="2">
                  <c:v>-33.141817936817162</c:v>
                </c:pt>
                <c:pt idx="3">
                  <c:v>-12.778073585313262</c:v>
                </c:pt>
                <c:pt idx="4">
                  <c:v>1.9300036695091372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0-4A43-9541-E67516F5F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Sharpe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1 - apx 3'!$E$39</c:f>
              <c:strCache>
                <c:ptCount val="1"/>
                <c:pt idx="0">
                  <c:v>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1 - apx 3'!$D$40:$D$44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3'!$E$40:$E$44</c:f>
              <c:numCache>
                <c:formatCode>General</c:formatCode>
                <c:ptCount val="5"/>
                <c:pt idx="0">
                  <c:v>0.31310116435544699</c:v>
                </c:pt>
                <c:pt idx="1">
                  <c:v>-2.3399660671518028</c:v>
                </c:pt>
                <c:pt idx="2">
                  <c:v>-2.4470663688782217</c:v>
                </c:pt>
                <c:pt idx="3">
                  <c:v>-3.1908439434815468</c:v>
                </c:pt>
                <c:pt idx="4">
                  <c:v>-3.1896690680763258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34-4D50-8BF7-CCEFC3F207D4}"/>
            </c:ext>
          </c:extLst>
        </c:ser>
        <c:ser>
          <c:idx val="1"/>
          <c:order val="1"/>
          <c:tx>
            <c:strRef>
              <c:f>'COMPARISON 1 - apx 3'!$F$39</c:f>
              <c:strCache>
                <c:ptCount val="1"/>
                <c:pt idx="0">
                  <c:v>C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1 - apx 3'!$D$40:$D$44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3'!$F$40:$F$44</c:f>
              <c:numCache>
                <c:formatCode>General</c:formatCode>
                <c:ptCount val="5"/>
                <c:pt idx="0">
                  <c:v>1.3046063105441901</c:v>
                </c:pt>
                <c:pt idx="1">
                  <c:v>2.41257170781831</c:v>
                </c:pt>
                <c:pt idx="2">
                  <c:v>1.7796082898277041</c:v>
                </c:pt>
                <c:pt idx="3">
                  <c:v>3.8386028935246541</c:v>
                </c:pt>
                <c:pt idx="4">
                  <c:v>4.3659579897722143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34-4D50-8BF7-CCEFC3F207D4}"/>
            </c:ext>
          </c:extLst>
        </c:ser>
        <c:ser>
          <c:idx val="2"/>
          <c:order val="2"/>
          <c:tx>
            <c:strRef>
              <c:f>'COMPARISON 1 - apx 3'!$G$39</c:f>
              <c:strCache>
                <c:ptCount val="1"/>
                <c:pt idx="0">
                  <c:v>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1 - apx 3'!$D$40:$D$44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3'!$G$40:$G$44</c:f>
              <c:numCache>
                <c:formatCode>General</c:formatCode>
                <c:ptCount val="5"/>
                <c:pt idx="0">
                  <c:v>-0.60134125902205404</c:v>
                </c:pt>
                <c:pt idx="1">
                  <c:v>0.77925516773996606</c:v>
                </c:pt>
                <c:pt idx="2">
                  <c:v>0.53219593422078104</c:v>
                </c:pt>
                <c:pt idx="3">
                  <c:v>1.5874267494575212</c:v>
                </c:pt>
                <c:pt idx="4">
                  <c:v>2.109978753035723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34-4D50-8BF7-CCEFC3F207D4}"/>
            </c:ext>
          </c:extLst>
        </c:ser>
        <c:ser>
          <c:idx val="3"/>
          <c:order val="3"/>
          <c:tx>
            <c:strRef>
              <c:f>'COMPARISON 1 - apx 3'!$H$39</c:f>
              <c:strCache>
                <c:ptCount val="1"/>
                <c:pt idx="0">
                  <c:v>I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1 - apx 3'!$D$40:$D$44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3'!$H$40:$H$44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0.39919002718242302</c:v>
                </c:pt>
                <c:pt idx="2">
                  <c:v>0.27361742336078398</c:v>
                </c:pt>
                <c:pt idx="3">
                  <c:v>1.524389249736344</c:v>
                </c:pt>
                <c:pt idx="4">
                  <c:v>2.820265961796574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34-4D50-8BF7-CCEFC3F207D4}"/>
            </c:ext>
          </c:extLst>
        </c:ser>
        <c:ser>
          <c:idx val="4"/>
          <c:order val="4"/>
          <c:tx>
            <c:strRef>
              <c:f>'COMPARISON 1 - apx 3'!$I$39</c:f>
              <c:strCache>
                <c:ptCount val="1"/>
                <c:pt idx="0">
                  <c:v>H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1 - apx 3'!$D$40:$D$44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3'!$I$40:$I$44</c:f>
              <c:numCache>
                <c:formatCode>General</c:formatCode>
                <c:ptCount val="5"/>
                <c:pt idx="0">
                  <c:v>-2.10654104400985</c:v>
                </c:pt>
                <c:pt idx="1">
                  <c:v>-0.23811616681419001</c:v>
                </c:pt>
                <c:pt idx="2">
                  <c:v>-1.033809600427871</c:v>
                </c:pt>
                <c:pt idx="3">
                  <c:v>0.87712366953352894</c:v>
                </c:pt>
                <c:pt idx="4">
                  <c:v>1.4941108167440129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34-4D50-8BF7-CCEFC3F20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118223"/>
        <c:axId val="926113647"/>
      </c:lineChart>
      <c:catAx>
        <c:axId val="92611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3647"/>
        <c:crosses val="autoZero"/>
        <c:auto val="1"/>
        <c:lblAlgn val="ctr"/>
        <c:lblOffset val="100"/>
        <c:noMultiLvlLbl val="0"/>
      </c:catAx>
      <c:valAx>
        <c:axId val="926113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Normalised</a:t>
            </a:r>
            <a:r>
              <a:rPr lang="en-GB" baseline="0"/>
              <a:t> Return 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1 - apx 3'!$K$39</c:f>
              <c:strCache>
                <c:ptCount val="1"/>
                <c:pt idx="0">
                  <c:v>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1 - apx 3'!$J$40:$J$44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3'!$K$40:$K$44</c:f>
              <c:numCache>
                <c:formatCode>General</c:formatCode>
                <c:ptCount val="5"/>
                <c:pt idx="0">
                  <c:v>2.6494334292594699</c:v>
                </c:pt>
                <c:pt idx="1">
                  <c:v>-38.793806489068331</c:v>
                </c:pt>
                <c:pt idx="2">
                  <c:v>-41.46540414235217</c:v>
                </c:pt>
                <c:pt idx="3">
                  <c:v>-60.234928189607473</c:v>
                </c:pt>
                <c:pt idx="4">
                  <c:v>-72.257863443922673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5-447B-9A83-EEC9ABFB5309}"/>
            </c:ext>
          </c:extLst>
        </c:ser>
        <c:ser>
          <c:idx val="1"/>
          <c:order val="1"/>
          <c:tx>
            <c:strRef>
              <c:f>'COMPARISON 1 - apx 3'!$L$39</c:f>
              <c:strCache>
                <c:ptCount val="1"/>
                <c:pt idx="0">
                  <c:v>C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1 - apx 3'!$J$40:$J$44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3'!$L$40:$L$44</c:f>
              <c:numCache>
                <c:formatCode>General</c:formatCode>
                <c:ptCount val="5"/>
                <c:pt idx="0">
                  <c:v>17.6516465825088</c:v>
                </c:pt>
                <c:pt idx="1">
                  <c:v>23.3126220983332</c:v>
                </c:pt>
                <c:pt idx="2">
                  <c:v>8.1540445795898009</c:v>
                </c:pt>
                <c:pt idx="3">
                  <c:v>33.1358052115311</c:v>
                </c:pt>
                <c:pt idx="4">
                  <c:v>43.286497013745503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C5-447B-9A83-EEC9ABFB5309}"/>
            </c:ext>
          </c:extLst>
        </c:ser>
        <c:ser>
          <c:idx val="2"/>
          <c:order val="2"/>
          <c:tx>
            <c:strRef>
              <c:f>'COMPARISON 1 - apx 3'!$M$39</c:f>
              <c:strCache>
                <c:ptCount val="1"/>
                <c:pt idx="0">
                  <c:v>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1 - apx 3'!$J$40:$J$44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3'!$M$40:$M$44</c:f>
              <c:numCache>
                <c:formatCode>General</c:formatCode>
                <c:ptCount val="5"/>
                <c:pt idx="0">
                  <c:v>-7.9112756704249998</c:v>
                </c:pt>
                <c:pt idx="1">
                  <c:v>0.69790321805027045</c:v>
                </c:pt>
                <c:pt idx="2">
                  <c:v>-5.835888807333439</c:v>
                </c:pt>
                <c:pt idx="3">
                  <c:v>4.8979016355251614</c:v>
                </c:pt>
                <c:pt idx="4">
                  <c:v>15.89605280029086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C5-447B-9A83-EEC9ABFB5309}"/>
            </c:ext>
          </c:extLst>
        </c:ser>
        <c:ser>
          <c:idx val="3"/>
          <c:order val="3"/>
          <c:tx>
            <c:strRef>
              <c:f>'COMPARISON 1 - apx 3'!$N$39</c:f>
              <c:strCache>
                <c:ptCount val="1"/>
                <c:pt idx="0">
                  <c:v>I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1 - apx 3'!$J$40:$J$44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3'!$N$40:$N$44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C5-447B-9A83-EEC9ABFB5309}"/>
            </c:ext>
          </c:extLst>
        </c:ser>
        <c:ser>
          <c:idx val="4"/>
          <c:order val="4"/>
          <c:tx>
            <c:strRef>
              <c:f>'COMPARISON 1 - apx 3'!$O$39</c:f>
              <c:strCache>
                <c:ptCount val="1"/>
                <c:pt idx="0">
                  <c:v>H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1 - apx 3'!$J$40:$J$44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3'!$O$40:$O$44</c:f>
              <c:numCache>
                <c:formatCode>General</c:formatCode>
                <c:ptCount val="5"/>
                <c:pt idx="0">
                  <c:v>-27.362226603610701</c:v>
                </c:pt>
                <c:pt idx="1">
                  <c:v>-19.189854207504862</c:v>
                </c:pt>
                <c:pt idx="2">
                  <c:v>-33.141817936817162</c:v>
                </c:pt>
                <c:pt idx="3">
                  <c:v>-12.778073585313262</c:v>
                </c:pt>
                <c:pt idx="4">
                  <c:v>1.9300036695091372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C5-447B-9A83-EEC9ABFB5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676015"/>
        <c:axId val="1071669359"/>
      </c:lineChart>
      <c:catAx>
        <c:axId val="107167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69359"/>
        <c:crosses val="autoZero"/>
        <c:auto val="1"/>
        <c:lblAlgn val="ctr"/>
        <c:lblOffset val="100"/>
        <c:noMultiLvlLbl val="0"/>
      </c:catAx>
      <c:valAx>
        <c:axId val="1071669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Normalised Return %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Vol Normalised Drawdown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1 - apx 3'!$K$45</c:f>
              <c:strCache>
                <c:ptCount val="1"/>
                <c:pt idx="0">
                  <c:v>A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1 - apx 3'!$J$46:$J$50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3'!$K$46:$K$50</c:f>
              <c:numCache>
                <c:formatCode>General</c:formatCode>
                <c:ptCount val="5"/>
                <c:pt idx="0">
                  <c:v>7.4466532433852208</c:v>
                </c:pt>
                <c:pt idx="1">
                  <c:v>41.380938888659799</c:v>
                </c:pt>
                <c:pt idx="2">
                  <c:v>15.453258501758398</c:v>
                </c:pt>
                <c:pt idx="3">
                  <c:v>26.549117372768897</c:v>
                </c:pt>
                <c:pt idx="4">
                  <c:v>18.353417825697001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7F-4984-A203-48F6266E18FF}"/>
            </c:ext>
          </c:extLst>
        </c:ser>
        <c:ser>
          <c:idx val="1"/>
          <c:order val="1"/>
          <c:tx>
            <c:strRef>
              <c:f>'COMPARISON 1 - apx 3'!$L$45</c:f>
              <c:strCache>
                <c:ptCount val="1"/>
                <c:pt idx="0">
                  <c:v>C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1 - apx 3'!$J$46:$J$50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3'!$L$46:$L$50</c:f>
              <c:numCache>
                <c:formatCode>General</c:formatCode>
                <c:ptCount val="5"/>
                <c:pt idx="0">
                  <c:v>9.1944405504598699</c:v>
                </c:pt>
                <c:pt idx="1">
                  <c:v>5.1437803916966907</c:v>
                </c:pt>
                <c:pt idx="2">
                  <c:v>23.841389863615799</c:v>
                </c:pt>
                <c:pt idx="3">
                  <c:v>5.0703032621022004</c:v>
                </c:pt>
                <c:pt idx="4">
                  <c:v>14.4199607473798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7F-4984-A203-48F6266E18FF}"/>
            </c:ext>
          </c:extLst>
        </c:ser>
        <c:ser>
          <c:idx val="2"/>
          <c:order val="2"/>
          <c:tx>
            <c:strRef>
              <c:f>'COMPARISON 1 - apx 3'!$M$45</c:f>
              <c:strCache>
                <c:ptCount val="1"/>
                <c:pt idx="0">
                  <c:v>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1 - apx 3'!$J$46:$J$50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3'!$M$46:$M$50</c:f>
              <c:numCache>
                <c:formatCode>General</c:formatCode>
                <c:ptCount val="5"/>
                <c:pt idx="0">
                  <c:v>11.6455202693695</c:v>
                </c:pt>
                <c:pt idx="1">
                  <c:v>5.3618487227862204</c:v>
                </c:pt>
                <c:pt idx="2">
                  <c:v>24.9623983689014</c:v>
                </c:pt>
                <c:pt idx="3">
                  <c:v>0.106821089375087</c:v>
                </c:pt>
                <c:pt idx="4">
                  <c:v>22.020018109057197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57F-4984-A203-48F6266E18FF}"/>
            </c:ext>
          </c:extLst>
        </c:ser>
        <c:ser>
          <c:idx val="3"/>
          <c:order val="3"/>
          <c:tx>
            <c:strRef>
              <c:f>'COMPARISON 1 - apx 3'!$N$45</c:f>
              <c:strCache>
                <c:ptCount val="1"/>
                <c:pt idx="0">
                  <c:v>I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1 - apx 3'!$J$46:$J$50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3'!$N$46:$N$50</c:f>
              <c:numCache>
                <c:formatCode>General</c:formatCode>
                <c:ptCount val="5"/>
                <c:pt idx="0">
                  <c:v>10.1629192867562</c:v>
                </c:pt>
                <c:pt idx="1">
                  <c:v>6.2392809198712902</c:v>
                </c:pt>
                <c:pt idx="2">
                  <c:v>12.402104252372</c:v>
                </c:pt>
                <c:pt idx="3">
                  <c:v>10.1135022984286</c:v>
                </c:pt>
                <c:pt idx="4">
                  <c:v>15.101708068943202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57F-4984-A203-48F6266E18FF}"/>
            </c:ext>
          </c:extLst>
        </c:ser>
        <c:ser>
          <c:idx val="4"/>
          <c:order val="4"/>
          <c:tx>
            <c:strRef>
              <c:f>'COMPARISON 1 - apx 3'!$O$45</c:f>
              <c:strCache>
                <c:ptCount val="1"/>
                <c:pt idx="0">
                  <c:v>H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1 - apx 3'!$J$46:$J$50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3'!$O$46:$O$50</c:f>
              <c:numCache>
                <c:formatCode>General</c:formatCode>
                <c:ptCount val="5"/>
                <c:pt idx="0">
                  <c:v>28.386946908614004</c:v>
                </c:pt>
                <c:pt idx="1">
                  <c:v>2.20191973494273</c:v>
                </c:pt>
                <c:pt idx="2">
                  <c:v>22.396456340442001</c:v>
                </c:pt>
                <c:pt idx="3">
                  <c:v>5.9467217441586797</c:v>
                </c:pt>
                <c:pt idx="4">
                  <c:v>16.0183877352144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57F-4984-A203-48F6266E1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905855"/>
        <c:axId val="1830903775"/>
      </c:lineChart>
      <c:catAx>
        <c:axId val="183090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3775"/>
        <c:crosses val="autoZero"/>
        <c:auto val="1"/>
        <c:lblAlgn val="ctr"/>
        <c:lblOffset val="100"/>
        <c:noMultiLvlLbl val="0"/>
      </c:catAx>
      <c:valAx>
        <c:axId val="18309037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Drawdown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apx2'!$D$67:$D$71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apx2'!$E$67:$E$71</c:f>
              <c:numCache>
                <c:formatCode>General</c:formatCode>
                <c:ptCount val="5"/>
                <c:pt idx="0">
                  <c:v>0.31310116435544699</c:v>
                </c:pt>
                <c:pt idx="1">
                  <c:v>-2.6530672315072499</c:v>
                </c:pt>
                <c:pt idx="2">
                  <c:v>-0.107100301726419</c:v>
                </c:pt>
                <c:pt idx="3">
                  <c:v>-0.74377757460332505</c:v>
                </c:pt>
                <c:pt idx="4">
                  <c:v>1.1748754052209999E-3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F1-448E-BB57-D0CEAECA2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apx2'!$D$67:$D$71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apx2'!$J$67:$J$71</c:f>
              <c:numCache>
                <c:formatCode>General</c:formatCode>
                <c:ptCount val="5"/>
                <c:pt idx="0">
                  <c:v>2.6494334292594699</c:v>
                </c:pt>
                <c:pt idx="1">
                  <c:v>-38.793806489068331</c:v>
                </c:pt>
                <c:pt idx="2">
                  <c:v>-41.46540414235217</c:v>
                </c:pt>
                <c:pt idx="3">
                  <c:v>-60.234928189607473</c:v>
                </c:pt>
                <c:pt idx="4">
                  <c:v>-72.257863443922673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1-448E-BB57-D0CEAECA2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FinBERT (0)</a:t>
            </a:r>
            <a:endParaRPr lang="en-GB"/>
          </a:p>
        </c:rich>
      </c:tx>
      <c:layout>
        <c:manualLayout>
          <c:xMode val="edge"/>
          <c:yMode val="edge"/>
          <c:x val="0.2359838842693028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apx2'!$D$81:$D$85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apx2'!$E$81:$E$85</c:f>
              <c:numCache>
                <c:formatCode>General</c:formatCode>
                <c:ptCount val="5"/>
                <c:pt idx="0">
                  <c:v>1.3046063105441901</c:v>
                </c:pt>
                <c:pt idx="1">
                  <c:v>1.1079653972741199</c:v>
                </c:pt>
                <c:pt idx="2">
                  <c:v>-0.63296341799060596</c:v>
                </c:pt>
                <c:pt idx="3">
                  <c:v>2.05899460369695</c:v>
                </c:pt>
                <c:pt idx="4">
                  <c:v>0.52735509624756005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D-4381-8081-8AA297F48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apx2'!$D$81:$D$85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apx2'!$J$81:$J$85</c:f>
              <c:numCache>
                <c:formatCode>General</c:formatCode>
                <c:ptCount val="5"/>
                <c:pt idx="0">
                  <c:v>17.6516465825088</c:v>
                </c:pt>
                <c:pt idx="1">
                  <c:v>23.3126220983332</c:v>
                </c:pt>
                <c:pt idx="2">
                  <c:v>8.1540445795898009</c:v>
                </c:pt>
                <c:pt idx="3">
                  <c:v>33.1358052115311</c:v>
                </c:pt>
                <c:pt idx="4">
                  <c:v>43.286497013745503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D-4381-8081-8AA297F48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apx2'!$D$88:$D$92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apx2'!$E$88:$E$92</c:f>
              <c:numCache>
                <c:formatCode>General</c:formatCode>
                <c:ptCount val="5"/>
                <c:pt idx="0">
                  <c:v>-0.60134125902205404</c:v>
                </c:pt>
                <c:pt idx="1">
                  <c:v>1.3805964267620201</c:v>
                </c:pt>
                <c:pt idx="2">
                  <c:v>-0.24705923351918499</c:v>
                </c:pt>
                <c:pt idx="3">
                  <c:v>1.05523081523674</c:v>
                </c:pt>
                <c:pt idx="4">
                  <c:v>0.52255200357820197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C4-4CC8-B580-E5259DD4E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apx2'!$D$88:$D$92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apx2'!$J$88:$J$92</c:f>
              <c:numCache>
                <c:formatCode>General</c:formatCode>
                <c:ptCount val="5"/>
                <c:pt idx="0">
                  <c:v>-7.9112756704249998</c:v>
                </c:pt>
                <c:pt idx="1">
                  <c:v>0.69790321805027045</c:v>
                </c:pt>
                <c:pt idx="2">
                  <c:v>-5.835888807333439</c:v>
                </c:pt>
                <c:pt idx="3">
                  <c:v>4.8979016355251614</c:v>
                </c:pt>
                <c:pt idx="4">
                  <c:v>15.89605280029086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C4-4CC8-B580-E5259DD4E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apx2'!$E$123:$E$127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F-49A5-9457-14DEF433B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apx2'!$J$123:$J$127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9F-49A5-9457-14DEF433B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apx2'!$D$116:$D$120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apx2'!$E$116:$E$120</c:f>
              <c:numCache>
                <c:formatCode>General</c:formatCode>
                <c:ptCount val="5"/>
                <c:pt idx="0">
                  <c:v>-2.10654104400985</c:v>
                </c:pt>
                <c:pt idx="1">
                  <c:v>1.86842487719566</c:v>
                </c:pt>
                <c:pt idx="2">
                  <c:v>-0.79569343361368094</c:v>
                </c:pt>
                <c:pt idx="3">
                  <c:v>1.9109332699613999</c:v>
                </c:pt>
                <c:pt idx="4">
                  <c:v>0.61698714721048398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79-4643-A089-20FFFB88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apx2'!$D$116:$D$120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apx2'!$J$116:$J$120</c:f>
              <c:numCache>
                <c:formatCode>General</c:formatCode>
                <c:ptCount val="5"/>
                <c:pt idx="0">
                  <c:v>-27.362226603610701</c:v>
                </c:pt>
                <c:pt idx="1">
                  <c:v>-19.189854207504862</c:v>
                </c:pt>
                <c:pt idx="2">
                  <c:v>-33.141817936817162</c:v>
                </c:pt>
                <c:pt idx="3">
                  <c:v>-12.778073585313262</c:v>
                </c:pt>
                <c:pt idx="4">
                  <c:v>1.9300036695091372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9-4643-A089-20FFFB88F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4'!$E$3:$E$7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5-49CE-8B27-6A6EC14C6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4'!$J$3:$J$7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E5-49CE-8B27-6A6EC14C6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4'!$E$10:$E$14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4-4811-8C98-DC8ED051E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4'!$J$10:$J$14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4-4811-8C98-DC8ED051E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E-42AE-8FD4-AF473AAF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E-42AE-8FD4-AF473AAFC4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4'!$E$24:$E$28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3-497D-929D-816DD692A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4'!$J$24:$J$28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B3-497D-929D-816DD692A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Sharpe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2 - apx 4'!$E$32</c:f>
              <c:strCache>
                <c:ptCount val="1"/>
                <c:pt idx="0">
                  <c:v>B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2 - apx 4'!$D$33:$D$37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4'!$E$33:$E$37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-2.4229481428710469</c:v>
                </c:pt>
                <c:pt idx="2">
                  <c:v>-3.5196096080618569</c:v>
                </c:pt>
                <c:pt idx="3">
                  <c:v>-3.2683355988421301</c:v>
                </c:pt>
                <c:pt idx="4">
                  <c:v>-1.8347192171717401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3-4DE4-81C9-4C2CBA890743}"/>
            </c:ext>
          </c:extLst>
        </c:ser>
        <c:ser>
          <c:idx val="1"/>
          <c:order val="1"/>
          <c:tx>
            <c:strRef>
              <c:f>'COMPARISON 2 - apx 4'!$F$32</c:f>
              <c:strCache>
                <c:ptCount val="1"/>
                <c:pt idx="0">
                  <c:v>G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2 - apx 4'!$D$33:$D$37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4'!$F$33:$F$37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2.1031796405896421</c:v>
                </c:pt>
                <c:pt idx="2">
                  <c:v>1.7937909976703041</c:v>
                </c:pt>
                <c:pt idx="3">
                  <c:v>2.4257540871658603</c:v>
                </c:pt>
                <c:pt idx="4">
                  <c:v>2.7978031196857485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3-4DE4-81C9-4C2CBA890743}"/>
            </c:ext>
          </c:extLst>
        </c:ser>
        <c:ser>
          <c:idx val="2"/>
          <c:order val="2"/>
          <c:tx>
            <c:strRef>
              <c:f>'COMPARISON 2 - apx 4'!$G$32</c:f>
              <c:strCache>
                <c:ptCount val="1"/>
                <c:pt idx="0">
                  <c:v>J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2 - apx 4'!$D$33:$D$37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4'!$G$33:$G$37</c:f>
              <c:numCache>
                <c:formatCode>General</c:formatCode>
                <c:ptCount val="5"/>
                <c:pt idx="0">
                  <c:v>1.08016821041124</c:v>
                </c:pt>
                <c:pt idx="1">
                  <c:v>2.26621752234144</c:v>
                </c:pt>
                <c:pt idx="2">
                  <c:v>1.615062394932117</c:v>
                </c:pt>
                <c:pt idx="3">
                  <c:v>3.015684190270207</c:v>
                </c:pt>
                <c:pt idx="4">
                  <c:v>3.5483570036670078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D3-4DE4-81C9-4C2CBA890743}"/>
            </c:ext>
          </c:extLst>
        </c:ser>
        <c:ser>
          <c:idx val="3"/>
          <c:order val="3"/>
          <c:tx>
            <c:strRef>
              <c:f>'COMPARISON 2 - apx 4'!$H$32</c:f>
              <c:strCache>
                <c:ptCount val="1"/>
                <c:pt idx="0">
                  <c:v>K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2 - apx 4'!$D$33:$D$37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4'!$H$33:$H$37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2.707530846742765</c:v>
                </c:pt>
                <c:pt idx="2">
                  <c:v>2.2315305236333161</c:v>
                </c:pt>
                <c:pt idx="3">
                  <c:v>1.4107682639027821</c:v>
                </c:pt>
                <c:pt idx="4">
                  <c:v>1.2649825820651002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D3-4DE4-81C9-4C2CBA89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118223"/>
        <c:axId val="926113647"/>
      </c:lineChart>
      <c:catAx>
        <c:axId val="92611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3647"/>
        <c:crosses val="autoZero"/>
        <c:auto val="1"/>
        <c:lblAlgn val="ctr"/>
        <c:lblOffset val="100"/>
        <c:noMultiLvlLbl val="0"/>
      </c:catAx>
      <c:valAx>
        <c:axId val="926113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Normalised</a:t>
            </a:r>
            <a:r>
              <a:rPr lang="en-GB" baseline="0"/>
              <a:t> Return 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2 - apx 4'!$K$32</c:f>
              <c:strCache>
                <c:ptCount val="1"/>
                <c:pt idx="0">
                  <c:v>B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2 - apx 4'!$J$33:$J$37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4'!$K$33:$K$37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C-4482-BB2A-3CFBC4B99689}"/>
            </c:ext>
          </c:extLst>
        </c:ser>
        <c:ser>
          <c:idx val="1"/>
          <c:order val="1"/>
          <c:tx>
            <c:strRef>
              <c:f>'COMPARISON 2 - apx 4'!$L$32</c:f>
              <c:strCache>
                <c:ptCount val="1"/>
                <c:pt idx="0">
                  <c:v>G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2 - apx 4'!$J$33:$J$37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4'!$L$33:$L$37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3C-4482-BB2A-3CFBC4B99689}"/>
            </c:ext>
          </c:extLst>
        </c:ser>
        <c:ser>
          <c:idx val="2"/>
          <c:order val="2"/>
          <c:tx>
            <c:strRef>
              <c:f>'COMPARISON 2 - apx 4'!$M$32</c:f>
              <c:strCache>
                <c:ptCount val="1"/>
                <c:pt idx="0">
                  <c:v>J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2 - apx 4'!$J$33:$J$37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4'!$M$33:$M$37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3C-4482-BB2A-3CFBC4B99689}"/>
            </c:ext>
          </c:extLst>
        </c:ser>
        <c:ser>
          <c:idx val="3"/>
          <c:order val="3"/>
          <c:tx>
            <c:strRef>
              <c:f>'COMPARISON 2 - apx 4'!$N$32</c:f>
              <c:strCache>
                <c:ptCount val="1"/>
                <c:pt idx="0">
                  <c:v>K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2 - apx 4'!$J$33:$J$37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4'!$N$33:$N$37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3C-4482-BB2A-3CFBC4B99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676015"/>
        <c:axId val="1071669359"/>
      </c:lineChart>
      <c:catAx>
        <c:axId val="107167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69359"/>
        <c:crosses val="autoZero"/>
        <c:auto val="1"/>
        <c:lblAlgn val="ctr"/>
        <c:lblOffset val="100"/>
        <c:noMultiLvlLbl val="0"/>
      </c:catAx>
      <c:valAx>
        <c:axId val="1071669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Normalised Return %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Vol Normalised Drawdown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2 - apx 4'!$K$38</c:f>
              <c:strCache>
                <c:ptCount val="1"/>
                <c:pt idx="0">
                  <c:v>B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2 - apx 4'!$J$39:$J$43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4'!$K$39:$K$43</c:f>
              <c:numCache>
                <c:formatCode>General</c:formatCode>
                <c:ptCount val="5"/>
                <c:pt idx="0">
                  <c:v>16.701268282748501</c:v>
                </c:pt>
                <c:pt idx="1">
                  <c:v>31.509413051002799</c:v>
                </c:pt>
                <c:pt idx="2">
                  <c:v>20.042914207559701</c:v>
                </c:pt>
                <c:pt idx="3">
                  <c:v>11.893203911473799</c:v>
                </c:pt>
                <c:pt idx="4">
                  <c:v>13.7536300685311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C-4C95-933E-D15ED98866CD}"/>
            </c:ext>
          </c:extLst>
        </c:ser>
        <c:ser>
          <c:idx val="1"/>
          <c:order val="1"/>
          <c:tx>
            <c:strRef>
              <c:f>'COMPARISON 2 - apx 4'!$L$38</c:f>
              <c:strCache>
                <c:ptCount val="1"/>
                <c:pt idx="0">
                  <c:v>G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2 - apx 4'!$J$39:$J$43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4'!$L$39:$L$43</c:f>
              <c:numCache>
                <c:formatCode>General</c:formatCode>
                <c:ptCount val="5"/>
                <c:pt idx="0">
                  <c:v>4.5688067738636695</c:v>
                </c:pt>
                <c:pt idx="1">
                  <c:v>4.2044422096742498</c:v>
                </c:pt>
                <c:pt idx="2">
                  <c:v>14.341591645965099</c:v>
                </c:pt>
                <c:pt idx="3">
                  <c:v>12.324821294316699</c:v>
                </c:pt>
                <c:pt idx="4">
                  <c:v>31.267006553039899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C-4C95-933E-D15ED98866CD}"/>
            </c:ext>
          </c:extLst>
        </c:ser>
        <c:ser>
          <c:idx val="2"/>
          <c:order val="2"/>
          <c:tx>
            <c:strRef>
              <c:f>'COMPARISON 2 - apx 4'!$M$38</c:f>
              <c:strCache>
                <c:ptCount val="1"/>
                <c:pt idx="0">
                  <c:v>J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2 - apx 4'!$J$39:$J$43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4'!$M$39:$M$43</c:f>
              <c:numCache>
                <c:formatCode>General</c:formatCode>
                <c:ptCount val="5"/>
                <c:pt idx="0">
                  <c:v>8.987415168003821</c:v>
                </c:pt>
                <c:pt idx="1">
                  <c:v>1.95466980662462</c:v>
                </c:pt>
                <c:pt idx="2">
                  <c:v>21.3841274965724</c:v>
                </c:pt>
                <c:pt idx="3">
                  <c:v>8.3112564534654698</c:v>
                </c:pt>
                <c:pt idx="4">
                  <c:v>29.119395666058502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FC-4C95-933E-D15ED98866CD}"/>
            </c:ext>
          </c:extLst>
        </c:ser>
        <c:ser>
          <c:idx val="3"/>
          <c:order val="3"/>
          <c:tx>
            <c:strRef>
              <c:f>'COMPARISON 2 - apx 4'!$N$38</c:f>
              <c:strCache>
                <c:ptCount val="1"/>
                <c:pt idx="0">
                  <c:v>K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2 - apx 4'!$J$39:$J$43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4'!$N$39:$N$43</c:f>
              <c:numCache>
                <c:formatCode>General</c:formatCode>
                <c:ptCount val="5"/>
                <c:pt idx="0">
                  <c:v>13.217789730839899</c:v>
                </c:pt>
                <c:pt idx="1">
                  <c:v>1.8713225354218401</c:v>
                </c:pt>
                <c:pt idx="2">
                  <c:v>24.225848413286698</c:v>
                </c:pt>
                <c:pt idx="3">
                  <c:v>11.660433769429099</c:v>
                </c:pt>
                <c:pt idx="4">
                  <c:v>19.759752184762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FC-4C95-933E-D15ED9886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905855"/>
        <c:axId val="1830903775"/>
      </c:lineChart>
      <c:catAx>
        <c:axId val="183090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3775"/>
        <c:crosses val="autoZero"/>
        <c:auto val="1"/>
        <c:lblAlgn val="ctr"/>
        <c:lblOffset val="100"/>
        <c:noMultiLvlLbl val="0"/>
      </c:catAx>
      <c:valAx>
        <c:axId val="18309037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Drawdown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3-48E9-BDF7-048C4F5BC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3-48E9-BDF7-048C4F5BCC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E-4452-8B17-ED13B5E5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FE-4452-8B17-ED13B5E55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A7-4FD0-800D-4F0B9AD10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7-4FD0-800D-4F0B9AD10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B-45D2-8345-94D7D1AFB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0B-45D2-8345-94D7D1AFB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9-4726-A378-65DE9DAFF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9-4726-A378-65DE9DAFF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4-4CFA-B8D6-AA170B92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C4-4CFA-B8D6-AA170B9290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E-4BFA-86D9-99683F250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EE-4BFA-86D9-99683F250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5-4D57-8EDB-F4D4886F6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5-4D57-8EDB-F4D4886F67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5'!$E$3:$E$7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38-40B9-982C-D5A30561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5'!$J$3:$J$7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38-40B9-982C-D5A30561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5'!$E$10:$E$14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6-4686-B7DB-235341E0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5'!$J$10:$J$14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06-4686-B7DB-235341E09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6B-428C-B6F0-AA0DF5E5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6B-428C-B6F0-AA0DF5E5C4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5'!$E$45:$E$49</c:f>
              <c:numCache>
                <c:formatCode>General</c:formatCode>
                <c:ptCount val="5"/>
                <c:pt idx="0">
                  <c:v>0.497250358309832</c:v>
                </c:pt>
                <c:pt idx="1">
                  <c:v>1.40818040406152</c:v>
                </c:pt>
                <c:pt idx="2">
                  <c:v>-0.680582645310156</c:v>
                </c:pt>
                <c:pt idx="3">
                  <c:v>-0.17184181706276899</c:v>
                </c:pt>
                <c:pt idx="4">
                  <c:v>4.8870549457366998E-2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6A-9EF5-CE1799D21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5'!$J$45:$J$49</c:f>
              <c:numCache>
                <c:formatCode>General</c:formatCode>
                <c:ptCount val="5"/>
                <c:pt idx="0">
                  <c:v>10.550880497146101</c:v>
                </c:pt>
                <c:pt idx="1">
                  <c:v>18.864123654534961</c:v>
                </c:pt>
                <c:pt idx="2">
                  <c:v>7.1943395416486613</c:v>
                </c:pt>
                <c:pt idx="3">
                  <c:v>5.4029002328819216</c:v>
                </c:pt>
                <c:pt idx="4">
                  <c:v>1.7089592806063414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AF-476A-9EF5-CE1799D21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Sharpe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3 - apx 5'!$E$53</c:f>
              <c:strCache>
                <c:ptCount val="1"/>
                <c:pt idx="0">
                  <c:v>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3 - apx 5'!$D$54:$D$58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5'!$E$54:$E$58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0.39919002718242302</c:v>
                </c:pt>
                <c:pt idx="2">
                  <c:v>0.27361742336078398</c:v>
                </c:pt>
                <c:pt idx="3">
                  <c:v>1.524389249736344</c:v>
                </c:pt>
                <c:pt idx="4">
                  <c:v>2.820265961796574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5D-4496-8300-8461842F88F5}"/>
            </c:ext>
          </c:extLst>
        </c:ser>
        <c:ser>
          <c:idx val="1"/>
          <c:order val="1"/>
          <c:tx>
            <c:strRef>
              <c:f>'COMPARISON 3 - apx 5'!$F$53</c:f>
              <c:strCache>
                <c:ptCount val="1"/>
                <c:pt idx="0">
                  <c:v>J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3 - apx 5'!$D$54:$D$58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5'!$F$54:$F$58</c:f>
              <c:numCache>
                <c:formatCode>General</c:formatCode>
                <c:ptCount val="5"/>
                <c:pt idx="0">
                  <c:v>1.08016821041124</c:v>
                </c:pt>
                <c:pt idx="1">
                  <c:v>2.26621752234144</c:v>
                </c:pt>
                <c:pt idx="2">
                  <c:v>1.615062394932117</c:v>
                </c:pt>
                <c:pt idx="3">
                  <c:v>3.015684190270207</c:v>
                </c:pt>
                <c:pt idx="4">
                  <c:v>3.5483570036670078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5D-4496-8300-8461842F88F5}"/>
            </c:ext>
          </c:extLst>
        </c:ser>
        <c:ser>
          <c:idx val="2"/>
          <c:order val="2"/>
          <c:tx>
            <c:strRef>
              <c:f>'COMPARISON 3 - apx 5'!$G$53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3 - apx 5'!$D$54:$D$58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5'!$G$54:$G$58</c:f>
              <c:numCache>
                <c:formatCode>General</c:formatCode>
                <c:ptCount val="5"/>
                <c:pt idx="0">
                  <c:v>0.61566824809832899</c:v>
                </c:pt>
                <c:pt idx="1">
                  <c:v>3.3242631571099488</c:v>
                </c:pt>
                <c:pt idx="2">
                  <c:v>4.2932506638584966</c:v>
                </c:pt>
                <c:pt idx="3">
                  <c:v>6.0545613828276066</c:v>
                </c:pt>
                <c:pt idx="4">
                  <c:v>6.5581676936424342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5D-4496-8300-8461842F88F5}"/>
            </c:ext>
          </c:extLst>
        </c:ser>
        <c:ser>
          <c:idx val="3"/>
          <c:order val="3"/>
          <c:tx>
            <c:strRef>
              <c:f>'COMPARISON 3 - apx 5'!$H$53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3 - apx 5'!$D$54:$D$58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5'!$H$54:$H$58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2.1348799958444271</c:v>
                </c:pt>
                <c:pt idx="2">
                  <c:v>2.922292306638508</c:v>
                </c:pt>
                <c:pt idx="3">
                  <c:v>3.9772566259581179</c:v>
                </c:pt>
                <c:pt idx="4">
                  <c:v>4.7554899532196488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5D-4496-8300-8461842F88F5}"/>
            </c:ext>
          </c:extLst>
        </c:ser>
        <c:ser>
          <c:idx val="4"/>
          <c:order val="4"/>
          <c:tx>
            <c:strRef>
              <c:f>'COMPARISON 3 - apx 5'!$I$53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3 - apx 5'!$D$54:$D$58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5'!$I$54:$I$58</c:f>
              <c:numCache>
                <c:formatCode>General</c:formatCode>
                <c:ptCount val="5"/>
                <c:pt idx="0">
                  <c:v>0.89791770915445801</c:v>
                </c:pt>
                <c:pt idx="1">
                  <c:v>2.2873376892267978</c:v>
                </c:pt>
                <c:pt idx="2">
                  <c:v>1.3871038522921109</c:v>
                </c:pt>
                <c:pt idx="3">
                  <c:v>1.3714858998968409</c:v>
                </c:pt>
                <c:pt idx="4">
                  <c:v>1.8122085877905949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5D-4496-8300-8461842F88F5}"/>
            </c:ext>
          </c:extLst>
        </c:ser>
        <c:ser>
          <c:idx val="5"/>
          <c:order val="5"/>
          <c:tx>
            <c:strRef>
              <c:f>'COMPARISON 3 - apx 5'!$J$53</c:f>
              <c:strCache>
                <c:ptCount val="1"/>
                <c:pt idx="0">
                  <c:v>O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'COMPARISON 3 - apx 5'!$D$54:$D$58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5'!$J$54:$J$58</c:f>
              <c:numCache>
                <c:formatCode>General</c:formatCode>
                <c:ptCount val="5"/>
                <c:pt idx="0">
                  <c:v>0.48348162392675798</c:v>
                </c:pt>
                <c:pt idx="1">
                  <c:v>2.161675651900278</c:v>
                </c:pt>
                <c:pt idx="2">
                  <c:v>1.5296273758052181</c:v>
                </c:pt>
                <c:pt idx="3">
                  <c:v>3.4743371370976179</c:v>
                </c:pt>
                <c:pt idx="4">
                  <c:v>4.5274638490532277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5D-4496-8300-8461842F88F5}"/>
            </c:ext>
          </c:extLst>
        </c:ser>
        <c:ser>
          <c:idx val="6"/>
          <c:order val="6"/>
          <c:tx>
            <c:strRef>
              <c:f>'COMPARISON 3 - apx 5'!$K$53</c:f>
              <c:strCache>
                <c:ptCount val="1"/>
                <c:pt idx="0">
                  <c:v>P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'COMPARISON 3 - apx 5'!$D$54:$D$58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5'!$K$54:$K$58</c:f>
              <c:numCache>
                <c:formatCode>General</c:formatCode>
                <c:ptCount val="5"/>
                <c:pt idx="0">
                  <c:v>0.497250358309832</c:v>
                </c:pt>
                <c:pt idx="1">
                  <c:v>1.905430762371352</c:v>
                </c:pt>
                <c:pt idx="2">
                  <c:v>1.224848117061196</c:v>
                </c:pt>
                <c:pt idx="3">
                  <c:v>1.0530062999984271</c:v>
                </c:pt>
                <c:pt idx="4">
                  <c:v>1.101876849455794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5D-4496-8300-8461842F8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118223"/>
        <c:axId val="926113647"/>
      </c:lineChart>
      <c:catAx>
        <c:axId val="92611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3647"/>
        <c:crosses val="autoZero"/>
        <c:auto val="1"/>
        <c:lblAlgn val="ctr"/>
        <c:lblOffset val="100"/>
        <c:noMultiLvlLbl val="0"/>
      </c:catAx>
      <c:valAx>
        <c:axId val="926113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Normalised</a:t>
            </a:r>
            <a:r>
              <a:rPr lang="en-GB" baseline="0"/>
              <a:t> Return 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3 - apx 5'!$E$65</c:f>
              <c:strCache>
                <c:ptCount val="1"/>
                <c:pt idx="0">
                  <c:v>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3 - apx 5'!$D$66:$D$70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5'!$E$66:$E$70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5-46E1-91D8-C067B84ACD0E}"/>
            </c:ext>
          </c:extLst>
        </c:ser>
        <c:ser>
          <c:idx val="1"/>
          <c:order val="1"/>
          <c:tx>
            <c:strRef>
              <c:f>'COMPARISON 3 - apx 5'!$F$65</c:f>
              <c:strCache>
                <c:ptCount val="1"/>
                <c:pt idx="0">
                  <c:v>J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3 - apx 5'!$D$66:$D$70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5'!$F$66:$F$70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5-46E1-91D8-C067B84ACD0E}"/>
            </c:ext>
          </c:extLst>
        </c:ser>
        <c:ser>
          <c:idx val="2"/>
          <c:order val="2"/>
          <c:tx>
            <c:strRef>
              <c:f>'COMPARISON 3 - apx 5'!$G$65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3 - apx 5'!$D$66:$D$70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5'!$G$66:$G$70</c:f>
              <c:numCache>
                <c:formatCode>General</c:formatCode>
                <c:ptCount val="5"/>
                <c:pt idx="0">
                  <c:v>7.3604136371056894</c:v>
                </c:pt>
                <c:pt idx="1">
                  <c:v>23.77363250645789</c:v>
                </c:pt>
                <c:pt idx="2">
                  <c:v>39.103451741307993</c:v>
                </c:pt>
                <c:pt idx="3">
                  <c:v>61.67385831196799</c:v>
                </c:pt>
                <c:pt idx="4">
                  <c:v>72.459280403205696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5-46E1-91D8-C067B84ACD0E}"/>
            </c:ext>
          </c:extLst>
        </c:ser>
        <c:ser>
          <c:idx val="3"/>
          <c:order val="3"/>
          <c:tx>
            <c:strRef>
              <c:f>'COMPARISON 3 - apx 5'!$H$65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3 - apx 5'!$D$66:$D$70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5'!$H$66:$H$70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5-46E1-91D8-C067B84ACD0E}"/>
            </c:ext>
          </c:extLst>
        </c:ser>
        <c:ser>
          <c:idx val="4"/>
          <c:order val="4"/>
          <c:tx>
            <c:strRef>
              <c:f>'COMPARISON 3 - apx 5'!$I$65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3 - apx 5'!$D$66:$D$70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5'!$I$66:$I$70</c:f>
              <c:numCache>
                <c:formatCode>General</c:formatCode>
                <c:ptCount val="5"/>
                <c:pt idx="0">
                  <c:v>11.0915645405946</c:v>
                </c:pt>
                <c:pt idx="1">
                  <c:v>19.192867776999869</c:v>
                </c:pt>
                <c:pt idx="2">
                  <c:v>4.790935304605469</c:v>
                </c:pt>
                <c:pt idx="3">
                  <c:v>4.1962116434485432</c:v>
                </c:pt>
                <c:pt idx="4">
                  <c:v>13.490007900882084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5-46E1-91D8-C067B84ACD0E}"/>
            </c:ext>
          </c:extLst>
        </c:ser>
        <c:ser>
          <c:idx val="5"/>
          <c:order val="5"/>
          <c:tx>
            <c:strRef>
              <c:f>'COMPARISON 3 - apx 5'!$J$65</c:f>
              <c:strCache>
                <c:ptCount val="1"/>
                <c:pt idx="0">
                  <c:v>O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'COMPARISON 3 - apx 5'!$D$66:$D$70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5'!$J$66:$J$70</c:f>
              <c:numCache>
                <c:formatCode>General</c:formatCode>
                <c:ptCount val="5"/>
                <c:pt idx="0">
                  <c:v>5.4442915385655999</c:v>
                </c:pt>
                <c:pt idx="1">
                  <c:v>13.069029952761351</c:v>
                </c:pt>
                <c:pt idx="2">
                  <c:v>7.9864807688067412</c:v>
                </c:pt>
                <c:pt idx="3">
                  <c:v>30.169305127050741</c:v>
                </c:pt>
                <c:pt idx="4">
                  <c:v>70.54483312352744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435-46E1-91D8-C067B84ACD0E}"/>
            </c:ext>
          </c:extLst>
        </c:ser>
        <c:ser>
          <c:idx val="6"/>
          <c:order val="6"/>
          <c:tx>
            <c:strRef>
              <c:f>'COMPARISON 3 - apx 5'!$K$65</c:f>
              <c:strCache>
                <c:ptCount val="1"/>
                <c:pt idx="0">
                  <c:v>P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'COMPARISON 3 - apx 5'!$D$66:$D$70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5'!$K$66:$K$70</c:f>
              <c:numCache>
                <c:formatCode>General</c:formatCode>
                <c:ptCount val="5"/>
                <c:pt idx="0">
                  <c:v>10.550880497146101</c:v>
                </c:pt>
                <c:pt idx="1">
                  <c:v>18.864123654534961</c:v>
                </c:pt>
                <c:pt idx="2">
                  <c:v>7.1943395416486613</c:v>
                </c:pt>
                <c:pt idx="3">
                  <c:v>5.4029002328819216</c:v>
                </c:pt>
                <c:pt idx="4">
                  <c:v>1.7089592806063414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435-46E1-91D8-C067B84AC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676015"/>
        <c:axId val="1071669359"/>
      </c:lineChart>
      <c:catAx>
        <c:axId val="107167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69359"/>
        <c:crosses val="autoZero"/>
        <c:auto val="1"/>
        <c:lblAlgn val="ctr"/>
        <c:lblOffset val="100"/>
        <c:noMultiLvlLbl val="0"/>
      </c:catAx>
      <c:valAx>
        <c:axId val="1071669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Normalised Return %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Vol Normalised Drawdown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3 - apx 5'!$E$71</c:f>
              <c:strCache>
                <c:ptCount val="1"/>
                <c:pt idx="0">
                  <c:v>I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3 - apx 5'!$D$72:$D$76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5'!$E$72:$E$76</c:f>
              <c:numCache>
                <c:formatCode>General</c:formatCode>
                <c:ptCount val="5"/>
                <c:pt idx="0">
                  <c:v>10.1629192867562</c:v>
                </c:pt>
                <c:pt idx="1">
                  <c:v>6.2392809198712902</c:v>
                </c:pt>
                <c:pt idx="2">
                  <c:v>12.402104252372</c:v>
                </c:pt>
                <c:pt idx="3">
                  <c:v>10.1135022984286</c:v>
                </c:pt>
                <c:pt idx="4">
                  <c:v>15.101708068943202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05-4AB0-9656-7069B9A06529}"/>
            </c:ext>
          </c:extLst>
        </c:ser>
        <c:ser>
          <c:idx val="1"/>
          <c:order val="1"/>
          <c:tx>
            <c:strRef>
              <c:f>'COMPARISON 3 - apx 5'!$F$71</c:f>
              <c:strCache>
                <c:ptCount val="1"/>
                <c:pt idx="0">
                  <c:v>J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3 - apx 5'!$D$72:$D$76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5'!$F$72:$F$76</c:f>
              <c:numCache>
                <c:formatCode>General</c:formatCode>
                <c:ptCount val="5"/>
                <c:pt idx="0">
                  <c:v>8.987415168003821</c:v>
                </c:pt>
                <c:pt idx="1">
                  <c:v>1.95466980662462</c:v>
                </c:pt>
                <c:pt idx="2">
                  <c:v>21.3841274965724</c:v>
                </c:pt>
                <c:pt idx="3">
                  <c:v>8.3112564534654698</c:v>
                </c:pt>
                <c:pt idx="4">
                  <c:v>29.119395666058502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05-4AB0-9656-7069B9A06529}"/>
            </c:ext>
          </c:extLst>
        </c:ser>
        <c:ser>
          <c:idx val="2"/>
          <c:order val="2"/>
          <c:tx>
            <c:strRef>
              <c:f>'COMPARISON 3 - apx 5'!$G$71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3 - apx 5'!$D$72:$D$76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5'!$G$72:$G$76</c:f>
              <c:numCache>
                <c:formatCode>General</c:formatCode>
                <c:ptCount val="5"/>
                <c:pt idx="0">
                  <c:v>8.3571372593065387</c:v>
                </c:pt>
                <c:pt idx="1">
                  <c:v>3.3386541624484996</c:v>
                </c:pt>
                <c:pt idx="2">
                  <c:v>12.076283134086701</c:v>
                </c:pt>
                <c:pt idx="3">
                  <c:v>6.8593116569808501</c:v>
                </c:pt>
                <c:pt idx="4">
                  <c:v>21.902339671591601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05-4AB0-9656-7069B9A06529}"/>
            </c:ext>
          </c:extLst>
        </c:ser>
        <c:ser>
          <c:idx val="3"/>
          <c:order val="3"/>
          <c:tx>
            <c:strRef>
              <c:f>'COMPARISON 3 - apx 5'!$H$71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3 - apx 5'!$D$72:$D$76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5'!$H$72:$H$76</c:f>
              <c:numCache>
                <c:formatCode>General</c:formatCode>
                <c:ptCount val="5"/>
                <c:pt idx="0">
                  <c:v>10.721711809984399</c:v>
                </c:pt>
                <c:pt idx="1">
                  <c:v>1.71915431876838</c:v>
                </c:pt>
                <c:pt idx="2">
                  <c:v>6.4388924719336398</c:v>
                </c:pt>
                <c:pt idx="3">
                  <c:v>12.881050086818</c:v>
                </c:pt>
                <c:pt idx="4">
                  <c:v>32.295988626696499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05-4AB0-9656-7069B9A06529}"/>
            </c:ext>
          </c:extLst>
        </c:ser>
        <c:ser>
          <c:idx val="4"/>
          <c:order val="4"/>
          <c:tx>
            <c:strRef>
              <c:f>'COMPARISON 3 - apx 5'!$I$71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3 - apx 5'!$D$72:$D$76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5'!$I$72:$I$76</c:f>
              <c:numCache>
                <c:formatCode>General</c:formatCode>
                <c:ptCount val="5"/>
                <c:pt idx="0">
                  <c:v>5.8569066347400298</c:v>
                </c:pt>
                <c:pt idx="1">
                  <c:v>3.43296347638868</c:v>
                </c:pt>
                <c:pt idx="2">
                  <c:v>24.442097621801302</c:v>
                </c:pt>
                <c:pt idx="3">
                  <c:v>9.0493296275326394</c:v>
                </c:pt>
                <c:pt idx="4">
                  <c:v>33.302697931928797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05-4AB0-9656-7069B9A06529}"/>
            </c:ext>
          </c:extLst>
        </c:ser>
        <c:ser>
          <c:idx val="5"/>
          <c:order val="5"/>
          <c:tx>
            <c:strRef>
              <c:f>'COMPARISON 3 - apx 5'!$J$71</c:f>
              <c:strCache>
                <c:ptCount val="1"/>
                <c:pt idx="0">
                  <c:v>O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'COMPARISON 3 - apx 5'!$D$72:$D$76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5'!$J$72:$J$76</c:f>
              <c:numCache>
                <c:formatCode>General</c:formatCode>
                <c:ptCount val="5"/>
                <c:pt idx="0">
                  <c:v>11.038557176216599</c:v>
                </c:pt>
                <c:pt idx="1">
                  <c:v>2.3112355355055203</c:v>
                </c:pt>
                <c:pt idx="2">
                  <c:v>10.1456912111371</c:v>
                </c:pt>
                <c:pt idx="3">
                  <c:v>6.6781114014427505</c:v>
                </c:pt>
                <c:pt idx="4">
                  <c:v>32.431528467049596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05-4AB0-9656-7069B9A06529}"/>
            </c:ext>
          </c:extLst>
        </c:ser>
        <c:ser>
          <c:idx val="6"/>
          <c:order val="6"/>
          <c:tx>
            <c:strRef>
              <c:f>'COMPARISON 3 - apx 5'!$K$71</c:f>
              <c:strCache>
                <c:ptCount val="1"/>
                <c:pt idx="0">
                  <c:v>P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cat>
            <c:strRef>
              <c:f>'COMPARISON 3 - apx 5'!$D$72:$D$76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5'!$K$72:$K$76</c:f>
              <c:numCache>
                <c:formatCode>General</c:formatCode>
                <c:ptCount val="5"/>
                <c:pt idx="0">
                  <c:v>6.2964468440433397</c:v>
                </c:pt>
                <c:pt idx="1">
                  <c:v>4.44234705105863</c:v>
                </c:pt>
                <c:pt idx="2">
                  <c:v>19.325466258758301</c:v>
                </c:pt>
                <c:pt idx="3">
                  <c:v>10.641149014779099</c:v>
                </c:pt>
                <c:pt idx="4">
                  <c:v>30.813220340465801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05-4AB0-9656-7069B9A06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905855"/>
        <c:axId val="1830903775"/>
      </c:lineChart>
      <c:catAx>
        <c:axId val="183090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3775"/>
        <c:crosses val="autoZero"/>
        <c:auto val="1"/>
        <c:lblAlgn val="ctr"/>
        <c:lblOffset val="100"/>
        <c:noMultiLvlLbl val="0"/>
      </c:catAx>
      <c:valAx>
        <c:axId val="18309037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Drawdown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74-4AE8-A26A-71D7713D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74-4AE8-A26A-71D7713D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F9-49D2-BA61-6D35305F3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F9-49D2-BA61-6D35305F3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F-43B4-9557-A40157FB9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F-43B4-9557-A40157FB9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8-4501-A35C-30D8E9327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8-4501-A35C-30D8E9327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39-4048-A9EA-7C6BA1874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9-4048-A9EA-7C6BA1874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0-43C7-A08B-8243F226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20-43C7-A08B-8243F226E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DD-41F5-A6AB-8138F0239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D-41F5-A6AB-8138F0239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37-4520-A01D-9C8AB615F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37-4520-A01D-9C8AB615F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1-4A60-B3A7-D2B2E14C6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1-4A60-B3A7-D2B2E14C6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</a:t>
            </a:r>
            <a:endParaRPr lang="en-GB"/>
          </a:p>
        </c:rich>
      </c:tx>
      <c:layout>
        <c:manualLayout>
          <c:xMode val="edge"/>
          <c:yMode val="edge"/>
          <c:x val="0.2653367862039260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apx2'!$E$123:$E$127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83-4F68-8C82-51B5D318B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apx2'!$J$123:$J$127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83-4F68-8C82-51B5D318B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9-453C-9829-20DCD6AE2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9-453C-9829-20DCD6AE2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8E-48F9-8EAD-58F88C85A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E-48F9-8EAD-58F88C85A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92-43D8-894A-B010C72A2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92-43D8-894A-B010C72A2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5'!$E$3:$E$7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C3-411B-8852-756C79A16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5'!$J$3:$J$7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C3-411B-8852-756C79A16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5'!$E$10:$E$14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BC-4DF2-8C72-71AB611BD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5'!$J$10:$J$14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BC-4DF2-8C72-71AB611BD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5-4FAC-A081-A4A2BA22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5-4FAC-A081-A4A2BA224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3-4A4F-887B-B27D7283D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3-4A4F-887B-B27D7283D5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A0-46C4-9C86-435997FE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0-46C4-9C86-435997FE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D-4941-82D4-40CD19933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9D-4941-82D4-40CD19933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4-4364-92FA-AA3B37340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54-4364-92FA-AA3B37340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 + News + Time</a:t>
            </a:r>
            <a:endParaRPr lang="en-GB"/>
          </a:p>
        </c:rich>
      </c:tx>
      <c:layout>
        <c:manualLayout>
          <c:xMode val="edge"/>
          <c:yMode val="edge"/>
          <c:x val="0.1452567328350133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B-4704-82BC-E9CDC48BD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B-4704-82BC-E9CDC48BD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33-479A-80BE-CFFBD45F7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33-479A-80BE-CFFBD45F7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7-4A31-A78A-B0350F41C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7-4A31-A78A-B0350F41C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- News</a:t>
            </a:r>
            <a:endParaRPr lang="en-GB"/>
          </a:p>
        </c:rich>
      </c:tx>
      <c:layout>
        <c:manualLayout>
          <c:xMode val="edge"/>
          <c:yMode val="edge"/>
          <c:x val="0.21463631922594065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5'!$E$45:$E$49</c:f>
              <c:numCache>
                <c:formatCode>General</c:formatCode>
                <c:ptCount val="5"/>
                <c:pt idx="0">
                  <c:v>0.497250358309832</c:v>
                </c:pt>
                <c:pt idx="1">
                  <c:v>1.40818040406152</c:v>
                </c:pt>
                <c:pt idx="2">
                  <c:v>-0.680582645310156</c:v>
                </c:pt>
                <c:pt idx="3">
                  <c:v>-0.17184181706276899</c:v>
                </c:pt>
                <c:pt idx="4">
                  <c:v>4.8870549457366998E-2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1C-49CF-8C97-9B3928EA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5'!$J$45:$J$49</c:f>
              <c:numCache>
                <c:formatCode>General</c:formatCode>
                <c:ptCount val="5"/>
                <c:pt idx="0">
                  <c:v>10.550880497146101</c:v>
                </c:pt>
                <c:pt idx="1">
                  <c:v>18.864123654534961</c:v>
                </c:pt>
                <c:pt idx="2">
                  <c:v>7.1943395416486613</c:v>
                </c:pt>
                <c:pt idx="3">
                  <c:v>5.4029002328819216</c:v>
                </c:pt>
                <c:pt idx="4">
                  <c:v>1.7089592806063414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1C-49CF-8C97-9B3928EAB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FinBERT (1) + News + Time</a:t>
            </a:r>
            <a:endParaRPr lang="en-GB"/>
          </a:p>
        </c:rich>
      </c:tx>
      <c:layout>
        <c:manualLayout>
          <c:xMode val="edge"/>
          <c:yMode val="edge"/>
          <c:x val="0.12657761342207141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5'!$E$17:$E$21</c:f>
              <c:numCache>
                <c:formatCode>General</c:formatCode>
                <c:ptCount val="5"/>
                <c:pt idx="0">
                  <c:v>0.61566824809832899</c:v>
                </c:pt>
                <c:pt idx="1">
                  <c:v>2.7085949090116199</c:v>
                </c:pt>
                <c:pt idx="2">
                  <c:v>0.96898750674854806</c:v>
                </c:pt>
                <c:pt idx="3">
                  <c:v>1.76131071896911</c:v>
                </c:pt>
                <c:pt idx="4">
                  <c:v>0.50360631081482798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0-4370-966C-A1968D561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5'!$J$17:$J$21</c:f>
              <c:numCache>
                <c:formatCode>General</c:formatCode>
                <c:ptCount val="5"/>
                <c:pt idx="0">
                  <c:v>7.3604136371056894</c:v>
                </c:pt>
                <c:pt idx="1">
                  <c:v>23.77363250645789</c:v>
                </c:pt>
                <c:pt idx="2">
                  <c:v>39.103451741307993</c:v>
                </c:pt>
                <c:pt idx="3">
                  <c:v>61.67385831196799</c:v>
                </c:pt>
                <c:pt idx="4">
                  <c:v>72.459280403205696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0-4370-966C-A1968D561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5'!$E$45:$E$49</c:f>
              <c:numCache>
                <c:formatCode>General</c:formatCode>
                <c:ptCount val="5"/>
                <c:pt idx="0">
                  <c:v>0.497250358309832</c:v>
                </c:pt>
                <c:pt idx="1">
                  <c:v>1.40818040406152</c:v>
                </c:pt>
                <c:pt idx="2">
                  <c:v>-0.680582645310156</c:v>
                </c:pt>
                <c:pt idx="3">
                  <c:v>-0.17184181706276899</c:v>
                </c:pt>
                <c:pt idx="4">
                  <c:v>4.8870549457366998E-2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B2-41F8-A828-C8B41D512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5'!$J$45:$J$49</c:f>
              <c:numCache>
                <c:formatCode>General</c:formatCode>
                <c:ptCount val="5"/>
                <c:pt idx="0">
                  <c:v>10.550880497146101</c:v>
                </c:pt>
                <c:pt idx="1">
                  <c:v>18.864123654534961</c:v>
                </c:pt>
                <c:pt idx="2">
                  <c:v>7.1943395416486613</c:v>
                </c:pt>
                <c:pt idx="3">
                  <c:v>5.4029002328819216</c:v>
                </c:pt>
                <c:pt idx="4">
                  <c:v>1.7089592806063414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B2-41F8-A828-C8B41D512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7-494B-927B-7E3EE2132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7-494B-927B-7E3EE2132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5-4DB0-8B72-52402FFD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25-4DB0-8B72-52402FFD1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5'!$E$10:$E$14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B-4EB4-90C0-ECB6522EE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5'!$D$10:$D$14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5'!$J$10:$J$14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DB-4EB4-90C0-ECB6522EE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69-417E-B92B-AC221497C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9-417E-B92B-AC221497C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6-4FC7-938A-3076A892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76-4FC7-938A-3076A892F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EA-43DF-B83A-E3076593E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EA-43DF-B83A-E3076593E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A1-4CAE-A8D2-31EAEE3A6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A1-4CAE-A8D2-31EAEE3A6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+ News + Time</a:t>
            </a:r>
            <a:endParaRPr lang="en-GB"/>
          </a:p>
        </c:rich>
      </c:tx>
      <c:layout>
        <c:manualLayout>
          <c:xMode val="edge"/>
          <c:yMode val="edge"/>
          <c:x val="0.182614971660897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5'!$E$31:$E$35</c:f>
              <c:numCache>
                <c:formatCode>General</c:formatCode>
                <c:ptCount val="5"/>
                <c:pt idx="0">
                  <c:v>0.89791770915445801</c:v>
                </c:pt>
                <c:pt idx="1">
                  <c:v>1.3894199800723399</c:v>
                </c:pt>
                <c:pt idx="2">
                  <c:v>-0.90023383693468695</c:v>
                </c:pt>
                <c:pt idx="3">
                  <c:v>-1.561795239527E-2</c:v>
                </c:pt>
                <c:pt idx="4">
                  <c:v>0.44072268789375402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D-4868-8189-8A995335C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5'!$J$31:$J$35</c:f>
              <c:numCache>
                <c:formatCode>General</c:formatCode>
                <c:ptCount val="5"/>
                <c:pt idx="0">
                  <c:v>11.0915645405946</c:v>
                </c:pt>
                <c:pt idx="1">
                  <c:v>19.192867776999869</c:v>
                </c:pt>
                <c:pt idx="2">
                  <c:v>4.790935304605469</c:v>
                </c:pt>
                <c:pt idx="3">
                  <c:v>4.1962116434485432</c:v>
                </c:pt>
                <c:pt idx="4">
                  <c:v>13.490007900882084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D-4868-8189-8A995335C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C-47FC-9145-C2434D1EA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CC-47FC-9145-C2434D1EA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3A-4001-A1A1-E4608D02E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A-4001-A1A1-E4608D02E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C-4D93-8FDB-83D7BCA2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C-4D93-8FDB-83D7BCA21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5'!$E$3:$E$7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73-4543-BC71-F729A18F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5'!$D$3:$D$7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5'!$J$3:$J$7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73-4543-BC71-F729A18FF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D-4154-86FC-88EA4D5D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4D-4154-86FC-88EA4D5DE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3A-4BDF-8D79-301C01574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3A-4BDF-8D79-301C01574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47-4990-BACF-52DBAC75E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47-4990-BACF-52DBAC75E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 + News</a:t>
            </a:r>
            <a:endParaRPr lang="en-GB"/>
          </a:p>
        </c:rich>
      </c:tx>
      <c:layout>
        <c:manualLayout>
          <c:xMode val="edge"/>
          <c:yMode val="edge"/>
          <c:x val="0.1719411891392161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3 - apx 5'!$D$38:$D$42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5'!$E$38:$E$42</c:f>
              <c:numCache>
                <c:formatCode>General</c:formatCode>
                <c:ptCount val="5"/>
                <c:pt idx="0">
                  <c:v>0.48348162392675798</c:v>
                </c:pt>
                <c:pt idx="1">
                  <c:v>1.6781940279735199</c:v>
                </c:pt>
                <c:pt idx="2">
                  <c:v>-0.63204827609505998</c:v>
                </c:pt>
                <c:pt idx="3">
                  <c:v>1.9447097612924</c:v>
                </c:pt>
                <c:pt idx="4">
                  <c:v>1.05312671195561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C2-4C3F-AABD-F8180ED69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3 - apx 5'!$D$38:$D$42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3 - apx 5'!$J$38:$J$42</c:f>
              <c:numCache>
                <c:formatCode>General</c:formatCode>
                <c:ptCount val="5"/>
                <c:pt idx="0">
                  <c:v>5.4442915385655999</c:v>
                </c:pt>
                <c:pt idx="1">
                  <c:v>13.069029952761351</c:v>
                </c:pt>
                <c:pt idx="2">
                  <c:v>7.9864807688067412</c:v>
                </c:pt>
                <c:pt idx="3">
                  <c:v>30.169305127050741</c:v>
                </c:pt>
                <c:pt idx="4">
                  <c:v>70.54483312352744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2-4C3F-AABD-F8180ED69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6'!$D$3:$D$7</c:f>
            </c:multiLvlStrRef>
          </c:cat>
          <c:val>
            <c:numRef>
              <c:f>'COMPARISON 4 - apx 6'!$E$3:$E$7</c:f>
            </c:numRef>
          </c:val>
          <c:extLst>
            <c:ext xmlns:c16="http://schemas.microsoft.com/office/drawing/2014/chart" uri="{C3380CC4-5D6E-409C-BE32-E72D297353CC}">
              <c16:uniqueId val="{00000000-8F9D-4B89-A599-836B8E389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6'!$D$3:$D$7</c:f>
            </c:multiLvlStrRef>
          </c:cat>
          <c:val>
            <c:numRef>
              <c:f>'COMPARISON 4 - apx 6'!$J$3:$J$7</c:f>
            </c:numRef>
          </c:val>
          <c:smooth val="0"/>
          <c:extLst>
            <c:ext xmlns:c16="http://schemas.microsoft.com/office/drawing/2014/chart" uri="{C3380CC4-5D6E-409C-BE32-E72D297353CC}">
              <c16:uniqueId val="{00000001-8F9D-4B89-A599-836B8E389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6'!$D$10:$D$14</c:f>
            </c:multiLvlStrRef>
          </c:cat>
          <c:val>
            <c:numRef>
              <c:f>'COMPARISON 4 - apx 6'!$E$10:$E$14</c:f>
            </c:numRef>
          </c:val>
          <c:extLst>
            <c:ext xmlns:c16="http://schemas.microsoft.com/office/drawing/2014/chart" uri="{C3380CC4-5D6E-409C-BE32-E72D297353CC}">
              <c16:uniqueId val="{00000000-65FA-446B-86EA-D2A23E9A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6'!$D$10:$D$14</c:f>
            </c:multiLvlStrRef>
          </c:cat>
          <c:val>
            <c:numRef>
              <c:f>'COMPARISON 4 - apx 6'!$J$10:$J$14</c:f>
            </c:numRef>
          </c:val>
          <c:smooth val="0"/>
          <c:extLst>
            <c:ext xmlns:c16="http://schemas.microsoft.com/office/drawing/2014/chart" uri="{C3380CC4-5D6E-409C-BE32-E72D297353CC}">
              <c16:uniqueId val="{00000001-65FA-446B-86EA-D2A23E9A2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9-4D47-90C0-8B21461D7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49-4D47-90C0-8B21461D7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6'!$E$45:$E$49</c:f>
              <c:numCache>
                <c:formatCode>General</c:formatCode>
                <c:ptCount val="5"/>
                <c:pt idx="0">
                  <c:v>9.6184945244663006E-2</c:v>
                </c:pt>
                <c:pt idx="1">
                  <c:v>0.95673721113300503</c:v>
                </c:pt>
                <c:pt idx="2">
                  <c:v>-0.33614475913457897</c:v>
                </c:pt>
                <c:pt idx="3">
                  <c:v>1.12914431001506</c:v>
                </c:pt>
                <c:pt idx="4">
                  <c:v>1.61312075310535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E-48DA-9481-48B96391C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6'!$J$45:$J$49</c:f>
              <c:numCache>
                <c:formatCode>General</c:formatCode>
                <c:ptCount val="5"/>
                <c:pt idx="0">
                  <c:v>0.39963588507321202</c:v>
                </c:pt>
                <c:pt idx="1">
                  <c:v>4.8468528767067616</c:v>
                </c:pt>
                <c:pt idx="2">
                  <c:v>-4.1003085367765886</c:v>
                </c:pt>
                <c:pt idx="3">
                  <c:v>14.589101297866012</c:v>
                </c:pt>
                <c:pt idx="4">
                  <c:v>48.446816718961017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5E-48DA-9481-48B96391C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Sharpe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4 - apx 6'!$E$60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4 - apx 6'!$D$61:$D$65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6'!$E$61:$E$65</c:f>
              <c:numCache>
                <c:formatCode>General</c:formatCode>
                <c:ptCount val="5"/>
                <c:pt idx="0">
                  <c:v>0.61566824809832899</c:v>
                </c:pt>
                <c:pt idx="1">
                  <c:v>3.3242631571099488</c:v>
                </c:pt>
                <c:pt idx="2">
                  <c:v>4.2932506638584966</c:v>
                </c:pt>
                <c:pt idx="3">
                  <c:v>6.0545613828276066</c:v>
                </c:pt>
                <c:pt idx="4">
                  <c:v>6.5581676936424342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94-4726-83BC-397F1143C9D7}"/>
            </c:ext>
          </c:extLst>
        </c:ser>
        <c:ser>
          <c:idx val="1"/>
          <c:order val="1"/>
          <c:tx>
            <c:strRef>
              <c:f>'COMPARISON 4 - apx 6'!$F$60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4 - apx 6'!$D$61:$D$65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6'!$F$61:$F$65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2.1348799958444271</c:v>
                </c:pt>
                <c:pt idx="2">
                  <c:v>2.922292306638508</c:v>
                </c:pt>
                <c:pt idx="3">
                  <c:v>3.9772566259581179</c:v>
                </c:pt>
                <c:pt idx="4">
                  <c:v>4.7554899532196488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94-4726-83BC-397F1143C9D7}"/>
            </c:ext>
          </c:extLst>
        </c:ser>
        <c:ser>
          <c:idx val="2"/>
          <c:order val="2"/>
          <c:tx>
            <c:strRef>
              <c:f>'COMPARISON 4 - apx 6'!$G$60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4 - apx 6'!$D$61:$D$65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6'!$G$61:$G$65</c:f>
              <c:numCache>
                <c:formatCode>General</c:formatCode>
                <c:ptCount val="5"/>
                <c:pt idx="0">
                  <c:v>0.89791770915445801</c:v>
                </c:pt>
                <c:pt idx="1">
                  <c:v>2.2873376892267978</c:v>
                </c:pt>
                <c:pt idx="2">
                  <c:v>1.3871038522921109</c:v>
                </c:pt>
                <c:pt idx="3">
                  <c:v>1.3714858998968409</c:v>
                </c:pt>
                <c:pt idx="4">
                  <c:v>1.8122085877905949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94-4726-83BC-397F1143C9D7}"/>
            </c:ext>
          </c:extLst>
        </c:ser>
        <c:ser>
          <c:idx val="3"/>
          <c:order val="3"/>
          <c:tx>
            <c:strRef>
              <c:f>'COMPARISON 4 - apx 6'!$H$60</c:f>
              <c:strCache>
                <c:ptCount val="1"/>
                <c:pt idx="0">
                  <c:v>Q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4 - apx 6'!$D$61:$D$65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6'!$H$61:$H$65</c:f>
              <c:numCache>
                <c:formatCode>General</c:formatCode>
                <c:ptCount val="5"/>
                <c:pt idx="0">
                  <c:v>9.6184945244663006E-2</c:v>
                </c:pt>
                <c:pt idx="1">
                  <c:v>1.0529221563776681</c:v>
                </c:pt>
                <c:pt idx="2">
                  <c:v>0.71677739724308909</c:v>
                </c:pt>
                <c:pt idx="3">
                  <c:v>1.8459217072581491</c:v>
                </c:pt>
                <c:pt idx="4">
                  <c:v>3.459042460363499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94-4726-83BC-397F1143C9D7}"/>
            </c:ext>
          </c:extLst>
        </c:ser>
        <c:ser>
          <c:idx val="4"/>
          <c:order val="4"/>
          <c:tx>
            <c:strRef>
              <c:f>'COMPARISON 4 - apx 6'!$I$60</c:f>
              <c:strCache>
                <c:ptCount val="1"/>
                <c:pt idx="0">
                  <c:v>R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4 - apx 6'!$D$61:$D$65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6'!$I$61:$I$65</c:f>
              <c:numCache>
                <c:formatCode>General</c:formatCode>
                <c:ptCount val="5"/>
                <c:pt idx="0">
                  <c:v>0.96361951116922395</c:v>
                </c:pt>
                <c:pt idx="1">
                  <c:v>3.4162337312389939</c:v>
                </c:pt>
                <c:pt idx="2">
                  <c:v>3.4193976402910247</c:v>
                </c:pt>
                <c:pt idx="3">
                  <c:v>1.9320088986555146</c:v>
                </c:pt>
                <c:pt idx="4">
                  <c:v>2.1891774547656828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B94-4726-83BC-397F1143C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118223"/>
        <c:axId val="926113647"/>
      </c:lineChart>
      <c:catAx>
        <c:axId val="92611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3647"/>
        <c:crosses val="autoZero"/>
        <c:auto val="1"/>
        <c:lblAlgn val="ctr"/>
        <c:lblOffset val="100"/>
        <c:noMultiLvlLbl val="0"/>
      </c:catAx>
      <c:valAx>
        <c:axId val="926113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Normalised</a:t>
            </a:r>
            <a:r>
              <a:rPr lang="en-GB" baseline="0"/>
              <a:t> Return 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4 - apx 6'!$E$72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4 - apx 6'!$D$73:$D$77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6'!$E$73:$E$77</c:f>
              <c:numCache>
                <c:formatCode>General</c:formatCode>
                <c:ptCount val="5"/>
                <c:pt idx="0">
                  <c:v>7.3604136371056894</c:v>
                </c:pt>
                <c:pt idx="1">
                  <c:v>23.77363250645789</c:v>
                </c:pt>
                <c:pt idx="2">
                  <c:v>39.103451741307993</c:v>
                </c:pt>
                <c:pt idx="3">
                  <c:v>61.67385831196799</c:v>
                </c:pt>
                <c:pt idx="4">
                  <c:v>72.459280403205696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09-49D0-B326-F5D2CAD3C7FD}"/>
            </c:ext>
          </c:extLst>
        </c:ser>
        <c:ser>
          <c:idx val="1"/>
          <c:order val="1"/>
          <c:tx>
            <c:strRef>
              <c:f>'COMPARISON 4 - apx 6'!$F$72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4 - apx 6'!$D$73:$D$77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6'!$F$73:$F$77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09-49D0-B326-F5D2CAD3C7FD}"/>
            </c:ext>
          </c:extLst>
        </c:ser>
        <c:ser>
          <c:idx val="2"/>
          <c:order val="2"/>
          <c:tx>
            <c:strRef>
              <c:f>'COMPARISON 4 - apx 6'!$G$72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4 - apx 6'!$D$73:$D$77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6'!$G$73:$G$77</c:f>
              <c:numCache>
                <c:formatCode>General</c:formatCode>
                <c:ptCount val="5"/>
                <c:pt idx="0">
                  <c:v>11.0915645405946</c:v>
                </c:pt>
                <c:pt idx="1">
                  <c:v>19.192867776999869</c:v>
                </c:pt>
                <c:pt idx="2">
                  <c:v>4.790935304605469</c:v>
                </c:pt>
                <c:pt idx="3">
                  <c:v>4.1962116434485432</c:v>
                </c:pt>
                <c:pt idx="4">
                  <c:v>13.490007900882084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09-49D0-B326-F5D2CAD3C7FD}"/>
            </c:ext>
          </c:extLst>
        </c:ser>
        <c:ser>
          <c:idx val="3"/>
          <c:order val="3"/>
          <c:tx>
            <c:strRef>
              <c:f>'COMPARISON 4 - apx 6'!$H$72</c:f>
              <c:strCache>
                <c:ptCount val="1"/>
                <c:pt idx="0">
                  <c:v>Q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4 - apx 6'!$D$73:$D$77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6'!$H$73:$H$77</c:f>
              <c:numCache>
                <c:formatCode>General</c:formatCode>
                <c:ptCount val="5"/>
                <c:pt idx="0">
                  <c:v>0.39963588507321202</c:v>
                </c:pt>
                <c:pt idx="1">
                  <c:v>4.8468528767067616</c:v>
                </c:pt>
                <c:pt idx="2">
                  <c:v>-4.1003085367765886</c:v>
                </c:pt>
                <c:pt idx="3">
                  <c:v>14.589101297866012</c:v>
                </c:pt>
                <c:pt idx="4">
                  <c:v>48.446816718961017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09-49D0-B326-F5D2CAD3C7FD}"/>
            </c:ext>
          </c:extLst>
        </c:ser>
        <c:ser>
          <c:idx val="4"/>
          <c:order val="4"/>
          <c:tx>
            <c:strRef>
              <c:f>'COMPARISON 4 - apx 6'!$I$72</c:f>
              <c:strCache>
                <c:ptCount val="1"/>
                <c:pt idx="0">
                  <c:v>R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4 - apx 6'!$D$73:$D$77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6'!$I$73:$I$77</c:f>
              <c:numCache>
                <c:formatCode>General</c:formatCode>
                <c:ptCount val="5"/>
                <c:pt idx="0">
                  <c:v>12.1823453536571</c:v>
                </c:pt>
                <c:pt idx="1">
                  <c:v>21.617465940448771</c:v>
                </c:pt>
                <c:pt idx="2">
                  <c:v>20.324440760821229</c:v>
                </c:pt>
                <c:pt idx="3">
                  <c:v>8.27851044899983</c:v>
                </c:pt>
                <c:pt idx="4">
                  <c:v>11.29769084220286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09-49D0-B326-F5D2CAD3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676015"/>
        <c:axId val="1071669359"/>
      </c:lineChart>
      <c:catAx>
        <c:axId val="107167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69359"/>
        <c:crosses val="autoZero"/>
        <c:auto val="1"/>
        <c:lblAlgn val="ctr"/>
        <c:lblOffset val="100"/>
        <c:noMultiLvlLbl val="0"/>
      </c:catAx>
      <c:valAx>
        <c:axId val="1071669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Normalised Return %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Vol Normalised Drawdown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4 - apx 6'!$E$78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4 - apx 6'!$D$79:$D$83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6'!$E$79:$E$83</c:f>
              <c:numCache>
                <c:formatCode>General</c:formatCode>
                <c:ptCount val="5"/>
                <c:pt idx="0">
                  <c:v>8.3571372593065387</c:v>
                </c:pt>
                <c:pt idx="1">
                  <c:v>3.3386541624484996</c:v>
                </c:pt>
                <c:pt idx="2">
                  <c:v>12.076283134086701</c:v>
                </c:pt>
                <c:pt idx="3">
                  <c:v>6.8593116569808501</c:v>
                </c:pt>
                <c:pt idx="4">
                  <c:v>21.902339671591601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1-4FA8-B75B-7F5D22F33A0A}"/>
            </c:ext>
          </c:extLst>
        </c:ser>
        <c:ser>
          <c:idx val="1"/>
          <c:order val="1"/>
          <c:tx>
            <c:strRef>
              <c:f>'COMPARISON 4 - apx 6'!$F$78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4 - apx 6'!$D$79:$D$83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6'!$F$79:$F$83</c:f>
              <c:numCache>
                <c:formatCode>General</c:formatCode>
                <c:ptCount val="5"/>
                <c:pt idx="0">
                  <c:v>10.721711809984399</c:v>
                </c:pt>
                <c:pt idx="1">
                  <c:v>1.71915431876838</c:v>
                </c:pt>
                <c:pt idx="2">
                  <c:v>6.4388924719336398</c:v>
                </c:pt>
                <c:pt idx="3">
                  <c:v>12.881050086818</c:v>
                </c:pt>
                <c:pt idx="4">
                  <c:v>32.295988626696499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31-4FA8-B75B-7F5D22F33A0A}"/>
            </c:ext>
          </c:extLst>
        </c:ser>
        <c:ser>
          <c:idx val="2"/>
          <c:order val="2"/>
          <c:tx>
            <c:strRef>
              <c:f>'COMPARISON 4 - apx 6'!$G$78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4 - apx 6'!$D$79:$D$83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6'!$G$79:$G$83</c:f>
              <c:numCache>
                <c:formatCode>General</c:formatCode>
                <c:ptCount val="5"/>
                <c:pt idx="0">
                  <c:v>5.8569066347400298</c:v>
                </c:pt>
                <c:pt idx="1">
                  <c:v>3.43296347638868</c:v>
                </c:pt>
                <c:pt idx="2">
                  <c:v>24.442097621801302</c:v>
                </c:pt>
                <c:pt idx="3">
                  <c:v>9.0493296275326394</c:v>
                </c:pt>
                <c:pt idx="4">
                  <c:v>33.302697931928797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31-4FA8-B75B-7F5D22F33A0A}"/>
            </c:ext>
          </c:extLst>
        </c:ser>
        <c:ser>
          <c:idx val="3"/>
          <c:order val="3"/>
          <c:tx>
            <c:strRef>
              <c:f>'COMPARISON 4 - apx 6'!$H$78</c:f>
              <c:strCache>
                <c:ptCount val="1"/>
                <c:pt idx="0">
                  <c:v>Q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4 - apx 6'!$D$79:$D$83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6'!$H$79:$H$83</c:f>
              <c:numCache>
                <c:formatCode>General</c:formatCode>
                <c:ptCount val="5"/>
                <c:pt idx="0">
                  <c:v>9.0778047449615595</c:v>
                </c:pt>
                <c:pt idx="1">
                  <c:v>1.6995650361155599</c:v>
                </c:pt>
                <c:pt idx="2">
                  <c:v>26.203126464088001</c:v>
                </c:pt>
                <c:pt idx="3">
                  <c:v>8.9079667927993604</c:v>
                </c:pt>
                <c:pt idx="4">
                  <c:v>12.0731226205189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31-4FA8-B75B-7F5D22F33A0A}"/>
            </c:ext>
          </c:extLst>
        </c:ser>
        <c:ser>
          <c:idx val="4"/>
          <c:order val="4"/>
          <c:tx>
            <c:strRef>
              <c:f>'COMPARISON 4 - apx 6'!$I$78</c:f>
              <c:strCache>
                <c:ptCount val="1"/>
                <c:pt idx="0">
                  <c:v>R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4 - apx 6'!$D$79:$D$83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6'!$I$79:$I$83</c:f>
              <c:numCache>
                <c:formatCode>General</c:formatCode>
                <c:ptCount val="5"/>
                <c:pt idx="0">
                  <c:v>6.5377210299841506</c:v>
                </c:pt>
                <c:pt idx="1">
                  <c:v>1.82576448897303</c:v>
                </c:pt>
                <c:pt idx="2">
                  <c:v>14.319743842606799</c:v>
                </c:pt>
                <c:pt idx="3">
                  <c:v>14.4580338763512</c:v>
                </c:pt>
                <c:pt idx="4">
                  <c:v>34.899219653099998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931-4FA8-B75B-7F5D22F33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905855"/>
        <c:axId val="1830903775"/>
      </c:lineChart>
      <c:catAx>
        <c:axId val="183090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3775"/>
        <c:crosses val="autoZero"/>
        <c:auto val="1"/>
        <c:lblAlgn val="ctr"/>
        <c:lblOffset val="100"/>
        <c:noMultiLvlLbl val="0"/>
      </c:catAx>
      <c:valAx>
        <c:axId val="18309037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Drawdown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F-458F-AC39-EF3A953A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F-458F-AC39-EF3A953A7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1-4E99-BD1F-EA8D0C690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1-4E99-BD1F-EA8D0C690A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DA-4055-B17D-564961A58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DA-4055-B17D-564961A58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0C-4551-A329-2679BD59E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0C-4551-A329-2679BD59E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7-4957-9DEA-C07B86BA3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B7-4957-9DEA-C07B86BA3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7F-4A79-860B-5A4F1CC2C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7F-4A79-860B-5A4F1CC2C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A2-42F6-933C-93912EA2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2-42F6-933C-93912EA2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09-4FDF-9990-120286B63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9-4FDF-9990-120286B63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2-4F64-A746-882CA62D8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2-4F64-A746-882CA62D8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</a:t>
            </a:r>
            <a:endParaRPr lang="en-GB"/>
          </a:p>
        </c:rich>
      </c:tx>
      <c:layout>
        <c:manualLayout>
          <c:xMode val="edge"/>
          <c:yMode val="edge"/>
          <c:x val="0.2653367862039260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apx2'!$E$123:$E$127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29-4876-9354-AD04C21B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apx2'!$J$123:$J$127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9-4876-9354-AD04C21B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FE-49D3-BE03-96CEE960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FE-49D3-BE03-96CEE96021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0-46BC-A792-AE6EC2D68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60-46BC-A792-AE6EC2D68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14-4108-85E2-2BB1F37F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4-4108-85E2-2BB1F37F9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6'!$D$3:$D$7</c:f>
            </c:multiLvlStrRef>
          </c:cat>
          <c:val>
            <c:numRef>
              <c:f>'COMPARISON 4 - apx 6'!$E$3:$E$7</c:f>
            </c:numRef>
          </c:val>
          <c:extLst>
            <c:ext xmlns:c16="http://schemas.microsoft.com/office/drawing/2014/chart" uri="{C3380CC4-5D6E-409C-BE32-E72D297353CC}">
              <c16:uniqueId val="{00000000-E50A-49E5-9451-364CD53CA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6'!$D$3:$D$7</c:f>
            </c:multiLvlStrRef>
          </c:cat>
          <c:val>
            <c:numRef>
              <c:f>'COMPARISON 4 - apx 6'!$J$3:$J$7</c:f>
            </c:numRef>
          </c:val>
          <c:smooth val="0"/>
          <c:extLst>
            <c:ext xmlns:c16="http://schemas.microsoft.com/office/drawing/2014/chart" uri="{C3380CC4-5D6E-409C-BE32-E72D297353CC}">
              <c16:uniqueId val="{00000001-E50A-49E5-9451-364CD53CA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6'!$D$10:$D$14</c:f>
            </c:multiLvlStrRef>
          </c:cat>
          <c:val>
            <c:numRef>
              <c:f>'COMPARISON 4 - apx 6'!$E$10:$E$14</c:f>
            </c:numRef>
          </c:val>
          <c:extLst>
            <c:ext xmlns:c16="http://schemas.microsoft.com/office/drawing/2014/chart" uri="{C3380CC4-5D6E-409C-BE32-E72D297353CC}">
              <c16:uniqueId val="{00000000-469D-4B76-83F5-90501E21E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6'!$D$10:$D$14</c:f>
            </c:multiLvlStrRef>
          </c:cat>
          <c:val>
            <c:numRef>
              <c:f>'COMPARISON 4 - apx 6'!$J$10:$J$14</c:f>
            </c:numRef>
          </c:val>
          <c:smooth val="0"/>
          <c:extLst>
            <c:ext xmlns:c16="http://schemas.microsoft.com/office/drawing/2014/chart" uri="{C3380CC4-5D6E-409C-BE32-E72D297353CC}">
              <c16:uniqueId val="{00000001-469D-4B76-83F5-90501E21E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06-4B8A-B9F4-374D2EEDF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6-4B8A-B9F4-374D2EEDF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3-497E-9FED-D6AC4D02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3-497E-9FED-D6AC4D027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EE-42C4-BEE4-0A41FFFB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EE-42C4-BEE4-0A41FFFBD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7F-4ED6-9919-4FD8C4FA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7F-4ED6-9919-4FD8C4FAA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7-4BA2-8E19-BA3B170D1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07-4BA2-8E19-BA3B170D1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 + News - Time</a:t>
            </a:r>
            <a:endParaRPr lang="en-GB"/>
          </a:p>
        </c:rich>
      </c:tx>
      <c:layout>
        <c:manualLayout>
          <c:xMode val="edge"/>
          <c:yMode val="edge"/>
          <c:x val="0.1452567328350133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55-4ECE-981A-2B6646A31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5-4ECE-981A-2B6646A31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1-4B63-831E-2C7D69AA5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01-4B63-831E-2C7D69AA5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B-47B4-86BB-38BFF7FFC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B-47B4-86BB-38BFF7FFC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- News - Time</a:t>
            </a:r>
            <a:endParaRPr lang="en-GB"/>
          </a:p>
        </c:rich>
      </c:tx>
      <c:layout>
        <c:manualLayout>
          <c:xMode val="edge"/>
          <c:yMode val="edge"/>
          <c:x val="0.21463631922594065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6'!$E$45:$E$49</c:f>
              <c:numCache>
                <c:formatCode>General</c:formatCode>
                <c:ptCount val="5"/>
                <c:pt idx="0">
                  <c:v>9.6184945244663006E-2</c:v>
                </c:pt>
                <c:pt idx="1">
                  <c:v>0.95673721113300503</c:v>
                </c:pt>
                <c:pt idx="2">
                  <c:v>-0.33614475913457897</c:v>
                </c:pt>
                <c:pt idx="3">
                  <c:v>1.12914431001506</c:v>
                </c:pt>
                <c:pt idx="4">
                  <c:v>1.61312075310535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7-4C99-8B43-C485549DE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6'!$J$45:$J$49</c:f>
              <c:numCache>
                <c:formatCode>General</c:formatCode>
                <c:ptCount val="5"/>
                <c:pt idx="0">
                  <c:v>0.39963588507321202</c:v>
                </c:pt>
                <c:pt idx="1">
                  <c:v>4.8468528767067616</c:v>
                </c:pt>
                <c:pt idx="2">
                  <c:v>-4.1003085367765886</c:v>
                </c:pt>
                <c:pt idx="3">
                  <c:v>14.589101297866012</c:v>
                </c:pt>
                <c:pt idx="4">
                  <c:v>48.446816718961017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97-4C99-8B43-C485549DE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FinBERT (1) + News - Time</a:t>
            </a:r>
            <a:endParaRPr lang="en-GB"/>
          </a:p>
        </c:rich>
      </c:tx>
      <c:layout>
        <c:manualLayout>
          <c:xMode val="edge"/>
          <c:yMode val="edge"/>
          <c:x val="0.12657761342207141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6'!$E$17:$E$21</c:f>
              <c:numCache>
                <c:formatCode>General</c:formatCode>
                <c:ptCount val="5"/>
                <c:pt idx="0">
                  <c:v>0.61566824809832899</c:v>
                </c:pt>
                <c:pt idx="1">
                  <c:v>2.7085949090116199</c:v>
                </c:pt>
                <c:pt idx="2">
                  <c:v>0.96898750674854806</c:v>
                </c:pt>
                <c:pt idx="3">
                  <c:v>1.76131071896911</c:v>
                </c:pt>
                <c:pt idx="4">
                  <c:v>0.50360631081482798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B-47AC-83D0-D26207662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6'!$J$17:$J$21</c:f>
              <c:numCache>
                <c:formatCode>General</c:formatCode>
                <c:ptCount val="5"/>
                <c:pt idx="0">
                  <c:v>7.3604136371056894</c:v>
                </c:pt>
                <c:pt idx="1">
                  <c:v>23.77363250645789</c:v>
                </c:pt>
                <c:pt idx="2">
                  <c:v>39.103451741307993</c:v>
                </c:pt>
                <c:pt idx="3">
                  <c:v>61.67385831196799</c:v>
                </c:pt>
                <c:pt idx="4">
                  <c:v>72.459280403205696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B-47AC-83D0-D26207662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6'!$E$45:$E$49</c:f>
              <c:numCache>
                <c:formatCode>General</c:formatCode>
                <c:ptCount val="5"/>
                <c:pt idx="0">
                  <c:v>9.6184945244663006E-2</c:v>
                </c:pt>
                <c:pt idx="1">
                  <c:v>0.95673721113300503</c:v>
                </c:pt>
                <c:pt idx="2">
                  <c:v>-0.33614475913457897</c:v>
                </c:pt>
                <c:pt idx="3">
                  <c:v>1.12914431001506</c:v>
                </c:pt>
                <c:pt idx="4">
                  <c:v>1.61312075310535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E9-49AD-95CD-0D7E131A3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6'!$J$45:$J$49</c:f>
              <c:numCache>
                <c:formatCode>General</c:formatCode>
                <c:ptCount val="5"/>
                <c:pt idx="0">
                  <c:v>0.39963588507321202</c:v>
                </c:pt>
                <c:pt idx="1">
                  <c:v>4.8468528767067616</c:v>
                </c:pt>
                <c:pt idx="2">
                  <c:v>-4.1003085367765886</c:v>
                </c:pt>
                <c:pt idx="3">
                  <c:v>14.589101297866012</c:v>
                </c:pt>
                <c:pt idx="4">
                  <c:v>48.446816718961017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E9-49AD-95CD-0D7E131A3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FB-4E66-B8C9-7805D4543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FB-4E66-B8C9-7805D4543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6-4937-AA04-686290CC8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56-4937-AA04-686290CC8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6'!$D$10:$D$14</c:f>
            </c:multiLvlStrRef>
          </c:cat>
          <c:val>
            <c:numRef>
              <c:f>'COMPARISON 4 - apx 6'!$E$10:$E$14</c:f>
            </c:numRef>
          </c:val>
          <c:extLst>
            <c:ext xmlns:c16="http://schemas.microsoft.com/office/drawing/2014/chart" uri="{C3380CC4-5D6E-409C-BE32-E72D297353CC}">
              <c16:uniqueId val="{00000000-1F00-4A6D-B0E2-3862A74D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6'!$D$10:$D$14</c:f>
            </c:multiLvlStrRef>
          </c:cat>
          <c:val>
            <c:numRef>
              <c:f>'COMPARISON 4 - apx 6'!$J$10:$J$14</c:f>
            </c:numRef>
          </c:val>
          <c:smooth val="0"/>
          <c:extLst>
            <c:ext xmlns:c16="http://schemas.microsoft.com/office/drawing/2014/chart" uri="{C3380CC4-5D6E-409C-BE32-E72D297353CC}">
              <c16:uniqueId val="{00000001-1F00-4A6D-B0E2-3862A74D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2-470A-9E73-830EAD496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2-470A-9E73-830EAD496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19-4FB1-9D08-4481861AF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19-4FB1-9D08-4481861AF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A-4F54-ADD5-7C93BA3D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4A-4F54-ADD5-7C93BA3D5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8-458D-A03F-79FAAB935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28-458D-A03F-79FAAB935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+ News - Time</a:t>
            </a:r>
            <a:endParaRPr lang="en-GB"/>
          </a:p>
        </c:rich>
      </c:tx>
      <c:layout>
        <c:manualLayout>
          <c:xMode val="edge"/>
          <c:yMode val="edge"/>
          <c:x val="0.182614971660897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6'!$E$31:$E$35</c:f>
              <c:numCache>
                <c:formatCode>General</c:formatCode>
                <c:ptCount val="5"/>
                <c:pt idx="0">
                  <c:v>0.89791770915445801</c:v>
                </c:pt>
                <c:pt idx="1">
                  <c:v>1.3894199800723399</c:v>
                </c:pt>
                <c:pt idx="2">
                  <c:v>-0.90023383693468695</c:v>
                </c:pt>
                <c:pt idx="3">
                  <c:v>-1.561795239527E-2</c:v>
                </c:pt>
                <c:pt idx="4">
                  <c:v>0.44072268789375402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BC-400B-81C3-394D02DED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6'!$J$31:$J$35</c:f>
              <c:numCache>
                <c:formatCode>General</c:formatCode>
                <c:ptCount val="5"/>
                <c:pt idx="0">
                  <c:v>11.0915645405946</c:v>
                </c:pt>
                <c:pt idx="1">
                  <c:v>19.192867776999869</c:v>
                </c:pt>
                <c:pt idx="2">
                  <c:v>4.790935304605469</c:v>
                </c:pt>
                <c:pt idx="3">
                  <c:v>4.1962116434485432</c:v>
                </c:pt>
                <c:pt idx="4">
                  <c:v>13.490007900882084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C-400B-81C3-394D02DED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D-44D7-827F-CA4DABEE9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4D7-827F-CA4DABEE9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A7-44A8-8A59-907DAB793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A7-44A8-8A59-907DAB793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64-4418-B641-389F5FFD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4-4418-B641-389F5FFD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6'!$D$3:$D$7</c:f>
            </c:multiLvlStrRef>
          </c:cat>
          <c:val>
            <c:numRef>
              <c:f>'COMPARISON 4 - apx 6'!$E$3:$E$7</c:f>
            </c:numRef>
          </c:val>
          <c:extLst>
            <c:ext xmlns:c16="http://schemas.microsoft.com/office/drawing/2014/chart" uri="{C3380CC4-5D6E-409C-BE32-E72D297353CC}">
              <c16:uniqueId val="{00000000-178E-4FB7-B094-2DCD90AF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6'!$D$3:$D$7</c:f>
            </c:multiLvlStrRef>
          </c:cat>
          <c:val>
            <c:numRef>
              <c:f>'COMPARISON 4 - apx 6'!$J$3:$J$7</c:f>
            </c:numRef>
          </c:val>
          <c:smooth val="0"/>
          <c:extLst>
            <c:ext xmlns:c16="http://schemas.microsoft.com/office/drawing/2014/chart" uri="{C3380CC4-5D6E-409C-BE32-E72D297353CC}">
              <c16:uniqueId val="{00000001-178E-4FB7-B094-2DCD90AFC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4-4E67-AF87-AEFAD3B0B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4-4E67-AF87-AEFAD3B0B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B-4233-9642-7436352A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3B-4233-9642-7436352AE4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6-479D-AE72-C2F70251D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6-479D-AE72-C2F70251D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 + News</a:t>
            </a:r>
            <a:endParaRPr lang="en-GB"/>
          </a:p>
        </c:rich>
      </c:tx>
      <c:layout>
        <c:manualLayout>
          <c:xMode val="edge"/>
          <c:yMode val="edge"/>
          <c:x val="0.1719411891392161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6'!$D$38:$D$42</c:f>
            </c:multiLvlStrRef>
          </c:cat>
          <c:val>
            <c:numRef>
              <c:f>'COMPARISON 4 - apx 6'!$E$38:$E$42</c:f>
            </c:numRef>
          </c:val>
          <c:extLst>
            <c:ext xmlns:c16="http://schemas.microsoft.com/office/drawing/2014/chart" uri="{C3380CC4-5D6E-409C-BE32-E72D297353CC}">
              <c16:uniqueId val="{00000000-E447-4A2E-B0E0-67E38B381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6'!$D$38:$D$42</c:f>
            </c:multiLvlStrRef>
          </c:cat>
          <c:val>
            <c:numRef>
              <c:f>'COMPARISON 4 - apx 6'!$J$38:$J$42</c:f>
            </c:numRef>
          </c:val>
          <c:smooth val="0"/>
          <c:extLst>
            <c:ext xmlns:c16="http://schemas.microsoft.com/office/drawing/2014/chart" uri="{C3380CC4-5D6E-409C-BE32-E72D297353CC}">
              <c16:uniqueId val="{00000001-E447-4A2E-B0E0-67E38B381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6'!$E$45:$E$49</c:f>
              <c:numCache>
                <c:formatCode>General</c:formatCode>
                <c:ptCount val="5"/>
                <c:pt idx="0">
                  <c:v>9.6184945244663006E-2</c:v>
                </c:pt>
                <c:pt idx="1">
                  <c:v>0.95673721113300503</c:v>
                </c:pt>
                <c:pt idx="2">
                  <c:v>-0.33614475913457897</c:v>
                </c:pt>
                <c:pt idx="3">
                  <c:v>1.12914431001506</c:v>
                </c:pt>
                <c:pt idx="4">
                  <c:v>1.61312075310535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E2-474F-ACD1-FD95C570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6'!$D$45:$D$49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6'!$J$45:$J$49</c:f>
              <c:numCache>
                <c:formatCode>General</c:formatCode>
                <c:ptCount val="5"/>
                <c:pt idx="0">
                  <c:v>0.39963588507321202</c:v>
                </c:pt>
                <c:pt idx="1">
                  <c:v>4.8468528767067616</c:v>
                </c:pt>
                <c:pt idx="2">
                  <c:v>-4.1003085367765886</c:v>
                </c:pt>
                <c:pt idx="3">
                  <c:v>14.589101297866012</c:v>
                </c:pt>
                <c:pt idx="4">
                  <c:v>48.446816718961017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2-474F-ACD1-FD95C570A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15-4E02-B8A8-5EBD3C2F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5-4E02-B8A8-5EBD3C2F5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F-4DFA-B1E1-3770D3DCD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4F-4DFA-B1E1-3770D3DCD4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6'!$D$10:$D$14</c:f>
            </c:multiLvlStrRef>
          </c:cat>
          <c:val>
            <c:numRef>
              <c:f>'COMPARISON 4 - apx 6'!$E$10:$E$14</c:f>
            </c:numRef>
          </c:val>
          <c:extLst>
            <c:ext xmlns:c16="http://schemas.microsoft.com/office/drawing/2014/chart" uri="{C3380CC4-5D6E-409C-BE32-E72D297353CC}">
              <c16:uniqueId val="{00000000-EB6D-4B34-8A49-5218031D9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6'!$D$10:$D$14</c:f>
            </c:multiLvlStrRef>
          </c:cat>
          <c:val>
            <c:numRef>
              <c:f>'COMPARISON 4 - apx 6'!$J$10:$J$14</c:f>
            </c:numRef>
          </c:val>
          <c:smooth val="0"/>
          <c:extLst>
            <c:ext xmlns:c16="http://schemas.microsoft.com/office/drawing/2014/chart" uri="{C3380CC4-5D6E-409C-BE32-E72D297353CC}">
              <c16:uniqueId val="{00000001-EB6D-4B34-8A49-5218031D9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B5-46FC-A32F-7FE8A3C8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B5-46FC-A32F-7FE8A3C80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D3-4A15-906A-07BD871E6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D3-4A15-906A-07BD871E66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F8-46D9-BB1C-CA2B9595D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F8-46D9-BB1C-CA2B9595D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2-449D-8DF4-C5A7078AF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82-449D-8DF4-C5A7078AF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121 - FinBERT - News - Time</a:t>
            </a:r>
            <a:endParaRPr lang="en-GB"/>
          </a:p>
        </c:rich>
      </c:tx>
      <c:layout>
        <c:manualLayout>
          <c:xMode val="edge"/>
          <c:yMode val="edge"/>
          <c:x val="0.21463631922594065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4 - apx 6'!$D$52:$D$56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6'!$E$52:$E$56</c:f>
              <c:numCache>
                <c:formatCode>General</c:formatCode>
                <c:ptCount val="5"/>
                <c:pt idx="0">
                  <c:v>0.96361951116922395</c:v>
                </c:pt>
                <c:pt idx="1">
                  <c:v>2.45261422006977</c:v>
                </c:pt>
                <c:pt idx="2">
                  <c:v>3.1639090520310001E-3</c:v>
                </c:pt>
                <c:pt idx="3">
                  <c:v>-1.48738874163551</c:v>
                </c:pt>
                <c:pt idx="4">
                  <c:v>0.25716855611016798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3-4C48-A6B9-73EAC3D0E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4 - apx 6'!$D$52:$D$56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4 - apx 6'!$J$52:$J$56</c:f>
              <c:numCache>
                <c:formatCode>General</c:formatCode>
                <c:ptCount val="5"/>
                <c:pt idx="0">
                  <c:v>12.1823453536571</c:v>
                </c:pt>
                <c:pt idx="1">
                  <c:v>21.617465940448771</c:v>
                </c:pt>
                <c:pt idx="2">
                  <c:v>20.324440760821229</c:v>
                </c:pt>
                <c:pt idx="3">
                  <c:v>8.27851044899983</c:v>
                </c:pt>
                <c:pt idx="4">
                  <c:v>11.29769084220286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73-4C48-A6B9-73EAC3D0E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6'!$D$3:$D$7</c:f>
            </c:multiLvlStrRef>
          </c:cat>
          <c:val>
            <c:numRef>
              <c:f>'COMPARISON 4 - apx 6'!$E$3:$E$7</c:f>
            </c:numRef>
          </c:val>
          <c:extLst>
            <c:ext xmlns:c16="http://schemas.microsoft.com/office/drawing/2014/chart" uri="{C3380CC4-5D6E-409C-BE32-E72D297353CC}">
              <c16:uniqueId val="{00000000-C20A-495A-971F-55E2EEB4C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6'!$D$3:$D$7</c:f>
            </c:multiLvlStrRef>
          </c:cat>
          <c:val>
            <c:numRef>
              <c:f>'COMPARISON 4 - apx 6'!$J$3:$J$7</c:f>
            </c:numRef>
          </c:val>
          <c:smooth val="0"/>
          <c:extLst>
            <c:ext xmlns:c16="http://schemas.microsoft.com/office/drawing/2014/chart" uri="{C3380CC4-5D6E-409C-BE32-E72D297353CC}">
              <c16:uniqueId val="{00000001-C20A-495A-971F-55E2EEB4C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6'!$D$10:$D$14</c:f>
            </c:multiLvlStrRef>
          </c:cat>
          <c:val>
            <c:numRef>
              <c:f>'COMPARISON 4 - apx 6'!$E$10:$E$14</c:f>
            </c:numRef>
          </c:val>
          <c:extLst>
            <c:ext xmlns:c16="http://schemas.microsoft.com/office/drawing/2014/chart" uri="{C3380CC4-5D6E-409C-BE32-E72D297353CC}">
              <c16:uniqueId val="{00000000-9B2A-47FA-8B10-B0248E1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6'!$D$10:$D$14</c:f>
            </c:multiLvlStrRef>
          </c:cat>
          <c:val>
            <c:numRef>
              <c:f>'COMPARISON 4 - apx 6'!$J$10:$J$14</c:f>
            </c:numRef>
          </c:val>
          <c:smooth val="0"/>
          <c:extLst>
            <c:ext xmlns:c16="http://schemas.microsoft.com/office/drawing/2014/chart" uri="{C3380CC4-5D6E-409C-BE32-E72D297353CC}">
              <c16:uniqueId val="{00000001-9B2A-47FA-8B10-B0248E1D6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6-49CD-A580-B40C93CA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E6-49CD-A580-B40C93CA2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7'!$E$52:$E$56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AA69-432D-B355-4997E371D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7'!$J$52:$J$56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69-432D-B355-4997E371D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Sharpe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5 - apx 7'!$E$60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5 - apx 7'!$D$61:$D$65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7'!$E$61:$E$65</c:f>
              <c:numCache>
                <c:formatCode>General</c:formatCode>
                <c:ptCount val="5"/>
                <c:pt idx="0">
                  <c:v>0.61566824809832899</c:v>
                </c:pt>
                <c:pt idx="1">
                  <c:v>3.3242631571099488</c:v>
                </c:pt>
                <c:pt idx="2">
                  <c:v>4.2932506638584966</c:v>
                </c:pt>
                <c:pt idx="3">
                  <c:v>6.0545613828276066</c:v>
                </c:pt>
                <c:pt idx="4">
                  <c:v>6.5581676936424342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63-49CB-A46E-E0B95F151108}"/>
            </c:ext>
          </c:extLst>
        </c:ser>
        <c:ser>
          <c:idx val="1"/>
          <c:order val="1"/>
          <c:tx>
            <c:strRef>
              <c:f>'COMPARISON 5 - apx 7'!$F$60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5 - apx 7'!$D$61:$D$65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7'!$F$61:$F$65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2.1348799958444271</c:v>
                </c:pt>
                <c:pt idx="2">
                  <c:v>2.922292306638508</c:v>
                </c:pt>
                <c:pt idx="3">
                  <c:v>3.9772566259581179</c:v>
                </c:pt>
                <c:pt idx="4">
                  <c:v>4.7554899532196488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63-49CB-A46E-E0B95F151108}"/>
            </c:ext>
          </c:extLst>
        </c:ser>
        <c:ser>
          <c:idx val="2"/>
          <c:order val="2"/>
          <c:tx>
            <c:strRef>
              <c:f>'COMPARISON 5 - apx 7'!$G$60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5 - apx 7'!$D$61:$D$65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7'!$G$61:$G$65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63-49CB-A46E-E0B95F151108}"/>
            </c:ext>
          </c:extLst>
        </c:ser>
        <c:ser>
          <c:idx val="3"/>
          <c:order val="3"/>
          <c:tx>
            <c:strRef>
              <c:f>'COMPARISON 5 - apx 7'!$H$60</c:f>
              <c:strCache>
                <c:ptCount val="1"/>
                <c:pt idx="0">
                  <c:v>Q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5 - apx 7'!$D$61:$D$65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7'!$H$61:$H$65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63-49CB-A46E-E0B95F151108}"/>
            </c:ext>
          </c:extLst>
        </c:ser>
        <c:ser>
          <c:idx val="4"/>
          <c:order val="4"/>
          <c:tx>
            <c:strRef>
              <c:f>'COMPARISON 5 - apx 7'!$I$60</c:f>
              <c:strCache>
                <c:ptCount val="1"/>
                <c:pt idx="0">
                  <c:v>R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5 - apx 7'!$D$61:$D$65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7'!$I$61:$I$65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A63-49CB-A46E-E0B95F151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118223"/>
        <c:axId val="926113647"/>
      </c:lineChart>
      <c:catAx>
        <c:axId val="92611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3647"/>
        <c:crosses val="autoZero"/>
        <c:auto val="1"/>
        <c:lblAlgn val="ctr"/>
        <c:lblOffset val="100"/>
        <c:noMultiLvlLbl val="0"/>
      </c:catAx>
      <c:valAx>
        <c:axId val="9261136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11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CUMULATIVE Normalised</a:t>
            </a:r>
            <a:r>
              <a:rPr lang="en-GB" baseline="0"/>
              <a:t> Return %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5 - apx 7'!$E$72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5 - apx 7'!$D$73:$D$77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7'!$E$73:$E$77</c:f>
              <c:numCache>
                <c:formatCode>General</c:formatCode>
                <c:ptCount val="5"/>
                <c:pt idx="0">
                  <c:v>7.3604136371056894</c:v>
                </c:pt>
                <c:pt idx="1">
                  <c:v>23.77363250645789</c:v>
                </c:pt>
                <c:pt idx="2">
                  <c:v>39.103451741307993</c:v>
                </c:pt>
                <c:pt idx="3">
                  <c:v>61.67385831196799</c:v>
                </c:pt>
                <c:pt idx="4">
                  <c:v>72.459280403205696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8-4D9F-8BAD-8F9379D39483}"/>
            </c:ext>
          </c:extLst>
        </c:ser>
        <c:ser>
          <c:idx val="1"/>
          <c:order val="1"/>
          <c:tx>
            <c:strRef>
              <c:f>'COMPARISON 5 - apx 7'!$F$72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5 - apx 7'!$D$73:$D$77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7'!$F$73:$F$77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98-4D9F-8BAD-8F9379D39483}"/>
            </c:ext>
          </c:extLst>
        </c:ser>
        <c:ser>
          <c:idx val="2"/>
          <c:order val="2"/>
          <c:tx>
            <c:strRef>
              <c:f>'COMPARISON 5 - apx 7'!$G$72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5 - apx 7'!$D$73:$D$77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7'!$G$73:$G$77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98-4D9F-8BAD-8F9379D39483}"/>
            </c:ext>
          </c:extLst>
        </c:ser>
        <c:ser>
          <c:idx val="3"/>
          <c:order val="3"/>
          <c:tx>
            <c:strRef>
              <c:f>'COMPARISON 5 - apx 7'!$H$72</c:f>
              <c:strCache>
                <c:ptCount val="1"/>
                <c:pt idx="0">
                  <c:v>Q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5 - apx 7'!$D$73:$D$77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7'!$H$73:$H$77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98-4D9F-8BAD-8F9379D39483}"/>
            </c:ext>
          </c:extLst>
        </c:ser>
        <c:ser>
          <c:idx val="4"/>
          <c:order val="4"/>
          <c:tx>
            <c:strRef>
              <c:f>'COMPARISON 5 - apx 7'!$I$72</c:f>
              <c:strCache>
                <c:ptCount val="1"/>
                <c:pt idx="0">
                  <c:v>R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5 - apx 7'!$D$73:$D$77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7'!$I$73:$I$77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98-4D9F-8BAD-8F9379D39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1676015"/>
        <c:axId val="1071669359"/>
      </c:lineChart>
      <c:catAx>
        <c:axId val="1071676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69359"/>
        <c:crosses val="autoZero"/>
        <c:auto val="1"/>
        <c:lblAlgn val="ctr"/>
        <c:lblOffset val="100"/>
        <c:noMultiLvlLbl val="0"/>
      </c:catAx>
      <c:valAx>
        <c:axId val="10716693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Normalised Return %</a:t>
                </a:r>
              </a:p>
              <a:p>
                <a:pPr>
                  <a:defRPr/>
                </a:pP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67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Vol Normalised Drawdown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'COMPARISON 5 - apx 7'!$E$78</c:f>
              <c:strCache>
                <c:ptCount val="1"/>
                <c:pt idx="0">
                  <c:v>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'COMPARISON 5 - apx 7'!$D$79:$D$83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7'!$E$79:$E$83</c:f>
              <c:numCache>
                <c:formatCode>General</c:formatCode>
                <c:ptCount val="5"/>
                <c:pt idx="0">
                  <c:v>8.3571372593065387</c:v>
                </c:pt>
                <c:pt idx="1">
                  <c:v>3.3386541624484996</c:v>
                </c:pt>
                <c:pt idx="2">
                  <c:v>12.076283134086701</c:v>
                </c:pt>
                <c:pt idx="3">
                  <c:v>6.8593116569808501</c:v>
                </c:pt>
                <c:pt idx="4">
                  <c:v>21.902339671591601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D1-4760-B96B-CB4985B1D9BA}"/>
            </c:ext>
          </c:extLst>
        </c:ser>
        <c:ser>
          <c:idx val="1"/>
          <c:order val="1"/>
          <c:tx>
            <c:strRef>
              <c:f>'COMPARISON 5 - apx 7'!$F$78</c:f>
              <c:strCache>
                <c:ptCount val="1"/>
                <c:pt idx="0">
                  <c:v>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'COMPARISON 5 - apx 7'!$D$79:$D$83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7'!$F$79:$F$83</c:f>
              <c:numCache>
                <c:formatCode>General</c:formatCode>
                <c:ptCount val="5"/>
                <c:pt idx="0">
                  <c:v>10.721711809984399</c:v>
                </c:pt>
                <c:pt idx="1">
                  <c:v>1.71915431876838</c:v>
                </c:pt>
                <c:pt idx="2">
                  <c:v>6.4388924719336398</c:v>
                </c:pt>
                <c:pt idx="3">
                  <c:v>12.881050086818</c:v>
                </c:pt>
                <c:pt idx="4">
                  <c:v>32.295988626696499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D1-4760-B96B-CB4985B1D9BA}"/>
            </c:ext>
          </c:extLst>
        </c:ser>
        <c:ser>
          <c:idx val="2"/>
          <c:order val="2"/>
          <c:tx>
            <c:strRef>
              <c:f>'COMPARISON 5 - apx 7'!$G$78</c:f>
              <c:strCache>
                <c:ptCount val="1"/>
                <c:pt idx="0">
                  <c:v>M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'COMPARISON 5 - apx 7'!$D$79:$D$83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7'!$G$79:$G$83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D1-4760-B96B-CB4985B1D9BA}"/>
            </c:ext>
          </c:extLst>
        </c:ser>
        <c:ser>
          <c:idx val="3"/>
          <c:order val="3"/>
          <c:tx>
            <c:strRef>
              <c:f>'COMPARISON 5 - apx 7'!$H$78</c:f>
              <c:strCache>
                <c:ptCount val="1"/>
                <c:pt idx="0">
                  <c:v>Q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'COMPARISON 5 - apx 7'!$D$79:$D$83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7'!$H$79:$H$83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D1-4760-B96B-CB4985B1D9BA}"/>
            </c:ext>
          </c:extLst>
        </c:ser>
        <c:ser>
          <c:idx val="4"/>
          <c:order val="4"/>
          <c:tx>
            <c:strRef>
              <c:f>'COMPARISON 5 - apx 7'!$I$78</c:f>
              <c:strCache>
                <c:ptCount val="1"/>
                <c:pt idx="0">
                  <c:v>R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'COMPARISON 5 - apx 7'!$D$79:$D$83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7'!$I$79:$I$83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D1-4760-B96B-CB4985B1D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905855"/>
        <c:axId val="1830903775"/>
      </c:lineChart>
      <c:catAx>
        <c:axId val="183090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3775"/>
        <c:crosses val="autoZero"/>
        <c:auto val="1"/>
        <c:lblAlgn val="ctr"/>
        <c:lblOffset val="100"/>
        <c:noMultiLvlLbl val="0"/>
      </c:catAx>
      <c:valAx>
        <c:axId val="18309037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Drawdown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90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F8-44A3-B066-646F61783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F8-44A3-B066-646F61783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69-4810-8BD5-1C93AD5F8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69-4810-8BD5-1C93AD5F8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B-46B5-8898-DC2075C9D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B-46B5-8898-DC2075C9D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18-45CE-A9CD-85F87692C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18-45CE-A9CD-85F87692C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7-4C7D-ACAE-087D00B6F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C7-4C7D-ACAE-087D00B6F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E-4D16-A45B-1F75822AC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3E-4D16-A45B-1F75822AC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4-4CFD-A734-177056E5C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4-4CFD-A734-177056E5C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7-487E-B94C-7C6A1C47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67-487E-B94C-7C6A1C47D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8E-4021-91F5-1A0AE128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8E-4021-91F5-1A0AE128F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</a:t>
            </a:r>
            <a:endParaRPr lang="en-GB"/>
          </a:p>
        </c:rich>
      </c:tx>
      <c:layout>
        <c:manualLayout>
          <c:xMode val="edge"/>
          <c:yMode val="edge"/>
          <c:x val="0.2653367862039260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apx2'!$E$123:$E$127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0-46DE-942C-41A928953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apx2'!$D$123:$D$127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apx2'!$J$123:$J$127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10-46DE-942C-41A928953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9-4DA0-98C3-F94180D70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B9-4DA0-98C3-F94180D70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A-4679-9AB9-8D2AA6034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3A-4679-9AB9-8D2AA6034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D2-4F57-89B7-6508B2612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2-4F57-89B7-6508B2612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6'!$D$3:$D$7</c:f>
            </c:multiLvlStrRef>
          </c:cat>
          <c:val>
            <c:numRef>
              <c:f>'COMPARISON 4 - apx 6'!$E$3:$E$7</c:f>
            </c:numRef>
          </c:val>
          <c:extLst>
            <c:ext xmlns:c16="http://schemas.microsoft.com/office/drawing/2014/chart" uri="{C3380CC4-5D6E-409C-BE32-E72D297353CC}">
              <c16:uniqueId val="{00000000-0142-4CEA-AB84-729C09C0A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6'!$D$3:$D$7</c:f>
            </c:multiLvlStrRef>
          </c:cat>
          <c:val>
            <c:numRef>
              <c:f>'COMPARISON 4 - apx 6'!$J$3:$J$7</c:f>
            </c:numRef>
          </c:val>
          <c:smooth val="0"/>
          <c:extLst>
            <c:ext xmlns:c16="http://schemas.microsoft.com/office/drawing/2014/chart" uri="{C3380CC4-5D6E-409C-BE32-E72D297353CC}">
              <c16:uniqueId val="{00000001-0142-4CEA-AB84-729C09C0A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6'!$D$10:$D$14</c:f>
            </c:multiLvlStrRef>
          </c:cat>
          <c:val>
            <c:numRef>
              <c:f>'COMPARISON 4 - apx 6'!$E$10:$E$14</c:f>
            </c:numRef>
          </c:val>
          <c:extLst>
            <c:ext xmlns:c16="http://schemas.microsoft.com/office/drawing/2014/chart" uri="{C3380CC4-5D6E-409C-BE32-E72D297353CC}">
              <c16:uniqueId val="{00000000-4D34-49D3-8E6B-2DD79CF9C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6'!$D$10:$D$14</c:f>
            </c:multiLvlStrRef>
          </c:cat>
          <c:val>
            <c:numRef>
              <c:f>'COMPARISON 4 - apx 6'!$J$10:$J$14</c:f>
            </c:numRef>
          </c:val>
          <c:smooth val="0"/>
          <c:extLst>
            <c:ext xmlns:c16="http://schemas.microsoft.com/office/drawing/2014/chart" uri="{C3380CC4-5D6E-409C-BE32-E72D297353CC}">
              <c16:uniqueId val="{00000001-4D34-49D3-8E6B-2DD79CF9CB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8-4C6A-AADF-830B285F7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48-4C6A-AADF-830B285F7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6-45A8-9C04-BF25BE6FE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6-45A8-9C04-BF25BE6FE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3-4150-81C7-85CA48ECF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C3-4150-81C7-85CA48ECF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5-46F6-98FB-37B4AB1BE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25-46F6-98FB-37B4AB1BE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2-47AC-A8CA-3BDE25C04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2-47AC-A8CA-3BDE25C04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 + News - Time</a:t>
            </a:r>
            <a:endParaRPr lang="en-GB"/>
          </a:p>
        </c:rich>
      </c:tx>
      <c:layout>
        <c:manualLayout>
          <c:xMode val="edge"/>
          <c:yMode val="edge"/>
          <c:x val="0.1452567328350133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7-4C07-8F79-B1B54F3D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7-4C07-8F79-B1B54F3DD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A-48A6-BF90-5CEDD5091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21A-48A6-BF90-5CEDD5091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F-449D-AC9D-FA913E9F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49D-AC9D-FA913E9F0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- News - Time</a:t>
            </a:r>
            <a:endParaRPr lang="en-GB"/>
          </a:p>
        </c:rich>
      </c:tx>
      <c:layout>
        <c:manualLayout>
          <c:xMode val="edge"/>
          <c:yMode val="edge"/>
          <c:x val="0.21463631922594065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7'!$E$52:$E$56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FC72-4C9D-B230-AB2FF6C34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7'!$J$52:$J$56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72-4C9D-B230-AB2FF6C34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LSTM 63 - FinBERT (1) + News - Time</a:t>
            </a:r>
            <a:endParaRPr lang="en-GB"/>
          </a:p>
        </c:rich>
      </c:tx>
      <c:layout>
        <c:manualLayout>
          <c:xMode val="edge"/>
          <c:yMode val="edge"/>
          <c:x val="0.12657761342207141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7'!$E$17:$E$21</c:f>
              <c:numCache>
                <c:formatCode>General</c:formatCode>
                <c:ptCount val="5"/>
                <c:pt idx="0">
                  <c:v>0.61566824809832899</c:v>
                </c:pt>
                <c:pt idx="1">
                  <c:v>2.7085949090116199</c:v>
                </c:pt>
                <c:pt idx="2">
                  <c:v>0.96898750674854806</c:v>
                </c:pt>
                <c:pt idx="3">
                  <c:v>1.76131071896911</c:v>
                </c:pt>
                <c:pt idx="4">
                  <c:v>0.50360631081482798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D-46E4-BCB4-5FE166276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7'!$J$17:$J$21</c:f>
              <c:numCache>
                <c:formatCode>General</c:formatCode>
                <c:ptCount val="5"/>
                <c:pt idx="0">
                  <c:v>7.3604136371056894</c:v>
                </c:pt>
                <c:pt idx="1">
                  <c:v>23.77363250645789</c:v>
                </c:pt>
                <c:pt idx="2">
                  <c:v>39.103451741307993</c:v>
                </c:pt>
                <c:pt idx="3">
                  <c:v>61.67385831196799</c:v>
                </c:pt>
                <c:pt idx="4">
                  <c:v>72.459280403205696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DD-46E4-BCB4-5FE1662766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(2)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7'!$E$52:$E$56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4AB4-4A83-BFC0-7382F3115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7'!$D$52:$D$56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7'!$J$52:$J$56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4-4A83-BFC0-7382F3115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C-40F1-A730-7522CD19D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0F1-A730-7522CD19D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(2)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apx2'!$E$137:$E$141</c:f>
              <c:numCache>
                <c:formatCode>General</c:formatCode>
                <c:ptCount val="5"/>
                <c:pt idx="0">
                  <c:v>0.12688868669911499</c:v>
                </c:pt>
                <c:pt idx="1">
                  <c:v>2.58064216004365</c:v>
                </c:pt>
                <c:pt idx="2">
                  <c:v>-0.47600032310944901</c:v>
                </c:pt>
                <c:pt idx="3">
                  <c:v>-0.82076225973053396</c:v>
                </c:pt>
                <c:pt idx="4">
                  <c:v>-0.14578568183768201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7-418B-9E40-366FF93CD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apx2'!$D$137:$D$141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apx2'!$J$137:$J$141</c:f>
              <c:numCache>
                <c:formatCode>General</c:formatCode>
                <c:ptCount val="5"/>
                <c:pt idx="0">
                  <c:v>0.79725988621783794</c:v>
                </c:pt>
                <c:pt idx="1">
                  <c:v>16.00894210357044</c:v>
                </c:pt>
                <c:pt idx="2">
                  <c:v>5.7846680701305413</c:v>
                </c:pt>
                <c:pt idx="3">
                  <c:v>-3.4261715807044286</c:v>
                </c:pt>
                <c:pt idx="4">
                  <c:v>-10.079711346732919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7-418B-9E40-366FF93CD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(0)</a:t>
            </a:r>
          </a:p>
        </c:rich>
      </c:tx>
      <c:layout>
        <c:manualLayout>
          <c:xMode val="edge"/>
          <c:yMode val="edge"/>
          <c:x val="0.2333154386388826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6'!$D$10:$D$14</c:f>
            </c:multiLvlStrRef>
          </c:cat>
          <c:val>
            <c:numRef>
              <c:f>'COMPARISON 4 - apx 6'!$E$10:$E$14</c:f>
            </c:numRef>
          </c:val>
          <c:extLst>
            <c:ext xmlns:c16="http://schemas.microsoft.com/office/drawing/2014/chart" uri="{C3380CC4-5D6E-409C-BE32-E72D297353CC}">
              <c16:uniqueId val="{00000000-1378-4D50-A7B5-237188CF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6'!$D$10:$D$14</c:f>
            </c:multiLvlStrRef>
          </c:cat>
          <c:val>
            <c:numRef>
              <c:f>'COMPARISON 4 - apx 6'!$J$10:$J$14</c:f>
            </c:numRef>
          </c:val>
          <c:smooth val="0"/>
          <c:extLst>
            <c:ext xmlns:c16="http://schemas.microsoft.com/office/drawing/2014/chart" uri="{C3380CC4-5D6E-409C-BE32-E72D297353CC}">
              <c16:uniqueId val="{00000001-1378-4D50-A7B5-237188CF77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63 - FinBERT (0)</a:t>
            </a:r>
            <a:endParaRPr lang="en-GB"/>
          </a:p>
        </c:rich>
      </c:tx>
      <c:layout>
        <c:manualLayout>
          <c:xMode val="edge"/>
          <c:yMode val="edge"/>
          <c:x val="0.2493261124214042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apx2'!$E$95:$E$99</c:f>
              <c:numCache>
                <c:formatCode>General</c:formatCode>
                <c:ptCount val="5"/>
                <c:pt idx="0">
                  <c:v>1.6487740930253001</c:v>
                </c:pt>
                <c:pt idx="1">
                  <c:v>1.5831509906835</c:v>
                </c:pt>
                <c:pt idx="2">
                  <c:v>-1.28938504216794</c:v>
                </c:pt>
                <c:pt idx="3">
                  <c:v>0.106493813729856</c:v>
                </c:pt>
                <c:pt idx="4">
                  <c:v>0.33379447461138001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69-45B3-BEE8-015DA0DB1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apx2'!$D$95:$D$99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apx2'!$J$95:$J$99</c:f>
              <c:numCache>
                <c:formatCode>General</c:formatCode>
                <c:ptCount val="5"/>
                <c:pt idx="0">
                  <c:v>22.5569500511854</c:v>
                </c:pt>
                <c:pt idx="1">
                  <c:v>28.792039046088519</c:v>
                </c:pt>
                <c:pt idx="2">
                  <c:v>7.1116564665538213</c:v>
                </c:pt>
                <c:pt idx="3">
                  <c:v>7.6671051447396641</c:v>
                </c:pt>
                <c:pt idx="4">
                  <c:v>13.396097280602813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9-45B3-BEE8-015DA0DB1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(0)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apx2'!$E$109:$E$113</c:f>
              <c:numCache>
                <c:formatCode>General</c:formatCode>
                <c:ptCount val="5"/>
                <c:pt idx="0">
                  <c:v>0.615186066998472</c:v>
                </c:pt>
                <c:pt idx="1">
                  <c:v>1.48799357359117</c:v>
                </c:pt>
                <c:pt idx="2">
                  <c:v>-0.30938864291933799</c:v>
                </c:pt>
                <c:pt idx="3">
                  <c:v>0.63196308949555602</c:v>
                </c:pt>
                <c:pt idx="4">
                  <c:v>0.37204903251988802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8-4708-AD7D-D2A046E9A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apx2'!$D$109:$D$113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apx2'!$J$109:$J$113</c:f>
              <c:numCache>
                <c:formatCode>General</c:formatCode>
                <c:ptCount val="5"/>
                <c:pt idx="0">
                  <c:v>5.3542327103382998</c:v>
                </c:pt>
                <c:pt idx="1">
                  <c:v>15.138429575305059</c:v>
                </c:pt>
                <c:pt idx="2">
                  <c:v>10.50803063799567</c:v>
                </c:pt>
                <c:pt idx="3">
                  <c:v>17.441689326585589</c:v>
                </c:pt>
                <c:pt idx="4">
                  <c:v>24.561139830914659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98-4708-AD7D-D2A046E9A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4'!$E$17:$E$21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F-4BDF-9603-B399D2DEB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2 - apx 4'!$D$17:$D$21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2 - apx 4'!$J$17:$J$21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F-4BDF-9603-B399D2DEB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E-44D2-968C-DD6D7E1AA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FE-44D2-968C-DD6D7E1AA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+ News - Time</a:t>
            </a:r>
            <a:endParaRPr lang="en-GB"/>
          </a:p>
        </c:rich>
      </c:tx>
      <c:layout>
        <c:manualLayout>
          <c:xMode val="edge"/>
          <c:yMode val="edge"/>
          <c:x val="0.182614971660897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7'!$D$38:$D$42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7'!$E$38:$E$42</c:f>
              <c:numCache>
                <c:formatCode>General</c:formatCode>
                <c:ptCount val="5"/>
              </c:numCache>
            </c:numRef>
          </c:val>
          <c:extLst>
            <c:ext xmlns:c16="http://schemas.microsoft.com/office/drawing/2014/chart" uri="{C3380CC4-5D6E-409C-BE32-E72D297353CC}">
              <c16:uniqueId val="{00000000-ED92-4A27-A9FE-C0811CD54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7'!$D$38:$D$42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7'!$J$38:$J$42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2-4A27-A9FE-C0811CD54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D-489F-A6DA-E7DFF1686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D-489F-A6DA-E7DFF1686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91-405E-9474-C7215D7CF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1-405E-9474-C7215D7CFF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2B-45E6-A1D0-33154BC9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2B-45E6-A1D0-33154BC9D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6'!$D$3:$D$7</c:f>
            </c:multiLvlStrRef>
          </c:cat>
          <c:val>
            <c:numRef>
              <c:f>'COMPARISON 4 - apx 6'!$E$3:$E$7</c:f>
            </c:numRef>
          </c:val>
          <c:extLst>
            <c:ext xmlns:c16="http://schemas.microsoft.com/office/drawing/2014/chart" uri="{C3380CC4-5D6E-409C-BE32-E72D297353CC}">
              <c16:uniqueId val="{00000000-5477-4DBE-BB91-15918C000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6'!$D$3:$D$7</c:f>
            </c:multiLvlStrRef>
          </c:cat>
          <c:val>
            <c:numRef>
              <c:f>'COMPARISON 4 - apx 6'!$J$3:$J$7</c:f>
            </c:numRef>
          </c:val>
          <c:smooth val="0"/>
          <c:extLst>
            <c:ext xmlns:c16="http://schemas.microsoft.com/office/drawing/2014/chart" uri="{C3380CC4-5D6E-409C-BE32-E72D297353CC}">
              <c16:uniqueId val="{00000001-5477-4DBE-BB91-15918C0000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FA-4BE1-B88A-076D721DD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FA-4BE1-B88A-076D721DD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A7-4B9D-9C61-3DEBB7A7E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A7-4B9D-9C61-3DEBB7A7E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8-495B-9901-D1558A0AC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58-495B-9901-D1558A0AC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 + News</a:t>
            </a:r>
            <a:endParaRPr lang="en-GB"/>
          </a:p>
        </c:rich>
      </c:tx>
      <c:layout>
        <c:manualLayout>
          <c:xMode val="edge"/>
          <c:yMode val="edge"/>
          <c:x val="0.17194118913921613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6'!$D$38:$D$42</c:f>
            </c:multiLvlStrRef>
          </c:cat>
          <c:val>
            <c:numRef>
              <c:f>'COMPARISON 4 - apx 6'!$E$38:$E$42</c:f>
            </c:numRef>
          </c:val>
          <c:extLst>
            <c:ext xmlns:c16="http://schemas.microsoft.com/office/drawing/2014/chart" uri="{C3380CC4-5D6E-409C-BE32-E72D297353CC}">
              <c16:uniqueId val="{00000000-C684-4128-9783-BAC571126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6'!$D$38:$D$42</c:f>
            </c:multiLvlStrRef>
          </c:cat>
          <c:val>
            <c:numRef>
              <c:f>'COMPARISON 4 - apx 6'!$J$38:$J$42</c:f>
            </c:numRef>
          </c:val>
          <c:smooth val="0"/>
          <c:extLst>
            <c:ext xmlns:c16="http://schemas.microsoft.com/office/drawing/2014/chart" uri="{C3380CC4-5D6E-409C-BE32-E72D297353CC}">
              <c16:uniqueId val="{00000001-C684-4128-9783-BAC5711269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TFT 252 -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7'!$E$24:$E$28</c:f>
              <c:numCache>
                <c:formatCode>General</c:formatCode>
                <c:ptCount val="5"/>
                <c:pt idx="0">
                  <c:v>-0.13067446453033299</c:v>
                </c:pt>
                <c:pt idx="1">
                  <c:v>2.2655544603747599</c:v>
                </c:pt>
                <c:pt idx="2">
                  <c:v>0.78741231079408103</c:v>
                </c:pt>
                <c:pt idx="3">
                  <c:v>1.0549643193196101</c:v>
                </c:pt>
                <c:pt idx="4">
                  <c:v>0.77823332726153105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0-45A6-853A-7E5CE931F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7'!$J$24:$J$28</c:f>
              <c:numCache>
                <c:formatCode>General</c:formatCode>
                <c:ptCount val="5"/>
                <c:pt idx="0">
                  <c:v>-1.41774830080173</c:v>
                </c:pt>
                <c:pt idx="1">
                  <c:v>11.74260367781887</c:v>
                </c:pt>
                <c:pt idx="2">
                  <c:v>19.041308966067628</c:v>
                </c:pt>
                <c:pt idx="3">
                  <c:v>31.567160225607129</c:v>
                </c:pt>
                <c:pt idx="4">
                  <c:v>57.532778024739329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A0-45A6-853A-7E5CE931F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AF-43BD-B0B4-0A6AB1C6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AF-43BD-B0B4-0A6AB1C63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- TFT 252 - FinBERT (1)</a:t>
            </a:r>
            <a:endParaRPr lang="en-GB"/>
          </a:p>
        </c:rich>
      </c:tx>
      <c:layout>
        <c:manualLayout>
          <c:xMode val="edge"/>
          <c:yMode val="edge"/>
          <c:x val="0.26533678620392598"/>
          <c:y val="8.9592427889519045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apx2'!$E$130:$E$134</c:f>
              <c:numCache>
                <c:formatCode>General</c:formatCode>
                <c:ptCount val="5"/>
                <c:pt idx="0">
                  <c:v>1.08016821041124</c:v>
                </c:pt>
                <c:pt idx="1">
                  <c:v>1.1860493119302</c:v>
                </c:pt>
                <c:pt idx="2">
                  <c:v>-0.65115512740932302</c:v>
                </c:pt>
                <c:pt idx="3">
                  <c:v>1.4006217953380899</c:v>
                </c:pt>
                <c:pt idx="4">
                  <c:v>0.53267281339680095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F2-4429-B20A-E506716D5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apx2'!$D$130:$D$134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apx2'!$J$130:$J$134</c:f>
              <c:numCache>
                <c:formatCode>General</c:formatCode>
                <c:ptCount val="5"/>
                <c:pt idx="0">
                  <c:v>13.607633236465999</c:v>
                </c:pt>
                <c:pt idx="1">
                  <c:v>18.39127663693754</c:v>
                </c:pt>
                <c:pt idx="2">
                  <c:v>7.4034656339344398</c:v>
                </c:pt>
                <c:pt idx="3">
                  <c:v>24.488193721421439</c:v>
                </c:pt>
                <c:pt idx="4">
                  <c:v>36.840150722436235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2-4429-B20A-E506716D5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LSTM 63 </a:t>
            </a:r>
            <a:endParaRPr lang="en-GB"/>
          </a:p>
        </c:rich>
      </c:tx>
      <c:layout>
        <c:manualLayout>
          <c:xMode val="edge"/>
          <c:yMode val="edge"/>
          <c:x val="0.28668435124728819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'COMPARISON 4 - apx 6'!$D$3:$D$7</c:f>
            </c:multiLvlStrRef>
          </c:cat>
          <c:val>
            <c:numRef>
              <c:f>'COMPARISON 4 - apx 6'!$E$3:$E$7</c:f>
            </c:numRef>
          </c:val>
          <c:extLst>
            <c:ext xmlns:c16="http://schemas.microsoft.com/office/drawing/2014/chart" uri="{C3380CC4-5D6E-409C-BE32-E72D297353CC}">
              <c16:uniqueId val="{00000000-8345-44CD-BD6C-5B0478697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'COMPARISON 4 - apx 6'!$D$3:$D$7</c:f>
            </c:multiLvlStrRef>
          </c:cat>
          <c:val>
            <c:numRef>
              <c:f>'COMPARISON 4 - apx 6'!$J$3:$J$7</c:f>
            </c:numRef>
          </c:val>
          <c:smooth val="0"/>
          <c:extLst>
            <c:ext xmlns:c16="http://schemas.microsoft.com/office/drawing/2014/chart" uri="{C3380CC4-5D6E-409C-BE32-E72D297353CC}">
              <c16:uniqueId val="{00000001-8345-44CD-BD6C-5B0478697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7F-46C3-A2F5-79A2960D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7F-46C3-A2F5-79A2960D8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MomTrans FS - TFT 252 - CPD21</a:t>
            </a:r>
          </a:p>
        </c:rich>
      </c:tx>
      <c:layout>
        <c:manualLayout>
          <c:xMode val="edge"/>
          <c:yMode val="edge"/>
          <c:x val="0.2413207755301435"/>
          <c:y val="1.125861857941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apx2'!$E$74:$E$78</c:f>
              <c:numCache>
                <c:formatCode>General</c:formatCode>
                <c:ptCount val="5"/>
                <c:pt idx="0">
                  <c:v>-0.67623058270677705</c:v>
                </c:pt>
                <c:pt idx="1">
                  <c:v>-1.7467175601642699</c:v>
                </c:pt>
                <c:pt idx="2">
                  <c:v>-1.09666146519081</c:v>
                </c:pt>
                <c:pt idx="3">
                  <c:v>0.25127400921972698</c:v>
                </c:pt>
                <c:pt idx="4">
                  <c:v>1.43361638167039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E-4DDF-9F30-9B78051EF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'OVERVIEW - apx1 apx2'!$D$74:$D$78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'OVERVIEW - apx1 apx2'!$J$74:$J$78</c:f>
              <c:numCache>
                <c:formatCode>General</c:formatCode>
                <c:ptCount val="5"/>
                <c:pt idx="0">
                  <c:v>-12.684843282804801</c:v>
                </c:pt>
                <c:pt idx="1">
                  <c:v>-43.138168244386904</c:v>
                </c:pt>
                <c:pt idx="2">
                  <c:v>-58.058515478385104</c:v>
                </c:pt>
                <c:pt idx="3">
                  <c:v>-55.796454435217044</c:v>
                </c:pt>
                <c:pt idx="4">
                  <c:v>-37.567426720100542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E-4DDF-9F30-9B78051EF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  - LSTM 63 - FinBERT (1)</a:t>
            </a:r>
            <a:endParaRPr lang="en-GB"/>
          </a:p>
        </c:rich>
      </c:tx>
      <c:layout>
        <c:manualLayout>
          <c:xMode val="edge"/>
          <c:yMode val="edge"/>
          <c:x val="0.3080319162906504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3'!$E$24:$E$28</c:f>
              <c:numCache>
                <c:formatCode>General</c:formatCode>
                <c:ptCount val="5"/>
                <c:pt idx="0">
                  <c:v>-0.183743773216406</c:v>
                </c:pt>
                <c:pt idx="1">
                  <c:v>0.58293380039882903</c:v>
                </c:pt>
                <c:pt idx="2">
                  <c:v>-0.12557260382163901</c:v>
                </c:pt>
                <c:pt idx="3">
                  <c:v>1.2507718263755601</c:v>
                </c:pt>
                <c:pt idx="4">
                  <c:v>1.2958767120602299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19-4E8A-897A-EB5E17F59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1 - apx 3'!$D$24:$D$28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1 - apx 3'!$J$24:$J$28</c:f>
              <c:numCache>
                <c:formatCode>General</c:formatCode>
                <c:ptCount val="5"/>
                <c:pt idx="0">
                  <c:v>-2.5294852791982203</c:v>
                </c:pt>
                <c:pt idx="1">
                  <c:v>0.94571907127358923</c:v>
                </c:pt>
                <c:pt idx="2">
                  <c:v>-2.7873736047487907</c:v>
                </c:pt>
                <c:pt idx="3">
                  <c:v>18.90473119614051</c:v>
                </c:pt>
                <c:pt idx="4">
                  <c:v>50.594071667936809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9-4E8A-897A-EB5E17F59E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New FS- LSTM 63 - FinBERT (1) + News - Time</a:t>
            </a:r>
            <a:endParaRPr lang="en-GB"/>
          </a:p>
        </c:rich>
      </c:tx>
      <c:layout>
        <c:manualLayout>
          <c:xMode val="edge"/>
          <c:yMode val="edge"/>
          <c:x val="0.14525673283501336"/>
          <c:y val="8.9592427889518991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183902128978374"/>
          <c:y val="0.10132453713556076"/>
          <c:w val="0.74881038802771394"/>
          <c:h val="0.7019374334964885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'COMPARISON 5 - apx 7'!$D$31:$D$35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7'!$E$31:$E$35</c:f>
              <c:numCache>
                <c:formatCode>General</c:formatCode>
                <c:ptCount val="5"/>
                <c:pt idx="0">
                  <c:v>0.22220413862130201</c:v>
                </c:pt>
                <c:pt idx="1">
                  <c:v>1.42467479445922</c:v>
                </c:pt>
                <c:pt idx="2">
                  <c:v>-0.51131365432965104</c:v>
                </c:pt>
                <c:pt idx="3">
                  <c:v>0.14880325549906201</c:v>
                </c:pt>
                <c:pt idx="4">
                  <c:v>1.14495541760233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6-45AD-B1DB-428CB27D4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3343359"/>
        <c:axId val="122334460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'COMPARISON 5 - apx 7'!$D$31:$D$35</c:f>
              <c:strCache>
                <c:ptCount val="5"/>
                <c:pt idx="0">
                  <c:v>2016 - 2017</c:v>
                </c:pt>
                <c:pt idx="1">
                  <c:v>2017 - 2018</c:v>
                </c:pt>
                <c:pt idx="2">
                  <c:v>2018 - 2019</c:v>
                </c:pt>
                <c:pt idx="3">
                  <c:v>2019 - 2020</c:v>
                </c:pt>
                <c:pt idx="4">
                  <c:v>2020 - 2021</c:v>
                </c:pt>
              </c:strCache>
            </c:strRef>
          </c:cat>
          <c:val>
            <c:numRef>
              <c:f>'COMPARISON 5 - apx 7'!$J$31:$J$35</c:f>
              <c:numCache>
                <c:formatCode>General</c:formatCode>
                <c:ptCount val="5"/>
                <c:pt idx="0">
                  <c:v>1.8001643635264301E-2</c:v>
                </c:pt>
                <c:pt idx="1">
                  <c:v>0.1177240268923298</c:v>
                </c:pt>
                <c:pt idx="2">
                  <c:v>1.2354897154777805E-2</c:v>
                </c:pt>
                <c:pt idx="3">
                  <c:v>2.1491993805784947E-2</c:v>
                </c:pt>
                <c:pt idx="4">
                  <c:v>0.37554267572315492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6-45AD-B1DB-428CB27D4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248223"/>
        <c:axId val="884244063"/>
      </c:lineChart>
      <c:catAx>
        <c:axId val="122334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4607"/>
        <c:crosses val="autoZero"/>
        <c:auto val="1"/>
        <c:lblAlgn val="ctr"/>
        <c:lblOffset val="100"/>
        <c:noMultiLvlLbl val="0"/>
      </c:catAx>
      <c:valAx>
        <c:axId val="12233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Sharpe</a:t>
                </a:r>
                <a:r>
                  <a:rPr lang="en-GB" baseline="0"/>
                  <a:t> Ratio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3359"/>
        <c:crosses val="autoZero"/>
        <c:crossBetween val="between"/>
      </c:valAx>
      <c:valAx>
        <c:axId val="884244063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Normalised Cumulative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48223"/>
        <c:crosses val="max"/>
        <c:crossBetween val="between"/>
      </c:valAx>
      <c:catAx>
        <c:axId val="884248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42440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 b="0" i="0" u="none" strike="noStrike" baseline="0">
                <a:effectLst/>
              </a:rPr>
              <a:t>LSTM 63 - No CPD</a:t>
            </a:r>
            <a:r>
              <a:rPr lang="en-GB" sz="1400" b="0" i="0" u="none" strike="noStrike" baseline="0"/>
              <a:t> </a:t>
            </a:r>
            <a:endParaRPr lang="en-GB"/>
          </a:p>
        </c:rich>
      </c:tx>
      <c:layout>
        <c:manualLayout>
          <c:xMode val="edge"/>
          <c:yMode val="edge"/>
          <c:x val="0.4491912963234469"/>
          <c:y val="2.36686390532544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'experiment 1 - LSTM'!$E$1</c:f>
              <c:strCache>
                <c:ptCount val="1"/>
                <c:pt idx="0">
                  <c:v>position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'experiment 1 - LSTM'!$C$2:$C$1261</c:f>
              <c:numCache>
                <c:formatCode>m/d/yyyy</c:formatCode>
                <c:ptCount val="1260"/>
                <c:pt idx="0">
                  <c:v>42373</c:v>
                </c:pt>
                <c:pt idx="1">
                  <c:v>42374</c:v>
                </c:pt>
                <c:pt idx="2">
                  <c:v>42375</c:v>
                </c:pt>
                <c:pt idx="3">
                  <c:v>42376</c:v>
                </c:pt>
                <c:pt idx="4">
                  <c:v>42377</c:v>
                </c:pt>
                <c:pt idx="5">
                  <c:v>42380</c:v>
                </c:pt>
                <c:pt idx="6">
                  <c:v>42381</c:v>
                </c:pt>
                <c:pt idx="7">
                  <c:v>42382</c:v>
                </c:pt>
                <c:pt idx="8">
                  <c:v>42383</c:v>
                </c:pt>
                <c:pt idx="9">
                  <c:v>42384</c:v>
                </c:pt>
                <c:pt idx="10">
                  <c:v>42388</c:v>
                </c:pt>
                <c:pt idx="11">
                  <c:v>42389</c:v>
                </c:pt>
                <c:pt idx="12">
                  <c:v>42390</c:v>
                </c:pt>
                <c:pt idx="13">
                  <c:v>42391</c:v>
                </c:pt>
                <c:pt idx="14">
                  <c:v>42394</c:v>
                </c:pt>
                <c:pt idx="15">
                  <c:v>42395</c:v>
                </c:pt>
                <c:pt idx="16">
                  <c:v>42396</c:v>
                </c:pt>
                <c:pt idx="17">
                  <c:v>42397</c:v>
                </c:pt>
                <c:pt idx="18">
                  <c:v>42398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42408</c:v>
                </c:pt>
                <c:pt idx="25">
                  <c:v>42409</c:v>
                </c:pt>
                <c:pt idx="26">
                  <c:v>42410</c:v>
                </c:pt>
                <c:pt idx="27">
                  <c:v>42411</c:v>
                </c:pt>
                <c:pt idx="28">
                  <c:v>42412</c:v>
                </c:pt>
                <c:pt idx="29">
                  <c:v>42416</c:v>
                </c:pt>
                <c:pt idx="30">
                  <c:v>42417</c:v>
                </c:pt>
                <c:pt idx="31">
                  <c:v>42418</c:v>
                </c:pt>
                <c:pt idx="32">
                  <c:v>42419</c:v>
                </c:pt>
                <c:pt idx="33">
                  <c:v>42422</c:v>
                </c:pt>
                <c:pt idx="34">
                  <c:v>42423</c:v>
                </c:pt>
                <c:pt idx="35">
                  <c:v>42424</c:v>
                </c:pt>
                <c:pt idx="36">
                  <c:v>42425</c:v>
                </c:pt>
                <c:pt idx="37">
                  <c:v>42426</c:v>
                </c:pt>
                <c:pt idx="38">
                  <c:v>42429</c:v>
                </c:pt>
                <c:pt idx="39">
                  <c:v>42430</c:v>
                </c:pt>
                <c:pt idx="40">
                  <c:v>42431</c:v>
                </c:pt>
                <c:pt idx="41">
                  <c:v>42432</c:v>
                </c:pt>
                <c:pt idx="42">
                  <c:v>42433</c:v>
                </c:pt>
                <c:pt idx="43">
                  <c:v>42436</c:v>
                </c:pt>
                <c:pt idx="44">
                  <c:v>42437</c:v>
                </c:pt>
                <c:pt idx="45">
                  <c:v>42438</c:v>
                </c:pt>
                <c:pt idx="46">
                  <c:v>42439</c:v>
                </c:pt>
                <c:pt idx="47">
                  <c:v>42440</c:v>
                </c:pt>
                <c:pt idx="48">
                  <c:v>42443</c:v>
                </c:pt>
                <c:pt idx="49">
                  <c:v>42444</c:v>
                </c:pt>
                <c:pt idx="50">
                  <c:v>42445</c:v>
                </c:pt>
                <c:pt idx="51">
                  <c:v>42446</c:v>
                </c:pt>
                <c:pt idx="52">
                  <c:v>42447</c:v>
                </c:pt>
                <c:pt idx="53">
                  <c:v>42450</c:v>
                </c:pt>
                <c:pt idx="54">
                  <c:v>42451</c:v>
                </c:pt>
                <c:pt idx="55">
                  <c:v>42452</c:v>
                </c:pt>
                <c:pt idx="56">
                  <c:v>42453</c:v>
                </c:pt>
                <c:pt idx="57">
                  <c:v>42457</c:v>
                </c:pt>
                <c:pt idx="58">
                  <c:v>42458</c:v>
                </c:pt>
                <c:pt idx="59">
                  <c:v>42459</c:v>
                </c:pt>
                <c:pt idx="60">
                  <c:v>42460</c:v>
                </c:pt>
                <c:pt idx="61">
                  <c:v>42461</c:v>
                </c:pt>
                <c:pt idx="62">
                  <c:v>42464</c:v>
                </c:pt>
                <c:pt idx="63">
                  <c:v>42465</c:v>
                </c:pt>
                <c:pt idx="64">
                  <c:v>42466</c:v>
                </c:pt>
                <c:pt idx="65">
                  <c:v>42467</c:v>
                </c:pt>
                <c:pt idx="66">
                  <c:v>42468</c:v>
                </c:pt>
                <c:pt idx="67">
                  <c:v>42471</c:v>
                </c:pt>
                <c:pt idx="68">
                  <c:v>42472</c:v>
                </c:pt>
                <c:pt idx="69">
                  <c:v>42473</c:v>
                </c:pt>
                <c:pt idx="70">
                  <c:v>42474</c:v>
                </c:pt>
                <c:pt idx="71">
                  <c:v>42475</c:v>
                </c:pt>
                <c:pt idx="72">
                  <c:v>42478</c:v>
                </c:pt>
                <c:pt idx="73">
                  <c:v>42479</c:v>
                </c:pt>
                <c:pt idx="74">
                  <c:v>42480</c:v>
                </c:pt>
                <c:pt idx="75">
                  <c:v>42481</c:v>
                </c:pt>
                <c:pt idx="76">
                  <c:v>42482</c:v>
                </c:pt>
                <c:pt idx="77">
                  <c:v>42485</c:v>
                </c:pt>
                <c:pt idx="78">
                  <c:v>42486</c:v>
                </c:pt>
                <c:pt idx="79">
                  <c:v>42487</c:v>
                </c:pt>
                <c:pt idx="80">
                  <c:v>42488</c:v>
                </c:pt>
                <c:pt idx="81">
                  <c:v>42489</c:v>
                </c:pt>
                <c:pt idx="82">
                  <c:v>42492</c:v>
                </c:pt>
                <c:pt idx="83">
                  <c:v>42493</c:v>
                </c:pt>
                <c:pt idx="84">
                  <c:v>42494</c:v>
                </c:pt>
                <c:pt idx="85">
                  <c:v>42495</c:v>
                </c:pt>
                <c:pt idx="86">
                  <c:v>42496</c:v>
                </c:pt>
                <c:pt idx="87">
                  <c:v>42499</c:v>
                </c:pt>
                <c:pt idx="88">
                  <c:v>42500</c:v>
                </c:pt>
                <c:pt idx="89">
                  <c:v>42501</c:v>
                </c:pt>
                <c:pt idx="90">
                  <c:v>42502</c:v>
                </c:pt>
                <c:pt idx="91">
                  <c:v>42503</c:v>
                </c:pt>
                <c:pt idx="92">
                  <c:v>42506</c:v>
                </c:pt>
                <c:pt idx="93">
                  <c:v>42507</c:v>
                </c:pt>
                <c:pt idx="94">
                  <c:v>42508</c:v>
                </c:pt>
                <c:pt idx="95">
                  <c:v>42509</c:v>
                </c:pt>
                <c:pt idx="96">
                  <c:v>42510</c:v>
                </c:pt>
                <c:pt idx="97">
                  <c:v>42513</c:v>
                </c:pt>
                <c:pt idx="98">
                  <c:v>42514</c:v>
                </c:pt>
                <c:pt idx="99">
                  <c:v>42515</c:v>
                </c:pt>
                <c:pt idx="100">
                  <c:v>42516</c:v>
                </c:pt>
                <c:pt idx="101">
                  <c:v>42517</c:v>
                </c:pt>
                <c:pt idx="102">
                  <c:v>42521</c:v>
                </c:pt>
                <c:pt idx="103">
                  <c:v>42522</c:v>
                </c:pt>
                <c:pt idx="104">
                  <c:v>42523</c:v>
                </c:pt>
                <c:pt idx="105">
                  <c:v>42524</c:v>
                </c:pt>
                <c:pt idx="106">
                  <c:v>42527</c:v>
                </c:pt>
                <c:pt idx="107">
                  <c:v>42528</c:v>
                </c:pt>
                <c:pt idx="108">
                  <c:v>42529</c:v>
                </c:pt>
                <c:pt idx="109">
                  <c:v>42530</c:v>
                </c:pt>
                <c:pt idx="110">
                  <c:v>42531</c:v>
                </c:pt>
                <c:pt idx="111">
                  <c:v>42534</c:v>
                </c:pt>
                <c:pt idx="112">
                  <c:v>42535</c:v>
                </c:pt>
                <c:pt idx="113">
                  <c:v>42536</c:v>
                </c:pt>
                <c:pt idx="114">
                  <c:v>42537</c:v>
                </c:pt>
                <c:pt idx="115">
                  <c:v>42538</c:v>
                </c:pt>
                <c:pt idx="116">
                  <c:v>42541</c:v>
                </c:pt>
                <c:pt idx="117">
                  <c:v>42542</c:v>
                </c:pt>
                <c:pt idx="118">
                  <c:v>42543</c:v>
                </c:pt>
                <c:pt idx="119">
                  <c:v>42544</c:v>
                </c:pt>
                <c:pt idx="120">
                  <c:v>42545</c:v>
                </c:pt>
                <c:pt idx="121">
                  <c:v>42548</c:v>
                </c:pt>
                <c:pt idx="122">
                  <c:v>42549</c:v>
                </c:pt>
                <c:pt idx="123">
                  <c:v>42550</c:v>
                </c:pt>
                <c:pt idx="124">
                  <c:v>42551</c:v>
                </c:pt>
                <c:pt idx="125">
                  <c:v>42552</c:v>
                </c:pt>
                <c:pt idx="126">
                  <c:v>42556</c:v>
                </c:pt>
                <c:pt idx="127">
                  <c:v>42557</c:v>
                </c:pt>
                <c:pt idx="128">
                  <c:v>42558</c:v>
                </c:pt>
                <c:pt idx="129">
                  <c:v>42559</c:v>
                </c:pt>
                <c:pt idx="130">
                  <c:v>42562</c:v>
                </c:pt>
                <c:pt idx="131">
                  <c:v>42563</c:v>
                </c:pt>
                <c:pt idx="132">
                  <c:v>42564</c:v>
                </c:pt>
                <c:pt idx="133">
                  <c:v>42565</c:v>
                </c:pt>
                <c:pt idx="134">
                  <c:v>42566</c:v>
                </c:pt>
                <c:pt idx="135">
                  <c:v>42569</c:v>
                </c:pt>
                <c:pt idx="136">
                  <c:v>42570</c:v>
                </c:pt>
                <c:pt idx="137">
                  <c:v>42571</c:v>
                </c:pt>
                <c:pt idx="138">
                  <c:v>42572</c:v>
                </c:pt>
                <c:pt idx="139">
                  <c:v>42573</c:v>
                </c:pt>
                <c:pt idx="140">
                  <c:v>42576</c:v>
                </c:pt>
                <c:pt idx="141">
                  <c:v>42577</c:v>
                </c:pt>
                <c:pt idx="142">
                  <c:v>42578</c:v>
                </c:pt>
                <c:pt idx="143">
                  <c:v>42579</c:v>
                </c:pt>
                <c:pt idx="144">
                  <c:v>42580</c:v>
                </c:pt>
                <c:pt idx="145">
                  <c:v>42583</c:v>
                </c:pt>
                <c:pt idx="146">
                  <c:v>42584</c:v>
                </c:pt>
                <c:pt idx="147">
                  <c:v>42585</c:v>
                </c:pt>
                <c:pt idx="148">
                  <c:v>42586</c:v>
                </c:pt>
                <c:pt idx="149">
                  <c:v>42587</c:v>
                </c:pt>
                <c:pt idx="150">
                  <c:v>42590</c:v>
                </c:pt>
                <c:pt idx="151">
                  <c:v>42591</c:v>
                </c:pt>
                <c:pt idx="152">
                  <c:v>42592</c:v>
                </c:pt>
                <c:pt idx="153">
                  <c:v>42593</c:v>
                </c:pt>
                <c:pt idx="154">
                  <c:v>42594</c:v>
                </c:pt>
                <c:pt idx="155">
                  <c:v>42597</c:v>
                </c:pt>
                <c:pt idx="156">
                  <c:v>42598</c:v>
                </c:pt>
                <c:pt idx="157">
                  <c:v>42599</c:v>
                </c:pt>
                <c:pt idx="158">
                  <c:v>42600</c:v>
                </c:pt>
                <c:pt idx="159">
                  <c:v>42601</c:v>
                </c:pt>
                <c:pt idx="160">
                  <c:v>42604</c:v>
                </c:pt>
                <c:pt idx="161">
                  <c:v>42605</c:v>
                </c:pt>
                <c:pt idx="162">
                  <c:v>42606</c:v>
                </c:pt>
                <c:pt idx="163">
                  <c:v>42607</c:v>
                </c:pt>
                <c:pt idx="164">
                  <c:v>42608</c:v>
                </c:pt>
                <c:pt idx="165">
                  <c:v>42611</c:v>
                </c:pt>
                <c:pt idx="166">
                  <c:v>42612</c:v>
                </c:pt>
                <c:pt idx="167">
                  <c:v>42613</c:v>
                </c:pt>
                <c:pt idx="168">
                  <c:v>42614</c:v>
                </c:pt>
                <c:pt idx="169">
                  <c:v>42615</c:v>
                </c:pt>
                <c:pt idx="170">
                  <c:v>42619</c:v>
                </c:pt>
                <c:pt idx="171">
                  <c:v>42620</c:v>
                </c:pt>
                <c:pt idx="172">
                  <c:v>42621</c:v>
                </c:pt>
                <c:pt idx="173">
                  <c:v>42622</c:v>
                </c:pt>
                <c:pt idx="174">
                  <c:v>42625</c:v>
                </c:pt>
                <c:pt idx="175">
                  <c:v>42626</c:v>
                </c:pt>
                <c:pt idx="176">
                  <c:v>42627</c:v>
                </c:pt>
                <c:pt idx="177">
                  <c:v>42628</c:v>
                </c:pt>
                <c:pt idx="178">
                  <c:v>42629</c:v>
                </c:pt>
                <c:pt idx="179">
                  <c:v>42632</c:v>
                </c:pt>
                <c:pt idx="180">
                  <c:v>42633</c:v>
                </c:pt>
                <c:pt idx="181">
                  <c:v>42634</c:v>
                </c:pt>
                <c:pt idx="182">
                  <c:v>42635</c:v>
                </c:pt>
                <c:pt idx="183">
                  <c:v>42636</c:v>
                </c:pt>
                <c:pt idx="184">
                  <c:v>42639</c:v>
                </c:pt>
                <c:pt idx="185">
                  <c:v>42640</c:v>
                </c:pt>
                <c:pt idx="186">
                  <c:v>42641</c:v>
                </c:pt>
                <c:pt idx="187">
                  <c:v>42642</c:v>
                </c:pt>
                <c:pt idx="188">
                  <c:v>42643</c:v>
                </c:pt>
                <c:pt idx="189">
                  <c:v>42646</c:v>
                </c:pt>
                <c:pt idx="190">
                  <c:v>42647</c:v>
                </c:pt>
                <c:pt idx="191">
                  <c:v>42648</c:v>
                </c:pt>
                <c:pt idx="192">
                  <c:v>42649</c:v>
                </c:pt>
                <c:pt idx="193">
                  <c:v>42650</c:v>
                </c:pt>
                <c:pt idx="194">
                  <c:v>42653</c:v>
                </c:pt>
                <c:pt idx="195">
                  <c:v>42654</c:v>
                </c:pt>
                <c:pt idx="196">
                  <c:v>42655</c:v>
                </c:pt>
                <c:pt idx="197">
                  <c:v>42656</c:v>
                </c:pt>
                <c:pt idx="198">
                  <c:v>42657</c:v>
                </c:pt>
                <c:pt idx="199">
                  <c:v>42660</c:v>
                </c:pt>
                <c:pt idx="200">
                  <c:v>42661</c:v>
                </c:pt>
                <c:pt idx="201">
                  <c:v>42662</c:v>
                </c:pt>
                <c:pt idx="202">
                  <c:v>42663</c:v>
                </c:pt>
                <c:pt idx="203">
                  <c:v>42664</c:v>
                </c:pt>
                <c:pt idx="204">
                  <c:v>42667</c:v>
                </c:pt>
                <c:pt idx="205">
                  <c:v>42668</c:v>
                </c:pt>
                <c:pt idx="206">
                  <c:v>42669</c:v>
                </c:pt>
                <c:pt idx="207">
                  <c:v>42670</c:v>
                </c:pt>
                <c:pt idx="208">
                  <c:v>42671</c:v>
                </c:pt>
                <c:pt idx="209">
                  <c:v>42674</c:v>
                </c:pt>
                <c:pt idx="210">
                  <c:v>42675</c:v>
                </c:pt>
                <c:pt idx="211">
                  <c:v>42676</c:v>
                </c:pt>
                <c:pt idx="212">
                  <c:v>42677</c:v>
                </c:pt>
                <c:pt idx="213">
                  <c:v>42678</c:v>
                </c:pt>
                <c:pt idx="214">
                  <c:v>42681</c:v>
                </c:pt>
                <c:pt idx="215">
                  <c:v>42682</c:v>
                </c:pt>
                <c:pt idx="216">
                  <c:v>42683</c:v>
                </c:pt>
                <c:pt idx="217">
                  <c:v>42684</c:v>
                </c:pt>
                <c:pt idx="218">
                  <c:v>42685</c:v>
                </c:pt>
                <c:pt idx="219">
                  <c:v>42688</c:v>
                </c:pt>
                <c:pt idx="220">
                  <c:v>42689</c:v>
                </c:pt>
                <c:pt idx="221">
                  <c:v>42690</c:v>
                </c:pt>
                <c:pt idx="222">
                  <c:v>42691</c:v>
                </c:pt>
                <c:pt idx="223">
                  <c:v>42692</c:v>
                </c:pt>
                <c:pt idx="224">
                  <c:v>42695</c:v>
                </c:pt>
                <c:pt idx="225">
                  <c:v>42696</c:v>
                </c:pt>
                <c:pt idx="226">
                  <c:v>42697</c:v>
                </c:pt>
                <c:pt idx="227">
                  <c:v>42699</c:v>
                </c:pt>
                <c:pt idx="228">
                  <c:v>42702</c:v>
                </c:pt>
                <c:pt idx="229">
                  <c:v>42703</c:v>
                </c:pt>
                <c:pt idx="230">
                  <c:v>42704</c:v>
                </c:pt>
                <c:pt idx="231">
                  <c:v>42705</c:v>
                </c:pt>
                <c:pt idx="232">
                  <c:v>42706</c:v>
                </c:pt>
                <c:pt idx="233">
                  <c:v>42709</c:v>
                </c:pt>
                <c:pt idx="234">
                  <c:v>42710</c:v>
                </c:pt>
                <c:pt idx="235">
                  <c:v>42711</c:v>
                </c:pt>
                <c:pt idx="236">
                  <c:v>42712</c:v>
                </c:pt>
                <c:pt idx="237">
                  <c:v>42713</c:v>
                </c:pt>
                <c:pt idx="238">
                  <c:v>42716</c:v>
                </c:pt>
                <c:pt idx="239">
                  <c:v>42717</c:v>
                </c:pt>
                <c:pt idx="240">
                  <c:v>42718</c:v>
                </c:pt>
                <c:pt idx="241">
                  <c:v>42719</c:v>
                </c:pt>
                <c:pt idx="242">
                  <c:v>42720</c:v>
                </c:pt>
                <c:pt idx="243">
                  <c:v>42723</c:v>
                </c:pt>
                <c:pt idx="244">
                  <c:v>42724</c:v>
                </c:pt>
                <c:pt idx="245">
                  <c:v>42725</c:v>
                </c:pt>
                <c:pt idx="246">
                  <c:v>42726</c:v>
                </c:pt>
                <c:pt idx="247">
                  <c:v>42727</c:v>
                </c:pt>
                <c:pt idx="248">
                  <c:v>42731</c:v>
                </c:pt>
                <c:pt idx="249">
                  <c:v>42732</c:v>
                </c:pt>
                <c:pt idx="250">
                  <c:v>42733</c:v>
                </c:pt>
                <c:pt idx="251">
                  <c:v>42734</c:v>
                </c:pt>
                <c:pt idx="252">
                  <c:v>42738</c:v>
                </c:pt>
                <c:pt idx="253">
                  <c:v>42739</c:v>
                </c:pt>
                <c:pt idx="254">
                  <c:v>42740</c:v>
                </c:pt>
                <c:pt idx="255">
                  <c:v>42741</c:v>
                </c:pt>
                <c:pt idx="256">
                  <c:v>42744</c:v>
                </c:pt>
                <c:pt idx="257">
                  <c:v>42745</c:v>
                </c:pt>
                <c:pt idx="258">
                  <c:v>42746</c:v>
                </c:pt>
                <c:pt idx="259">
                  <c:v>42747</c:v>
                </c:pt>
                <c:pt idx="260">
                  <c:v>42748</c:v>
                </c:pt>
                <c:pt idx="261">
                  <c:v>42752</c:v>
                </c:pt>
                <c:pt idx="262">
                  <c:v>42753</c:v>
                </c:pt>
                <c:pt idx="263">
                  <c:v>42754</c:v>
                </c:pt>
                <c:pt idx="264">
                  <c:v>42755</c:v>
                </c:pt>
                <c:pt idx="265">
                  <c:v>42758</c:v>
                </c:pt>
                <c:pt idx="266">
                  <c:v>42759</c:v>
                </c:pt>
                <c:pt idx="267">
                  <c:v>42760</c:v>
                </c:pt>
                <c:pt idx="268">
                  <c:v>42761</c:v>
                </c:pt>
                <c:pt idx="269">
                  <c:v>42762</c:v>
                </c:pt>
                <c:pt idx="270">
                  <c:v>42765</c:v>
                </c:pt>
                <c:pt idx="271">
                  <c:v>42766</c:v>
                </c:pt>
                <c:pt idx="272">
                  <c:v>42767</c:v>
                </c:pt>
                <c:pt idx="273">
                  <c:v>42768</c:v>
                </c:pt>
                <c:pt idx="274">
                  <c:v>42769</c:v>
                </c:pt>
                <c:pt idx="275">
                  <c:v>42772</c:v>
                </c:pt>
                <c:pt idx="276">
                  <c:v>42773</c:v>
                </c:pt>
                <c:pt idx="277">
                  <c:v>42774</c:v>
                </c:pt>
                <c:pt idx="278">
                  <c:v>42775</c:v>
                </c:pt>
                <c:pt idx="279">
                  <c:v>42776</c:v>
                </c:pt>
                <c:pt idx="280">
                  <c:v>42779</c:v>
                </c:pt>
                <c:pt idx="281">
                  <c:v>42780</c:v>
                </c:pt>
                <c:pt idx="282">
                  <c:v>42781</c:v>
                </c:pt>
                <c:pt idx="283">
                  <c:v>42782</c:v>
                </c:pt>
                <c:pt idx="284">
                  <c:v>42783</c:v>
                </c:pt>
                <c:pt idx="285">
                  <c:v>42787</c:v>
                </c:pt>
                <c:pt idx="286">
                  <c:v>42788</c:v>
                </c:pt>
                <c:pt idx="287">
                  <c:v>42789</c:v>
                </c:pt>
                <c:pt idx="288">
                  <c:v>42790</c:v>
                </c:pt>
                <c:pt idx="289">
                  <c:v>42793</c:v>
                </c:pt>
                <c:pt idx="290">
                  <c:v>42794</c:v>
                </c:pt>
                <c:pt idx="291">
                  <c:v>42795</c:v>
                </c:pt>
                <c:pt idx="292">
                  <c:v>42796</c:v>
                </c:pt>
                <c:pt idx="293">
                  <c:v>42797</c:v>
                </c:pt>
                <c:pt idx="294">
                  <c:v>42800</c:v>
                </c:pt>
                <c:pt idx="295">
                  <c:v>42801</c:v>
                </c:pt>
                <c:pt idx="296">
                  <c:v>42802</c:v>
                </c:pt>
                <c:pt idx="297">
                  <c:v>42803</c:v>
                </c:pt>
                <c:pt idx="298">
                  <c:v>42804</c:v>
                </c:pt>
                <c:pt idx="299">
                  <c:v>42807</c:v>
                </c:pt>
                <c:pt idx="300">
                  <c:v>42808</c:v>
                </c:pt>
                <c:pt idx="301">
                  <c:v>42809</c:v>
                </c:pt>
                <c:pt idx="302">
                  <c:v>42810</c:v>
                </c:pt>
                <c:pt idx="303">
                  <c:v>42811</c:v>
                </c:pt>
                <c:pt idx="304">
                  <c:v>42814</c:v>
                </c:pt>
                <c:pt idx="305">
                  <c:v>42815</c:v>
                </c:pt>
                <c:pt idx="306">
                  <c:v>42816</c:v>
                </c:pt>
                <c:pt idx="307">
                  <c:v>42817</c:v>
                </c:pt>
                <c:pt idx="308">
                  <c:v>42818</c:v>
                </c:pt>
                <c:pt idx="309">
                  <c:v>42821</c:v>
                </c:pt>
                <c:pt idx="310">
                  <c:v>42822</c:v>
                </c:pt>
                <c:pt idx="311">
                  <c:v>42823</c:v>
                </c:pt>
                <c:pt idx="312">
                  <c:v>42824</c:v>
                </c:pt>
                <c:pt idx="313">
                  <c:v>42825</c:v>
                </c:pt>
                <c:pt idx="314">
                  <c:v>42828</c:v>
                </c:pt>
                <c:pt idx="315">
                  <c:v>42829</c:v>
                </c:pt>
                <c:pt idx="316">
                  <c:v>42830</c:v>
                </c:pt>
                <c:pt idx="317">
                  <c:v>42831</c:v>
                </c:pt>
                <c:pt idx="318">
                  <c:v>42832</c:v>
                </c:pt>
                <c:pt idx="319">
                  <c:v>42835</c:v>
                </c:pt>
                <c:pt idx="320">
                  <c:v>42836</c:v>
                </c:pt>
                <c:pt idx="321">
                  <c:v>42837</c:v>
                </c:pt>
                <c:pt idx="322">
                  <c:v>42838</c:v>
                </c:pt>
                <c:pt idx="323">
                  <c:v>42842</c:v>
                </c:pt>
                <c:pt idx="324">
                  <c:v>42843</c:v>
                </c:pt>
                <c:pt idx="325">
                  <c:v>42844</c:v>
                </c:pt>
                <c:pt idx="326">
                  <c:v>42845</c:v>
                </c:pt>
                <c:pt idx="327">
                  <c:v>42846</c:v>
                </c:pt>
                <c:pt idx="328">
                  <c:v>42849</c:v>
                </c:pt>
                <c:pt idx="329">
                  <c:v>42850</c:v>
                </c:pt>
                <c:pt idx="330">
                  <c:v>42851</c:v>
                </c:pt>
                <c:pt idx="331">
                  <c:v>42852</c:v>
                </c:pt>
                <c:pt idx="332">
                  <c:v>42853</c:v>
                </c:pt>
                <c:pt idx="333">
                  <c:v>42856</c:v>
                </c:pt>
                <c:pt idx="334">
                  <c:v>42857</c:v>
                </c:pt>
                <c:pt idx="335">
                  <c:v>42858</c:v>
                </c:pt>
                <c:pt idx="336">
                  <c:v>42859</c:v>
                </c:pt>
                <c:pt idx="337">
                  <c:v>42860</c:v>
                </c:pt>
                <c:pt idx="338">
                  <c:v>42863</c:v>
                </c:pt>
                <c:pt idx="339">
                  <c:v>42864</c:v>
                </c:pt>
                <c:pt idx="340">
                  <c:v>42865</c:v>
                </c:pt>
                <c:pt idx="341">
                  <c:v>42866</c:v>
                </c:pt>
                <c:pt idx="342">
                  <c:v>42867</c:v>
                </c:pt>
                <c:pt idx="343">
                  <c:v>42870</c:v>
                </c:pt>
                <c:pt idx="344">
                  <c:v>42871</c:v>
                </c:pt>
                <c:pt idx="345">
                  <c:v>42872</c:v>
                </c:pt>
                <c:pt idx="346">
                  <c:v>42873</c:v>
                </c:pt>
                <c:pt idx="347">
                  <c:v>42874</c:v>
                </c:pt>
                <c:pt idx="348">
                  <c:v>42877</c:v>
                </c:pt>
                <c:pt idx="349">
                  <c:v>42878</c:v>
                </c:pt>
                <c:pt idx="350">
                  <c:v>42879</c:v>
                </c:pt>
                <c:pt idx="351">
                  <c:v>42880</c:v>
                </c:pt>
                <c:pt idx="352">
                  <c:v>42881</c:v>
                </c:pt>
                <c:pt idx="353">
                  <c:v>42885</c:v>
                </c:pt>
                <c:pt idx="354">
                  <c:v>42886</c:v>
                </c:pt>
                <c:pt idx="355">
                  <c:v>42887</c:v>
                </c:pt>
                <c:pt idx="356">
                  <c:v>42888</c:v>
                </c:pt>
                <c:pt idx="357">
                  <c:v>42891</c:v>
                </c:pt>
                <c:pt idx="358">
                  <c:v>42892</c:v>
                </c:pt>
                <c:pt idx="359">
                  <c:v>42893</c:v>
                </c:pt>
                <c:pt idx="360">
                  <c:v>42894</c:v>
                </c:pt>
                <c:pt idx="361">
                  <c:v>42895</c:v>
                </c:pt>
                <c:pt idx="362">
                  <c:v>42898</c:v>
                </c:pt>
                <c:pt idx="363">
                  <c:v>42899</c:v>
                </c:pt>
                <c:pt idx="364">
                  <c:v>42900</c:v>
                </c:pt>
                <c:pt idx="365">
                  <c:v>42901</c:v>
                </c:pt>
                <c:pt idx="366">
                  <c:v>42902</c:v>
                </c:pt>
                <c:pt idx="367">
                  <c:v>42905</c:v>
                </c:pt>
                <c:pt idx="368">
                  <c:v>42906</c:v>
                </c:pt>
                <c:pt idx="369">
                  <c:v>42907</c:v>
                </c:pt>
                <c:pt idx="370">
                  <c:v>42908</c:v>
                </c:pt>
                <c:pt idx="371">
                  <c:v>42909</c:v>
                </c:pt>
                <c:pt idx="372">
                  <c:v>42912</c:v>
                </c:pt>
                <c:pt idx="373">
                  <c:v>42913</c:v>
                </c:pt>
                <c:pt idx="374">
                  <c:v>42914</c:v>
                </c:pt>
                <c:pt idx="375">
                  <c:v>42915</c:v>
                </c:pt>
                <c:pt idx="376">
                  <c:v>42916</c:v>
                </c:pt>
                <c:pt idx="377">
                  <c:v>42919</c:v>
                </c:pt>
                <c:pt idx="378">
                  <c:v>42921</c:v>
                </c:pt>
                <c:pt idx="379">
                  <c:v>42922</c:v>
                </c:pt>
                <c:pt idx="380">
                  <c:v>42923</c:v>
                </c:pt>
                <c:pt idx="381">
                  <c:v>42926</c:v>
                </c:pt>
                <c:pt idx="382">
                  <c:v>42927</c:v>
                </c:pt>
                <c:pt idx="383">
                  <c:v>42928</c:v>
                </c:pt>
                <c:pt idx="384">
                  <c:v>42929</c:v>
                </c:pt>
                <c:pt idx="385">
                  <c:v>42930</c:v>
                </c:pt>
                <c:pt idx="386">
                  <c:v>42933</c:v>
                </c:pt>
                <c:pt idx="387">
                  <c:v>42934</c:v>
                </c:pt>
                <c:pt idx="388">
                  <c:v>42935</c:v>
                </c:pt>
                <c:pt idx="389">
                  <c:v>42936</c:v>
                </c:pt>
                <c:pt idx="390">
                  <c:v>42937</c:v>
                </c:pt>
                <c:pt idx="391">
                  <c:v>42940</c:v>
                </c:pt>
                <c:pt idx="392">
                  <c:v>42941</c:v>
                </c:pt>
                <c:pt idx="393">
                  <c:v>42942</c:v>
                </c:pt>
                <c:pt idx="394">
                  <c:v>42943</c:v>
                </c:pt>
                <c:pt idx="395">
                  <c:v>42944</c:v>
                </c:pt>
                <c:pt idx="396">
                  <c:v>42947</c:v>
                </c:pt>
                <c:pt idx="397">
                  <c:v>42948</c:v>
                </c:pt>
                <c:pt idx="398">
                  <c:v>42949</c:v>
                </c:pt>
                <c:pt idx="399">
                  <c:v>42950</c:v>
                </c:pt>
                <c:pt idx="400">
                  <c:v>42951</c:v>
                </c:pt>
                <c:pt idx="401">
                  <c:v>42954</c:v>
                </c:pt>
                <c:pt idx="402">
                  <c:v>42955</c:v>
                </c:pt>
                <c:pt idx="403">
                  <c:v>42956</c:v>
                </c:pt>
                <c:pt idx="404">
                  <c:v>42957</c:v>
                </c:pt>
                <c:pt idx="405">
                  <c:v>42958</c:v>
                </c:pt>
                <c:pt idx="406">
                  <c:v>42961</c:v>
                </c:pt>
                <c:pt idx="407">
                  <c:v>42962</c:v>
                </c:pt>
                <c:pt idx="408">
                  <c:v>42963</c:v>
                </c:pt>
                <c:pt idx="409">
                  <c:v>42964</c:v>
                </c:pt>
                <c:pt idx="410">
                  <c:v>42965</c:v>
                </c:pt>
                <c:pt idx="411">
                  <c:v>42968</c:v>
                </c:pt>
                <c:pt idx="412">
                  <c:v>42969</c:v>
                </c:pt>
                <c:pt idx="413">
                  <c:v>42970</c:v>
                </c:pt>
                <c:pt idx="414">
                  <c:v>42971</c:v>
                </c:pt>
                <c:pt idx="415">
                  <c:v>42972</c:v>
                </c:pt>
                <c:pt idx="416">
                  <c:v>42975</c:v>
                </c:pt>
                <c:pt idx="417">
                  <c:v>42976</c:v>
                </c:pt>
                <c:pt idx="418">
                  <c:v>42977</c:v>
                </c:pt>
                <c:pt idx="419">
                  <c:v>42978</c:v>
                </c:pt>
                <c:pt idx="420">
                  <c:v>42979</c:v>
                </c:pt>
                <c:pt idx="421">
                  <c:v>42983</c:v>
                </c:pt>
                <c:pt idx="422">
                  <c:v>42984</c:v>
                </c:pt>
                <c:pt idx="423">
                  <c:v>42985</c:v>
                </c:pt>
                <c:pt idx="424">
                  <c:v>42986</c:v>
                </c:pt>
                <c:pt idx="425">
                  <c:v>42989</c:v>
                </c:pt>
                <c:pt idx="426">
                  <c:v>42990</c:v>
                </c:pt>
                <c:pt idx="427">
                  <c:v>42991</c:v>
                </c:pt>
                <c:pt idx="428">
                  <c:v>42992</c:v>
                </c:pt>
                <c:pt idx="429">
                  <c:v>42993</c:v>
                </c:pt>
                <c:pt idx="430">
                  <c:v>42996</c:v>
                </c:pt>
                <c:pt idx="431">
                  <c:v>42997</c:v>
                </c:pt>
                <c:pt idx="432">
                  <c:v>42998</c:v>
                </c:pt>
                <c:pt idx="433">
                  <c:v>42999</c:v>
                </c:pt>
                <c:pt idx="434">
                  <c:v>43000</c:v>
                </c:pt>
                <c:pt idx="435">
                  <c:v>43003</c:v>
                </c:pt>
                <c:pt idx="436">
                  <c:v>43004</c:v>
                </c:pt>
                <c:pt idx="437">
                  <c:v>43005</c:v>
                </c:pt>
                <c:pt idx="438">
                  <c:v>43006</c:v>
                </c:pt>
                <c:pt idx="439">
                  <c:v>43007</c:v>
                </c:pt>
                <c:pt idx="440">
                  <c:v>43010</c:v>
                </c:pt>
                <c:pt idx="441">
                  <c:v>43011</c:v>
                </c:pt>
                <c:pt idx="442">
                  <c:v>43012</c:v>
                </c:pt>
                <c:pt idx="443">
                  <c:v>43013</c:v>
                </c:pt>
                <c:pt idx="444">
                  <c:v>43014</c:v>
                </c:pt>
                <c:pt idx="445">
                  <c:v>43017</c:v>
                </c:pt>
                <c:pt idx="446">
                  <c:v>43018</c:v>
                </c:pt>
                <c:pt idx="447">
                  <c:v>43019</c:v>
                </c:pt>
                <c:pt idx="448">
                  <c:v>43020</c:v>
                </c:pt>
                <c:pt idx="449">
                  <c:v>43021</c:v>
                </c:pt>
                <c:pt idx="450">
                  <c:v>43024</c:v>
                </c:pt>
                <c:pt idx="451">
                  <c:v>43025</c:v>
                </c:pt>
                <c:pt idx="452">
                  <c:v>43026</c:v>
                </c:pt>
                <c:pt idx="453">
                  <c:v>43027</c:v>
                </c:pt>
                <c:pt idx="454">
                  <c:v>43028</c:v>
                </c:pt>
                <c:pt idx="455">
                  <c:v>43031</c:v>
                </c:pt>
                <c:pt idx="456">
                  <c:v>43032</c:v>
                </c:pt>
                <c:pt idx="457">
                  <c:v>43033</c:v>
                </c:pt>
                <c:pt idx="458">
                  <c:v>43034</c:v>
                </c:pt>
                <c:pt idx="459">
                  <c:v>43035</c:v>
                </c:pt>
                <c:pt idx="460">
                  <c:v>43038</c:v>
                </c:pt>
                <c:pt idx="461">
                  <c:v>43039</c:v>
                </c:pt>
                <c:pt idx="462">
                  <c:v>43040</c:v>
                </c:pt>
                <c:pt idx="463">
                  <c:v>43041</c:v>
                </c:pt>
                <c:pt idx="464">
                  <c:v>43042</c:v>
                </c:pt>
                <c:pt idx="465">
                  <c:v>43045</c:v>
                </c:pt>
                <c:pt idx="466">
                  <c:v>43046</c:v>
                </c:pt>
                <c:pt idx="467">
                  <c:v>43047</c:v>
                </c:pt>
                <c:pt idx="468">
                  <c:v>43048</c:v>
                </c:pt>
                <c:pt idx="469">
                  <c:v>43049</c:v>
                </c:pt>
                <c:pt idx="470">
                  <c:v>43052</c:v>
                </c:pt>
                <c:pt idx="471">
                  <c:v>43053</c:v>
                </c:pt>
                <c:pt idx="472">
                  <c:v>43054</c:v>
                </c:pt>
                <c:pt idx="473">
                  <c:v>43055</c:v>
                </c:pt>
                <c:pt idx="474">
                  <c:v>43056</c:v>
                </c:pt>
                <c:pt idx="475">
                  <c:v>43059</c:v>
                </c:pt>
                <c:pt idx="476">
                  <c:v>43060</c:v>
                </c:pt>
                <c:pt idx="477">
                  <c:v>43061</c:v>
                </c:pt>
                <c:pt idx="478">
                  <c:v>43063</c:v>
                </c:pt>
                <c:pt idx="479">
                  <c:v>43066</c:v>
                </c:pt>
                <c:pt idx="480">
                  <c:v>43067</c:v>
                </c:pt>
                <c:pt idx="481">
                  <c:v>43068</c:v>
                </c:pt>
                <c:pt idx="482">
                  <c:v>43069</c:v>
                </c:pt>
                <c:pt idx="483">
                  <c:v>43070</c:v>
                </c:pt>
                <c:pt idx="484">
                  <c:v>43073</c:v>
                </c:pt>
                <c:pt idx="485">
                  <c:v>43074</c:v>
                </c:pt>
                <c:pt idx="486">
                  <c:v>43075</c:v>
                </c:pt>
                <c:pt idx="487">
                  <c:v>43076</c:v>
                </c:pt>
                <c:pt idx="488">
                  <c:v>43077</c:v>
                </c:pt>
                <c:pt idx="489">
                  <c:v>43080</c:v>
                </c:pt>
                <c:pt idx="490">
                  <c:v>43081</c:v>
                </c:pt>
                <c:pt idx="491">
                  <c:v>43082</c:v>
                </c:pt>
                <c:pt idx="492">
                  <c:v>43083</c:v>
                </c:pt>
                <c:pt idx="493">
                  <c:v>43084</c:v>
                </c:pt>
                <c:pt idx="494">
                  <c:v>43087</c:v>
                </c:pt>
                <c:pt idx="495">
                  <c:v>43088</c:v>
                </c:pt>
                <c:pt idx="496">
                  <c:v>43089</c:v>
                </c:pt>
                <c:pt idx="497">
                  <c:v>43090</c:v>
                </c:pt>
                <c:pt idx="498">
                  <c:v>43091</c:v>
                </c:pt>
                <c:pt idx="499">
                  <c:v>43095</c:v>
                </c:pt>
                <c:pt idx="500">
                  <c:v>43096</c:v>
                </c:pt>
                <c:pt idx="501">
                  <c:v>43097</c:v>
                </c:pt>
                <c:pt idx="502">
                  <c:v>43098</c:v>
                </c:pt>
                <c:pt idx="503">
                  <c:v>43102</c:v>
                </c:pt>
                <c:pt idx="504">
                  <c:v>43103</c:v>
                </c:pt>
                <c:pt idx="505">
                  <c:v>43104</c:v>
                </c:pt>
                <c:pt idx="506">
                  <c:v>43105</c:v>
                </c:pt>
                <c:pt idx="507">
                  <c:v>43108</c:v>
                </c:pt>
                <c:pt idx="508">
                  <c:v>43109</c:v>
                </c:pt>
                <c:pt idx="509">
                  <c:v>43110</c:v>
                </c:pt>
                <c:pt idx="510">
                  <c:v>43111</c:v>
                </c:pt>
                <c:pt idx="511">
                  <c:v>43112</c:v>
                </c:pt>
                <c:pt idx="512">
                  <c:v>43116</c:v>
                </c:pt>
                <c:pt idx="513">
                  <c:v>43117</c:v>
                </c:pt>
                <c:pt idx="514">
                  <c:v>43118</c:v>
                </c:pt>
                <c:pt idx="515">
                  <c:v>43119</c:v>
                </c:pt>
                <c:pt idx="516">
                  <c:v>43122</c:v>
                </c:pt>
                <c:pt idx="517">
                  <c:v>43123</c:v>
                </c:pt>
                <c:pt idx="518">
                  <c:v>43124</c:v>
                </c:pt>
                <c:pt idx="519">
                  <c:v>43125</c:v>
                </c:pt>
                <c:pt idx="520">
                  <c:v>43126</c:v>
                </c:pt>
                <c:pt idx="521">
                  <c:v>43129</c:v>
                </c:pt>
                <c:pt idx="522">
                  <c:v>43130</c:v>
                </c:pt>
                <c:pt idx="523">
                  <c:v>43131</c:v>
                </c:pt>
                <c:pt idx="524">
                  <c:v>43132</c:v>
                </c:pt>
                <c:pt idx="525">
                  <c:v>43133</c:v>
                </c:pt>
                <c:pt idx="526">
                  <c:v>43136</c:v>
                </c:pt>
                <c:pt idx="527">
                  <c:v>43137</c:v>
                </c:pt>
                <c:pt idx="528">
                  <c:v>43138</c:v>
                </c:pt>
                <c:pt idx="529">
                  <c:v>43139</c:v>
                </c:pt>
                <c:pt idx="530">
                  <c:v>43140</c:v>
                </c:pt>
                <c:pt idx="531">
                  <c:v>43143</c:v>
                </c:pt>
                <c:pt idx="532">
                  <c:v>43144</c:v>
                </c:pt>
                <c:pt idx="533">
                  <c:v>43145</c:v>
                </c:pt>
                <c:pt idx="534">
                  <c:v>43146</c:v>
                </c:pt>
                <c:pt idx="535">
                  <c:v>43147</c:v>
                </c:pt>
                <c:pt idx="536">
                  <c:v>43151</c:v>
                </c:pt>
                <c:pt idx="537">
                  <c:v>43152</c:v>
                </c:pt>
                <c:pt idx="538">
                  <c:v>43153</c:v>
                </c:pt>
                <c:pt idx="539">
                  <c:v>43154</c:v>
                </c:pt>
                <c:pt idx="540">
                  <c:v>43157</c:v>
                </c:pt>
                <c:pt idx="541">
                  <c:v>43158</c:v>
                </c:pt>
                <c:pt idx="542">
                  <c:v>43159</c:v>
                </c:pt>
                <c:pt idx="543">
                  <c:v>43160</c:v>
                </c:pt>
                <c:pt idx="544">
                  <c:v>43161</c:v>
                </c:pt>
                <c:pt idx="545">
                  <c:v>43164</c:v>
                </c:pt>
                <c:pt idx="546">
                  <c:v>43165</c:v>
                </c:pt>
                <c:pt idx="547">
                  <c:v>43166</c:v>
                </c:pt>
                <c:pt idx="548">
                  <c:v>43167</c:v>
                </c:pt>
                <c:pt idx="549">
                  <c:v>43168</c:v>
                </c:pt>
                <c:pt idx="550">
                  <c:v>43171</c:v>
                </c:pt>
                <c:pt idx="551">
                  <c:v>43172</c:v>
                </c:pt>
                <c:pt idx="552">
                  <c:v>43173</c:v>
                </c:pt>
                <c:pt idx="553">
                  <c:v>43174</c:v>
                </c:pt>
                <c:pt idx="554">
                  <c:v>43175</c:v>
                </c:pt>
                <c:pt idx="555">
                  <c:v>43178</c:v>
                </c:pt>
                <c:pt idx="556">
                  <c:v>43179</c:v>
                </c:pt>
                <c:pt idx="557">
                  <c:v>43180</c:v>
                </c:pt>
                <c:pt idx="558">
                  <c:v>43181</c:v>
                </c:pt>
                <c:pt idx="559">
                  <c:v>43182</c:v>
                </c:pt>
                <c:pt idx="560">
                  <c:v>43185</c:v>
                </c:pt>
                <c:pt idx="561">
                  <c:v>43186</c:v>
                </c:pt>
                <c:pt idx="562">
                  <c:v>43187</c:v>
                </c:pt>
                <c:pt idx="563">
                  <c:v>43188</c:v>
                </c:pt>
                <c:pt idx="564">
                  <c:v>43192</c:v>
                </c:pt>
                <c:pt idx="565">
                  <c:v>43193</c:v>
                </c:pt>
                <c:pt idx="566">
                  <c:v>43194</c:v>
                </c:pt>
                <c:pt idx="567">
                  <c:v>43195</c:v>
                </c:pt>
                <c:pt idx="568">
                  <c:v>43196</c:v>
                </c:pt>
                <c:pt idx="569">
                  <c:v>43199</c:v>
                </c:pt>
                <c:pt idx="570">
                  <c:v>43200</c:v>
                </c:pt>
                <c:pt idx="571">
                  <c:v>43201</c:v>
                </c:pt>
                <c:pt idx="572">
                  <c:v>43202</c:v>
                </c:pt>
                <c:pt idx="573">
                  <c:v>43203</c:v>
                </c:pt>
                <c:pt idx="574">
                  <c:v>43206</c:v>
                </c:pt>
                <c:pt idx="575">
                  <c:v>43207</c:v>
                </c:pt>
                <c:pt idx="576">
                  <c:v>43208</c:v>
                </c:pt>
                <c:pt idx="577">
                  <c:v>43209</c:v>
                </c:pt>
                <c:pt idx="578">
                  <c:v>43210</c:v>
                </c:pt>
                <c:pt idx="579">
                  <c:v>43213</c:v>
                </c:pt>
                <c:pt idx="580">
                  <c:v>43214</c:v>
                </c:pt>
                <c:pt idx="581">
                  <c:v>43215</c:v>
                </c:pt>
                <c:pt idx="582">
                  <c:v>43216</c:v>
                </c:pt>
                <c:pt idx="583">
                  <c:v>43217</c:v>
                </c:pt>
                <c:pt idx="584">
                  <c:v>43220</c:v>
                </c:pt>
                <c:pt idx="585">
                  <c:v>43221</c:v>
                </c:pt>
                <c:pt idx="586">
                  <c:v>43222</c:v>
                </c:pt>
                <c:pt idx="587">
                  <c:v>43223</c:v>
                </c:pt>
                <c:pt idx="588">
                  <c:v>43224</c:v>
                </c:pt>
                <c:pt idx="589">
                  <c:v>43227</c:v>
                </c:pt>
                <c:pt idx="590">
                  <c:v>43228</c:v>
                </c:pt>
                <c:pt idx="591">
                  <c:v>43229</c:v>
                </c:pt>
                <c:pt idx="592">
                  <c:v>43230</c:v>
                </c:pt>
                <c:pt idx="593">
                  <c:v>43231</c:v>
                </c:pt>
                <c:pt idx="594">
                  <c:v>43234</c:v>
                </c:pt>
                <c:pt idx="595">
                  <c:v>43235</c:v>
                </c:pt>
                <c:pt idx="596">
                  <c:v>43236</c:v>
                </c:pt>
                <c:pt idx="597">
                  <c:v>43237</c:v>
                </c:pt>
                <c:pt idx="598">
                  <c:v>43238</c:v>
                </c:pt>
                <c:pt idx="599">
                  <c:v>43241</c:v>
                </c:pt>
                <c:pt idx="600">
                  <c:v>43242</c:v>
                </c:pt>
                <c:pt idx="601">
                  <c:v>43243</c:v>
                </c:pt>
                <c:pt idx="602">
                  <c:v>43244</c:v>
                </c:pt>
                <c:pt idx="603">
                  <c:v>43245</c:v>
                </c:pt>
                <c:pt idx="604">
                  <c:v>43249</c:v>
                </c:pt>
                <c:pt idx="605">
                  <c:v>43250</c:v>
                </c:pt>
                <c:pt idx="606">
                  <c:v>43251</c:v>
                </c:pt>
                <c:pt idx="607">
                  <c:v>43252</c:v>
                </c:pt>
                <c:pt idx="608">
                  <c:v>43255</c:v>
                </c:pt>
                <c:pt idx="609">
                  <c:v>43256</c:v>
                </c:pt>
                <c:pt idx="610">
                  <c:v>43257</c:v>
                </c:pt>
                <c:pt idx="611">
                  <c:v>43258</c:v>
                </c:pt>
                <c:pt idx="612">
                  <c:v>43259</c:v>
                </c:pt>
                <c:pt idx="613">
                  <c:v>43262</c:v>
                </c:pt>
                <c:pt idx="614">
                  <c:v>43263</c:v>
                </c:pt>
                <c:pt idx="615">
                  <c:v>43264</c:v>
                </c:pt>
                <c:pt idx="616">
                  <c:v>43265</c:v>
                </c:pt>
                <c:pt idx="617">
                  <c:v>43266</c:v>
                </c:pt>
                <c:pt idx="618">
                  <c:v>43269</c:v>
                </c:pt>
                <c:pt idx="619">
                  <c:v>43270</c:v>
                </c:pt>
                <c:pt idx="620">
                  <c:v>43271</c:v>
                </c:pt>
                <c:pt idx="621">
                  <c:v>43272</c:v>
                </c:pt>
                <c:pt idx="622">
                  <c:v>43273</c:v>
                </c:pt>
                <c:pt idx="623">
                  <c:v>43276</c:v>
                </c:pt>
                <c:pt idx="624">
                  <c:v>43277</c:v>
                </c:pt>
                <c:pt idx="625">
                  <c:v>43278</c:v>
                </c:pt>
                <c:pt idx="626">
                  <c:v>43279</c:v>
                </c:pt>
                <c:pt idx="627">
                  <c:v>43280</c:v>
                </c:pt>
                <c:pt idx="628">
                  <c:v>43283</c:v>
                </c:pt>
                <c:pt idx="629">
                  <c:v>43284</c:v>
                </c:pt>
                <c:pt idx="630">
                  <c:v>43286</c:v>
                </c:pt>
                <c:pt idx="631">
                  <c:v>43287</c:v>
                </c:pt>
                <c:pt idx="632">
                  <c:v>43290</c:v>
                </c:pt>
                <c:pt idx="633">
                  <c:v>43291</c:v>
                </c:pt>
                <c:pt idx="634">
                  <c:v>43292</c:v>
                </c:pt>
                <c:pt idx="635">
                  <c:v>43293</c:v>
                </c:pt>
                <c:pt idx="636">
                  <c:v>43294</c:v>
                </c:pt>
                <c:pt idx="637">
                  <c:v>43297</c:v>
                </c:pt>
                <c:pt idx="638">
                  <c:v>43298</c:v>
                </c:pt>
                <c:pt idx="639">
                  <c:v>43299</c:v>
                </c:pt>
                <c:pt idx="640">
                  <c:v>43300</c:v>
                </c:pt>
                <c:pt idx="641">
                  <c:v>43301</c:v>
                </c:pt>
                <c:pt idx="642">
                  <c:v>43304</c:v>
                </c:pt>
                <c:pt idx="643">
                  <c:v>43305</c:v>
                </c:pt>
                <c:pt idx="644">
                  <c:v>43306</c:v>
                </c:pt>
                <c:pt idx="645">
                  <c:v>43307</c:v>
                </c:pt>
                <c:pt idx="646">
                  <c:v>43308</c:v>
                </c:pt>
                <c:pt idx="647">
                  <c:v>43311</c:v>
                </c:pt>
                <c:pt idx="648">
                  <c:v>43312</c:v>
                </c:pt>
                <c:pt idx="649">
                  <c:v>43313</c:v>
                </c:pt>
                <c:pt idx="650">
                  <c:v>43314</c:v>
                </c:pt>
                <c:pt idx="651">
                  <c:v>43315</c:v>
                </c:pt>
                <c:pt idx="652">
                  <c:v>43318</c:v>
                </c:pt>
                <c:pt idx="653">
                  <c:v>43319</c:v>
                </c:pt>
                <c:pt idx="654">
                  <c:v>43320</c:v>
                </c:pt>
                <c:pt idx="655">
                  <c:v>43321</c:v>
                </c:pt>
                <c:pt idx="656">
                  <c:v>43322</c:v>
                </c:pt>
                <c:pt idx="657">
                  <c:v>43325</c:v>
                </c:pt>
                <c:pt idx="658">
                  <c:v>43326</c:v>
                </c:pt>
                <c:pt idx="659">
                  <c:v>43327</c:v>
                </c:pt>
                <c:pt idx="660">
                  <c:v>43328</c:v>
                </c:pt>
                <c:pt idx="661">
                  <c:v>43329</c:v>
                </c:pt>
                <c:pt idx="662">
                  <c:v>43332</c:v>
                </c:pt>
                <c:pt idx="663">
                  <c:v>43333</c:v>
                </c:pt>
                <c:pt idx="664">
                  <c:v>43334</c:v>
                </c:pt>
                <c:pt idx="665">
                  <c:v>43335</c:v>
                </c:pt>
                <c:pt idx="666">
                  <c:v>43336</c:v>
                </c:pt>
                <c:pt idx="667">
                  <c:v>43339</c:v>
                </c:pt>
                <c:pt idx="668">
                  <c:v>43340</c:v>
                </c:pt>
                <c:pt idx="669">
                  <c:v>43341</c:v>
                </c:pt>
                <c:pt idx="670">
                  <c:v>43342</c:v>
                </c:pt>
                <c:pt idx="671">
                  <c:v>43343</c:v>
                </c:pt>
                <c:pt idx="672">
                  <c:v>43347</c:v>
                </c:pt>
                <c:pt idx="673">
                  <c:v>43348</c:v>
                </c:pt>
                <c:pt idx="674">
                  <c:v>43349</c:v>
                </c:pt>
                <c:pt idx="675">
                  <c:v>43350</c:v>
                </c:pt>
                <c:pt idx="676">
                  <c:v>43353</c:v>
                </c:pt>
                <c:pt idx="677">
                  <c:v>43354</c:v>
                </c:pt>
                <c:pt idx="678">
                  <c:v>43355</c:v>
                </c:pt>
                <c:pt idx="679">
                  <c:v>43356</c:v>
                </c:pt>
                <c:pt idx="680">
                  <c:v>43357</c:v>
                </c:pt>
                <c:pt idx="681">
                  <c:v>43360</c:v>
                </c:pt>
                <c:pt idx="682">
                  <c:v>43361</c:v>
                </c:pt>
                <c:pt idx="683">
                  <c:v>43362</c:v>
                </c:pt>
                <c:pt idx="684">
                  <c:v>43363</c:v>
                </c:pt>
                <c:pt idx="685">
                  <c:v>43364</c:v>
                </c:pt>
                <c:pt idx="686">
                  <c:v>43367</c:v>
                </c:pt>
                <c:pt idx="687">
                  <c:v>43368</c:v>
                </c:pt>
                <c:pt idx="688">
                  <c:v>43369</c:v>
                </c:pt>
                <c:pt idx="689">
                  <c:v>43370</c:v>
                </c:pt>
                <c:pt idx="690">
                  <c:v>43371</c:v>
                </c:pt>
                <c:pt idx="691">
                  <c:v>43374</c:v>
                </c:pt>
                <c:pt idx="692">
                  <c:v>43375</c:v>
                </c:pt>
                <c:pt idx="693">
                  <c:v>43376</c:v>
                </c:pt>
                <c:pt idx="694">
                  <c:v>43377</c:v>
                </c:pt>
                <c:pt idx="695">
                  <c:v>43378</c:v>
                </c:pt>
                <c:pt idx="696">
                  <c:v>43381</c:v>
                </c:pt>
                <c:pt idx="697">
                  <c:v>43382</c:v>
                </c:pt>
                <c:pt idx="698">
                  <c:v>43383</c:v>
                </c:pt>
                <c:pt idx="699">
                  <c:v>43384</c:v>
                </c:pt>
                <c:pt idx="700">
                  <c:v>43385</c:v>
                </c:pt>
                <c:pt idx="701">
                  <c:v>43388</c:v>
                </c:pt>
                <c:pt idx="702">
                  <c:v>43389</c:v>
                </c:pt>
                <c:pt idx="703">
                  <c:v>43390</c:v>
                </c:pt>
                <c:pt idx="704">
                  <c:v>43391</c:v>
                </c:pt>
                <c:pt idx="705">
                  <c:v>43392</c:v>
                </c:pt>
                <c:pt idx="706">
                  <c:v>43395</c:v>
                </c:pt>
                <c:pt idx="707">
                  <c:v>43396</c:v>
                </c:pt>
                <c:pt idx="708">
                  <c:v>43397</c:v>
                </c:pt>
                <c:pt idx="709">
                  <c:v>43398</c:v>
                </c:pt>
                <c:pt idx="710">
                  <c:v>43399</c:v>
                </c:pt>
                <c:pt idx="711">
                  <c:v>43402</c:v>
                </c:pt>
                <c:pt idx="712">
                  <c:v>43403</c:v>
                </c:pt>
                <c:pt idx="713">
                  <c:v>43404</c:v>
                </c:pt>
                <c:pt idx="714">
                  <c:v>43405</c:v>
                </c:pt>
                <c:pt idx="715">
                  <c:v>43406</c:v>
                </c:pt>
                <c:pt idx="716">
                  <c:v>43409</c:v>
                </c:pt>
                <c:pt idx="717">
                  <c:v>43410</c:v>
                </c:pt>
                <c:pt idx="718">
                  <c:v>43411</c:v>
                </c:pt>
                <c:pt idx="719">
                  <c:v>43412</c:v>
                </c:pt>
                <c:pt idx="720">
                  <c:v>43413</c:v>
                </c:pt>
                <c:pt idx="721">
                  <c:v>43416</c:v>
                </c:pt>
                <c:pt idx="722">
                  <c:v>43417</c:v>
                </c:pt>
                <c:pt idx="723">
                  <c:v>43418</c:v>
                </c:pt>
                <c:pt idx="724">
                  <c:v>43419</c:v>
                </c:pt>
                <c:pt idx="725">
                  <c:v>43420</c:v>
                </c:pt>
                <c:pt idx="726">
                  <c:v>43423</c:v>
                </c:pt>
                <c:pt idx="727">
                  <c:v>43424</c:v>
                </c:pt>
                <c:pt idx="728">
                  <c:v>43425</c:v>
                </c:pt>
                <c:pt idx="729">
                  <c:v>43427</c:v>
                </c:pt>
                <c:pt idx="730">
                  <c:v>43430</c:v>
                </c:pt>
                <c:pt idx="731">
                  <c:v>43431</c:v>
                </c:pt>
                <c:pt idx="732">
                  <c:v>43432</c:v>
                </c:pt>
                <c:pt idx="733">
                  <c:v>43433</c:v>
                </c:pt>
                <c:pt idx="734">
                  <c:v>43434</c:v>
                </c:pt>
                <c:pt idx="735">
                  <c:v>43437</c:v>
                </c:pt>
                <c:pt idx="736">
                  <c:v>43438</c:v>
                </c:pt>
                <c:pt idx="737">
                  <c:v>43439</c:v>
                </c:pt>
                <c:pt idx="738">
                  <c:v>43440</c:v>
                </c:pt>
                <c:pt idx="739">
                  <c:v>43441</c:v>
                </c:pt>
                <c:pt idx="740">
                  <c:v>43444</c:v>
                </c:pt>
                <c:pt idx="741">
                  <c:v>43445</c:v>
                </c:pt>
                <c:pt idx="742">
                  <c:v>43446</c:v>
                </c:pt>
                <c:pt idx="743">
                  <c:v>43447</c:v>
                </c:pt>
                <c:pt idx="744">
                  <c:v>43448</c:v>
                </c:pt>
                <c:pt idx="745">
                  <c:v>43451</c:v>
                </c:pt>
                <c:pt idx="746">
                  <c:v>43452</c:v>
                </c:pt>
                <c:pt idx="747">
                  <c:v>43453</c:v>
                </c:pt>
                <c:pt idx="748">
                  <c:v>43454</c:v>
                </c:pt>
                <c:pt idx="749">
                  <c:v>43455</c:v>
                </c:pt>
                <c:pt idx="750">
                  <c:v>43458</c:v>
                </c:pt>
                <c:pt idx="751">
                  <c:v>43460</c:v>
                </c:pt>
                <c:pt idx="752">
                  <c:v>43461</c:v>
                </c:pt>
                <c:pt idx="753">
                  <c:v>43462</c:v>
                </c:pt>
                <c:pt idx="754">
                  <c:v>43465</c:v>
                </c:pt>
                <c:pt idx="755">
                  <c:v>43467</c:v>
                </c:pt>
                <c:pt idx="756">
                  <c:v>43468</c:v>
                </c:pt>
                <c:pt idx="757">
                  <c:v>43469</c:v>
                </c:pt>
                <c:pt idx="758">
                  <c:v>43472</c:v>
                </c:pt>
                <c:pt idx="759">
                  <c:v>43473</c:v>
                </c:pt>
                <c:pt idx="760">
                  <c:v>43474</c:v>
                </c:pt>
                <c:pt idx="761">
                  <c:v>43475</c:v>
                </c:pt>
                <c:pt idx="762">
                  <c:v>43476</c:v>
                </c:pt>
                <c:pt idx="763">
                  <c:v>43479</c:v>
                </c:pt>
                <c:pt idx="764">
                  <c:v>43480</c:v>
                </c:pt>
                <c:pt idx="765">
                  <c:v>43481</c:v>
                </c:pt>
                <c:pt idx="766">
                  <c:v>43482</c:v>
                </c:pt>
                <c:pt idx="767">
                  <c:v>43483</c:v>
                </c:pt>
                <c:pt idx="768">
                  <c:v>43487</c:v>
                </c:pt>
                <c:pt idx="769">
                  <c:v>43488</c:v>
                </c:pt>
                <c:pt idx="770">
                  <c:v>43489</c:v>
                </c:pt>
                <c:pt idx="771">
                  <c:v>43490</c:v>
                </c:pt>
                <c:pt idx="772">
                  <c:v>43493</c:v>
                </c:pt>
                <c:pt idx="773">
                  <c:v>43494</c:v>
                </c:pt>
                <c:pt idx="774">
                  <c:v>43495</c:v>
                </c:pt>
                <c:pt idx="775">
                  <c:v>43496</c:v>
                </c:pt>
                <c:pt idx="776">
                  <c:v>43497</c:v>
                </c:pt>
                <c:pt idx="777">
                  <c:v>43500</c:v>
                </c:pt>
                <c:pt idx="778">
                  <c:v>43501</c:v>
                </c:pt>
                <c:pt idx="779">
                  <c:v>43502</c:v>
                </c:pt>
                <c:pt idx="780">
                  <c:v>43503</c:v>
                </c:pt>
                <c:pt idx="781">
                  <c:v>43504</c:v>
                </c:pt>
                <c:pt idx="782">
                  <c:v>43507</c:v>
                </c:pt>
                <c:pt idx="783">
                  <c:v>43508</c:v>
                </c:pt>
                <c:pt idx="784">
                  <c:v>43509</c:v>
                </c:pt>
                <c:pt idx="785">
                  <c:v>43510</c:v>
                </c:pt>
                <c:pt idx="786">
                  <c:v>43511</c:v>
                </c:pt>
                <c:pt idx="787">
                  <c:v>43515</c:v>
                </c:pt>
                <c:pt idx="788">
                  <c:v>43516</c:v>
                </c:pt>
                <c:pt idx="789">
                  <c:v>43517</c:v>
                </c:pt>
                <c:pt idx="790">
                  <c:v>43518</c:v>
                </c:pt>
                <c:pt idx="791">
                  <c:v>43521</c:v>
                </c:pt>
                <c:pt idx="792">
                  <c:v>43522</c:v>
                </c:pt>
                <c:pt idx="793">
                  <c:v>43523</c:v>
                </c:pt>
                <c:pt idx="794">
                  <c:v>43524</c:v>
                </c:pt>
                <c:pt idx="795">
                  <c:v>43525</c:v>
                </c:pt>
                <c:pt idx="796">
                  <c:v>43528</c:v>
                </c:pt>
                <c:pt idx="797">
                  <c:v>43529</c:v>
                </c:pt>
                <c:pt idx="798">
                  <c:v>43530</c:v>
                </c:pt>
                <c:pt idx="799">
                  <c:v>43531</c:v>
                </c:pt>
                <c:pt idx="800">
                  <c:v>43532</c:v>
                </c:pt>
                <c:pt idx="801">
                  <c:v>43535</c:v>
                </c:pt>
                <c:pt idx="802">
                  <c:v>43536</c:v>
                </c:pt>
                <c:pt idx="803">
                  <c:v>43537</c:v>
                </c:pt>
                <c:pt idx="804">
                  <c:v>43538</c:v>
                </c:pt>
                <c:pt idx="805">
                  <c:v>43539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43549</c:v>
                </c:pt>
                <c:pt idx="812">
                  <c:v>43550</c:v>
                </c:pt>
                <c:pt idx="813">
                  <c:v>43551</c:v>
                </c:pt>
                <c:pt idx="814">
                  <c:v>43552</c:v>
                </c:pt>
                <c:pt idx="815">
                  <c:v>43553</c:v>
                </c:pt>
                <c:pt idx="816">
                  <c:v>43556</c:v>
                </c:pt>
                <c:pt idx="817">
                  <c:v>43557</c:v>
                </c:pt>
                <c:pt idx="818">
                  <c:v>43558</c:v>
                </c:pt>
                <c:pt idx="819">
                  <c:v>43559</c:v>
                </c:pt>
                <c:pt idx="820">
                  <c:v>43560</c:v>
                </c:pt>
                <c:pt idx="821">
                  <c:v>43563</c:v>
                </c:pt>
                <c:pt idx="822">
                  <c:v>43564</c:v>
                </c:pt>
                <c:pt idx="823">
                  <c:v>43565</c:v>
                </c:pt>
                <c:pt idx="824">
                  <c:v>43566</c:v>
                </c:pt>
                <c:pt idx="825">
                  <c:v>43567</c:v>
                </c:pt>
                <c:pt idx="826">
                  <c:v>43570</c:v>
                </c:pt>
                <c:pt idx="827">
                  <c:v>43571</c:v>
                </c:pt>
                <c:pt idx="828">
                  <c:v>43572</c:v>
                </c:pt>
                <c:pt idx="829">
                  <c:v>43573</c:v>
                </c:pt>
                <c:pt idx="830">
                  <c:v>43577</c:v>
                </c:pt>
                <c:pt idx="831">
                  <c:v>43578</c:v>
                </c:pt>
                <c:pt idx="832">
                  <c:v>43579</c:v>
                </c:pt>
                <c:pt idx="833">
                  <c:v>43580</c:v>
                </c:pt>
                <c:pt idx="834">
                  <c:v>43581</c:v>
                </c:pt>
                <c:pt idx="835">
                  <c:v>43584</c:v>
                </c:pt>
                <c:pt idx="836">
                  <c:v>43585</c:v>
                </c:pt>
                <c:pt idx="837">
                  <c:v>43586</c:v>
                </c:pt>
                <c:pt idx="838">
                  <c:v>43587</c:v>
                </c:pt>
                <c:pt idx="839">
                  <c:v>43588</c:v>
                </c:pt>
                <c:pt idx="840">
                  <c:v>43591</c:v>
                </c:pt>
                <c:pt idx="841">
                  <c:v>43592</c:v>
                </c:pt>
                <c:pt idx="842">
                  <c:v>43593</c:v>
                </c:pt>
                <c:pt idx="843">
                  <c:v>43594</c:v>
                </c:pt>
                <c:pt idx="844">
                  <c:v>43595</c:v>
                </c:pt>
                <c:pt idx="845">
                  <c:v>43598</c:v>
                </c:pt>
                <c:pt idx="846">
                  <c:v>43599</c:v>
                </c:pt>
                <c:pt idx="847">
                  <c:v>43600</c:v>
                </c:pt>
                <c:pt idx="848">
                  <c:v>43601</c:v>
                </c:pt>
                <c:pt idx="849">
                  <c:v>43602</c:v>
                </c:pt>
                <c:pt idx="850">
                  <c:v>43605</c:v>
                </c:pt>
                <c:pt idx="851">
                  <c:v>43606</c:v>
                </c:pt>
                <c:pt idx="852">
                  <c:v>43607</c:v>
                </c:pt>
                <c:pt idx="853">
                  <c:v>43608</c:v>
                </c:pt>
                <c:pt idx="854">
                  <c:v>43609</c:v>
                </c:pt>
                <c:pt idx="855">
                  <c:v>43613</c:v>
                </c:pt>
                <c:pt idx="856">
                  <c:v>43614</c:v>
                </c:pt>
                <c:pt idx="857">
                  <c:v>43615</c:v>
                </c:pt>
                <c:pt idx="858">
                  <c:v>43616</c:v>
                </c:pt>
                <c:pt idx="859">
                  <c:v>43619</c:v>
                </c:pt>
                <c:pt idx="860">
                  <c:v>43620</c:v>
                </c:pt>
                <c:pt idx="861">
                  <c:v>43621</c:v>
                </c:pt>
                <c:pt idx="862">
                  <c:v>43622</c:v>
                </c:pt>
                <c:pt idx="863">
                  <c:v>43623</c:v>
                </c:pt>
                <c:pt idx="864">
                  <c:v>43626</c:v>
                </c:pt>
                <c:pt idx="865">
                  <c:v>43627</c:v>
                </c:pt>
                <c:pt idx="866">
                  <c:v>43628</c:v>
                </c:pt>
                <c:pt idx="867">
                  <c:v>43629</c:v>
                </c:pt>
                <c:pt idx="868">
                  <c:v>43630</c:v>
                </c:pt>
                <c:pt idx="869">
                  <c:v>43633</c:v>
                </c:pt>
                <c:pt idx="870">
                  <c:v>43634</c:v>
                </c:pt>
                <c:pt idx="871">
                  <c:v>43635</c:v>
                </c:pt>
                <c:pt idx="872">
                  <c:v>43636</c:v>
                </c:pt>
                <c:pt idx="873">
                  <c:v>43637</c:v>
                </c:pt>
                <c:pt idx="874">
                  <c:v>43640</c:v>
                </c:pt>
                <c:pt idx="875">
                  <c:v>43641</c:v>
                </c:pt>
                <c:pt idx="876">
                  <c:v>43642</c:v>
                </c:pt>
                <c:pt idx="877">
                  <c:v>43643</c:v>
                </c:pt>
                <c:pt idx="878">
                  <c:v>43644</c:v>
                </c:pt>
                <c:pt idx="879">
                  <c:v>43647</c:v>
                </c:pt>
                <c:pt idx="880">
                  <c:v>43648</c:v>
                </c:pt>
                <c:pt idx="881">
                  <c:v>43649</c:v>
                </c:pt>
                <c:pt idx="882">
                  <c:v>43651</c:v>
                </c:pt>
                <c:pt idx="883">
                  <c:v>43654</c:v>
                </c:pt>
                <c:pt idx="884">
                  <c:v>43655</c:v>
                </c:pt>
                <c:pt idx="885">
                  <c:v>43656</c:v>
                </c:pt>
                <c:pt idx="886">
                  <c:v>43657</c:v>
                </c:pt>
                <c:pt idx="887">
                  <c:v>43658</c:v>
                </c:pt>
                <c:pt idx="888">
                  <c:v>43661</c:v>
                </c:pt>
                <c:pt idx="889">
                  <c:v>43662</c:v>
                </c:pt>
                <c:pt idx="890">
                  <c:v>43663</c:v>
                </c:pt>
                <c:pt idx="891">
                  <c:v>43664</c:v>
                </c:pt>
                <c:pt idx="892">
                  <c:v>43665</c:v>
                </c:pt>
                <c:pt idx="893">
                  <c:v>43668</c:v>
                </c:pt>
                <c:pt idx="894">
                  <c:v>43669</c:v>
                </c:pt>
                <c:pt idx="895">
                  <c:v>43670</c:v>
                </c:pt>
                <c:pt idx="896">
                  <c:v>43671</c:v>
                </c:pt>
                <c:pt idx="897">
                  <c:v>43672</c:v>
                </c:pt>
                <c:pt idx="898">
                  <c:v>43675</c:v>
                </c:pt>
                <c:pt idx="899">
                  <c:v>43676</c:v>
                </c:pt>
                <c:pt idx="900">
                  <c:v>43677</c:v>
                </c:pt>
                <c:pt idx="901">
                  <c:v>43678</c:v>
                </c:pt>
                <c:pt idx="902">
                  <c:v>43679</c:v>
                </c:pt>
                <c:pt idx="903">
                  <c:v>43682</c:v>
                </c:pt>
                <c:pt idx="904">
                  <c:v>43683</c:v>
                </c:pt>
                <c:pt idx="905">
                  <c:v>43684</c:v>
                </c:pt>
                <c:pt idx="906">
                  <c:v>43685</c:v>
                </c:pt>
                <c:pt idx="907">
                  <c:v>43686</c:v>
                </c:pt>
                <c:pt idx="908">
                  <c:v>43689</c:v>
                </c:pt>
                <c:pt idx="909">
                  <c:v>43690</c:v>
                </c:pt>
                <c:pt idx="910">
                  <c:v>43691</c:v>
                </c:pt>
                <c:pt idx="911">
                  <c:v>43692</c:v>
                </c:pt>
                <c:pt idx="912">
                  <c:v>43693</c:v>
                </c:pt>
                <c:pt idx="913">
                  <c:v>43696</c:v>
                </c:pt>
                <c:pt idx="914">
                  <c:v>43697</c:v>
                </c:pt>
                <c:pt idx="915">
                  <c:v>43698</c:v>
                </c:pt>
                <c:pt idx="916">
                  <c:v>43699</c:v>
                </c:pt>
                <c:pt idx="917">
                  <c:v>43700</c:v>
                </c:pt>
                <c:pt idx="918">
                  <c:v>43703</c:v>
                </c:pt>
                <c:pt idx="919">
                  <c:v>43704</c:v>
                </c:pt>
                <c:pt idx="920">
                  <c:v>43705</c:v>
                </c:pt>
                <c:pt idx="921">
                  <c:v>43706</c:v>
                </c:pt>
                <c:pt idx="922">
                  <c:v>43707</c:v>
                </c:pt>
                <c:pt idx="923">
                  <c:v>43711</c:v>
                </c:pt>
                <c:pt idx="924">
                  <c:v>43712</c:v>
                </c:pt>
                <c:pt idx="925">
                  <c:v>43713</c:v>
                </c:pt>
                <c:pt idx="926">
                  <c:v>43714</c:v>
                </c:pt>
                <c:pt idx="927">
                  <c:v>43717</c:v>
                </c:pt>
                <c:pt idx="928">
                  <c:v>43718</c:v>
                </c:pt>
                <c:pt idx="929">
                  <c:v>43719</c:v>
                </c:pt>
                <c:pt idx="930">
                  <c:v>43720</c:v>
                </c:pt>
                <c:pt idx="931">
                  <c:v>43721</c:v>
                </c:pt>
                <c:pt idx="932">
                  <c:v>43724</c:v>
                </c:pt>
                <c:pt idx="933">
                  <c:v>43725</c:v>
                </c:pt>
                <c:pt idx="934">
                  <c:v>43726</c:v>
                </c:pt>
                <c:pt idx="935">
                  <c:v>43727</c:v>
                </c:pt>
                <c:pt idx="936">
                  <c:v>43728</c:v>
                </c:pt>
                <c:pt idx="937">
                  <c:v>43731</c:v>
                </c:pt>
                <c:pt idx="938">
                  <c:v>43732</c:v>
                </c:pt>
                <c:pt idx="939">
                  <c:v>43733</c:v>
                </c:pt>
                <c:pt idx="940">
                  <c:v>43734</c:v>
                </c:pt>
                <c:pt idx="941">
                  <c:v>43735</c:v>
                </c:pt>
                <c:pt idx="942">
                  <c:v>43738</c:v>
                </c:pt>
                <c:pt idx="943">
                  <c:v>43739</c:v>
                </c:pt>
                <c:pt idx="944">
                  <c:v>43740</c:v>
                </c:pt>
                <c:pt idx="945">
                  <c:v>43741</c:v>
                </c:pt>
                <c:pt idx="946">
                  <c:v>43742</c:v>
                </c:pt>
                <c:pt idx="947">
                  <c:v>43745</c:v>
                </c:pt>
                <c:pt idx="948">
                  <c:v>43746</c:v>
                </c:pt>
                <c:pt idx="949">
                  <c:v>43747</c:v>
                </c:pt>
                <c:pt idx="950">
                  <c:v>43748</c:v>
                </c:pt>
                <c:pt idx="951">
                  <c:v>43749</c:v>
                </c:pt>
                <c:pt idx="952">
                  <c:v>43752</c:v>
                </c:pt>
                <c:pt idx="953">
                  <c:v>43753</c:v>
                </c:pt>
                <c:pt idx="954">
                  <c:v>43754</c:v>
                </c:pt>
                <c:pt idx="955">
                  <c:v>43755</c:v>
                </c:pt>
                <c:pt idx="956">
                  <c:v>43756</c:v>
                </c:pt>
                <c:pt idx="957">
                  <c:v>43759</c:v>
                </c:pt>
                <c:pt idx="958">
                  <c:v>43760</c:v>
                </c:pt>
                <c:pt idx="959">
                  <c:v>43761</c:v>
                </c:pt>
                <c:pt idx="960">
                  <c:v>43762</c:v>
                </c:pt>
                <c:pt idx="961">
                  <c:v>43763</c:v>
                </c:pt>
                <c:pt idx="962">
                  <c:v>43766</c:v>
                </c:pt>
                <c:pt idx="963">
                  <c:v>43767</c:v>
                </c:pt>
                <c:pt idx="964">
                  <c:v>43768</c:v>
                </c:pt>
                <c:pt idx="965">
                  <c:v>43769</c:v>
                </c:pt>
                <c:pt idx="966">
                  <c:v>43770</c:v>
                </c:pt>
                <c:pt idx="967">
                  <c:v>43773</c:v>
                </c:pt>
                <c:pt idx="968">
                  <c:v>43774</c:v>
                </c:pt>
                <c:pt idx="969">
                  <c:v>43775</c:v>
                </c:pt>
                <c:pt idx="970">
                  <c:v>43776</c:v>
                </c:pt>
                <c:pt idx="971">
                  <c:v>43777</c:v>
                </c:pt>
                <c:pt idx="972">
                  <c:v>43780</c:v>
                </c:pt>
                <c:pt idx="973">
                  <c:v>43781</c:v>
                </c:pt>
                <c:pt idx="974">
                  <c:v>43782</c:v>
                </c:pt>
                <c:pt idx="975">
                  <c:v>43783</c:v>
                </c:pt>
                <c:pt idx="976">
                  <c:v>43784</c:v>
                </c:pt>
                <c:pt idx="977">
                  <c:v>43787</c:v>
                </c:pt>
                <c:pt idx="978">
                  <c:v>43788</c:v>
                </c:pt>
                <c:pt idx="979">
                  <c:v>43789</c:v>
                </c:pt>
                <c:pt idx="980">
                  <c:v>43790</c:v>
                </c:pt>
                <c:pt idx="981">
                  <c:v>43791</c:v>
                </c:pt>
                <c:pt idx="982">
                  <c:v>43794</c:v>
                </c:pt>
                <c:pt idx="983">
                  <c:v>43795</c:v>
                </c:pt>
                <c:pt idx="984">
                  <c:v>43796</c:v>
                </c:pt>
                <c:pt idx="985">
                  <c:v>43798</c:v>
                </c:pt>
                <c:pt idx="986">
                  <c:v>43801</c:v>
                </c:pt>
                <c:pt idx="987">
                  <c:v>43802</c:v>
                </c:pt>
                <c:pt idx="988">
                  <c:v>43803</c:v>
                </c:pt>
                <c:pt idx="989">
                  <c:v>43804</c:v>
                </c:pt>
                <c:pt idx="990">
                  <c:v>43805</c:v>
                </c:pt>
                <c:pt idx="991">
                  <c:v>43808</c:v>
                </c:pt>
                <c:pt idx="992">
                  <c:v>43809</c:v>
                </c:pt>
                <c:pt idx="993">
                  <c:v>43810</c:v>
                </c:pt>
                <c:pt idx="994">
                  <c:v>43811</c:v>
                </c:pt>
                <c:pt idx="995">
                  <c:v>43812</c:v>
                </c:pt>
                <c:pt idx="996">
                  <c:v>43815</c:v>
                </c:pt>
                <c:pt idx="997">
                  <c:v>43816</c:v>
                </c:pt>
                <c:pt idx="998">
                  <c:v>43817</c:v>
                </c:pt>
                <c:pt idx="999">
                  <c:v>43818</c:v>
                </c:pt>
                <c:pt idx="1000">
                  <c:v>43819</c:v>
                </c:pt>
                <c:pt idx="1001">
                  <c:v>43822</c:v>
                </c:pt>
                <c:pt idx="1002">
                  <c:v>43823</c:v>
                </c:pt>
                <c:pt idx="1003">
                  <c:v>43825</c:v>
                </c:pt>
                <c:pt idx="1004">
                  <c:v>43826</c:v>
                </c:pt>
                <c:pt idx="1005">
                  <c:v>43829</c:v>
                </c:pt>
                <c:pt idx="1006">
                  <c:v>43830</c:v>
                </c:pt>
                <c:pt idx="1007">
                  <c:v>43832</c:v>
                </c:pt>
                <c:pt idx="1008">
                  <c:v>43833</c:v>
                </c:pt>
                <c:pt idx="1009">
                  <c:v>43836</c:v>
                </c:pt>
                <c:pt idx="1010">
                  <c:v>43837</c:v>
                </c:pt>
                <c:pt idx="1011">
                  <c:v>43838</c:v>
                </c:pt>
                <c:pt idx="1012">
                  <c:v>43839</c:v>
                </c:pt>
                <c:pt idx="1013">
                  <c:v>43840</c:v>
                </c:pt>
                <c:pt idx="1014">
                  <c:v>43843</c:v>
                </c:pt>
                <c:pt idx="1015">
                  <c:v>43844</c:v>
                </c:pt>
                <c:pt idx="1016">
                  <c:v>43845</c:v>
                </c:pt>
                <c:pt idx="1017">
                  <c:v>43846</c:v>
                </c:pt>
                <c:pt idx="1018">
                  <c:v>43847</c:v>
                </c:pt>
                <c:pt idx="1019">
                  <c:v>43851</c:v>
                </c:pt>
                <c:pt idx="1020">
                  <c:v>43852</c:v>
                </c:pt>
                <c:pt idx="1021">
                  <c:v>43853</c:v>
                </c:pt>
                <c:pt idx="1022">
                  <c:v>43854</c:v>
                </c:pt>
                <c:pt idx="1023">
                  <c:v>43857</c:v>
                </c:pt>
                <c:pt idx="1024">
                  <c:v>43858</c:v>
                </c:pt>
                <c:pt idx="1025">
                  <c:v>43859</c:v>
                </c:pt>
                <c:pt idx="1026">
                  <c:v>43860</c:v>
                </c:pt>
                <c:pt idx="1027">
                  <c:v>43861</c:v>
                </c:pt>
                <c:pt idx="1028">
                  <c:v>43864</c:v>
                </c:pt>
                <c:pt idx="1029">
                  <c:v>43865</c:v>
                </c:pt>
                <c:pt idx="1030">
                  <c:v>43866</c:v>
                </c:pt>
                <c:pt idx="1031">
                  <c:v>43867</c:v>
                </c:pt>
                <c:pt idx="1032">
                  <c:v>43868</c:v>
                </c:pt>
                <c:pt idx="1033">
                  <c:v>43871</c:v>
                </c:pt>
                <c:pt idx="1034">
                  <c:v>43872</c:v>
                </c:pt>
                <c:pt idx="1035">
                  <c:v>43873</c:v>
                </c:pt>
                <c:pt idx="1036">
                  <c:v>43874</c:v>
                </c:pt>
                <c:pt idx="1037">
                  <c:v>43875</c:v>
                </c:pt>
                <c:pt idx="1038">
                  <c:v>43879</c:v>
                </c:pt>
                <c:pt idx="1039">
                  <c:v>43880</c:v>
                </c:pt>
                <c:pt idx="1040">
                  <c:v>43881</c:v>
                </c:pt>
                <c:pt idx="1041">
                  <c:v>43882</c:v>
                </c:pt>
                <c:pt idx="1042">
                  <c:v>43885</c:v>
                </c:pt>
                <c:pt idx="1043">
                  <c:v>43886</c:v>
                </c:pt>
                <c:pt idx="1044">
                  <c:v>43887</c:v>
                </c:pt>
                <c:pt idx="1045">
                  <c:v>43888</c:v>
                </c:pt>
                <c:pt idx="1046">
                  <c:v>43889</c:v>
                </c:pt>
                <c:pt idx="1047">
                  <c:v>43892</c:v>
                </c:pt>
                <c:pt idx="1048">
                  <c:v>43893</c:v>
                </c:pt>
                <c:pt idx="1049">
                  <c:v>43894</c:v>
                </c:pt>
                <c:pt idx="1050">
                  <c:v>43895</c:v>
                </c:pt>
                <c:pt idx="1051">
                  <c:v>43896</c:v>
                </c:pt>
                <c:pt idx="1052">
                  <c:v>43899</c:v>
                </c:pt>
                <c:pt idx="1053">
                  <c:v>43900</c:v>
                </c:pt>
                <c:pt idx="1054">
                  <c:v>43901</c:v>
                </c:pt>
                <c:pt idx="1055">
                  <c:v>43902</c:v>
                </c:pt>
                <c:pt idx="1056">
                  <c:v>43903</c:v>
                </c:pt>
                <c:pt idx="1057">
                  <c:v>43906</c:v>
                </c:pt>
                <c:pt idx="1058">
                  <c:v>43907</c:v>
                </c:pt>
                <c:pt idx="1059">
                  <c:v>43908</c:v>
                </c:pt>
                <c:pt idx="1060">
                  <c:v>43909</c:v>
                </c:pt>
                <c:pt idx="1061">
                  <c:v>43910</c:v>
                </c:pt>
                <c:pt idx="1062">
                  <c:v>43913</c:v>
                </c:pt>
                <c:pt idx="1063">
                  <c:v>43914</c:v>
                </c:pt>
                <c:pt idx="1064">
                  <c:v>43915</c:v>
                </c:pt>
                <c:pt idx="1065">
                  <c:v>43916</c:v>
                </c:pt>
                <c:pt idx="1066">
                  <c:v>43917</c:v>
                </c:pt>
                <c:pt idx="1067">
                  <c:v>43920</c:v>
                </c:pt>
                <c:pt idx="1068">
                  <c:v>43921</c:v>
                </c:pt>
                <c:pt idx="1069">
                  <c:v>43922</c:v>
                </c:pt>
                <c:pt idx="1070">
                  <c:v>43923</c:v>
                </c:pt>
                <c:pt idx="1071">
                  <c:v>43924</c:v>
                </c:pt>
                <c:pt idx="1072">
                  <c:v>43927</c:v>
                </c:pt>
                <c:pt idx="1073">
                  <c:v>43928</c:v>
                </c:pt>
                <c:pt idx="1074">
                  <c:v>43929</c:v>
                </c:pt>
                <c:pt idx="1075">
                  <c:v>43930</c:v>
                </c:pt>
                <c:pt idx="1076">
                  <c:v>43934</c:v>
                </c:pt>
                <c:pt idx="1077">
                  <c:v>43935</c:v>
                </c:pt>
                <c:pt idx="1078">
                  <c:v>43936</c:v>
                </c:pt>
                <c:pt idx="1079">
                  <c:v>43937</c:v>
                </c:pt>
                <c:pt idx="1080">
                  <c:v>43938</c:v>
                </c:pt>
                <c:pt idx="1081">
                  <c:v>43941</c:v>
                </c:pt>
                <c:pt idx="1082">
                  <c:v>43942</c:v>
                </c:pt>
                <c:pt idx="1083">
                  <c:v>43943</c:v>
                </c:pt>
                <c:pt idx="1084">
                  <c:v>43944</c:v>
                </c:pt>
                <c:pt idx="1085">
                  <c:v>43945</c:v>
                </c:pt>
                <c:pt idx="1086">
                  <c:v>43948</c:v>
                </c:pt>
                <c:pt idx="1087">
                  <c:v>43949</c:v>
                </c:pt>
                <c:pt idx="1088">
                  <c:v>43950</c:v>
                </c:pt>
                <c:pt idx="1089">
                  <c:v>43951</c:v>
                </c:pt>
                <c:pt idx="1090">
                  <c:v>43952</c:v>
                </c:pt>
                <c:pt idx="1091">
                  <c:v>43955</c:v>
                </c:pt>
                <c:pt idx="1092">
                  <c:v>43956</c:v>
                </c:pt>
                <c:pt idx="1093">
                  <c:v>43957</c:v>
                </c:pt>
                <c:pt idx="1094">
                  <c:v>43958</c:v>
                </c:pt>
                <c:pt idx="1095">
                  <c:v>43959</c:v>
                </c:pt>
                <c:pt idx="1096">
                  <c:v>43962</c:v>
                </c:pt>
                <c:pt idx="1097">
                  <c:v>43963</c:v>
                </c:pt>
                <c:pt idx="1098">
                  <c:v>43964</c:v>
                </c:pt>
                <c:pt idx="1099">
                  <c:v>43965</c:v>
                </c:pt>
                <c:pt idx="1100">
                  <c:v>43966</c:v>
                </c:pt>
                <c:pt idx="1101">
                  <c:v>43969</c:v>
                </c:pt>
                <c:pt idx="1102">
                  <c:v>43970</c:v>
                </c:pt>
                <c:pt idx="1103">
                  <c:v>43971</c:v>
                </c:pt>
                <c:pt idx="1104">
                  <c:v>43972</c:v>
                </c:pt>
                <c:pt idx="1105">
                  <c:v>43973</c:v>
                </c:pt>
                <c:pt idx="1106">
                  <c:v>43977</c:v>
                </c:pt>
                <c:pt idx="1107">
                  <c:v>43978</c:v>
                </c:pt>
                <c:pt idx="1108">
                  <c:v>43979</c:v>
                </c:pt>
                <c:pt idx="1109">
                  <c:v>43980</c:v>
                </c:pt>
                <c:pt idx="1110">
                  <c:v>43983</c:v>
                </c:pt>
                <c:pt idx="1111">
                  <c:v>43984</c:v>
                </c:pt>
                <c:pt idx="1112">
                  <c:v>43985</c:v>
                </c:pt>
                <c:pt idx="1113">
                  <c:v>43986</c:v>
                </c:pt>
                <c:pt idx="1114">
                  <c:v>43987</c:v>
                </c:pt>
                <c:pt idx="1115">
                  <c:v>43990</c:v>
                </c:pt>
                <c:pt idx="1116">
                  <c:v>43991</c:v>
                </c:pt>
                <c:pt idx="1117">
                  <c:v>43992</c:v>
                </c:pt>
                <c:pt idx="1118">
                  <c:v>43993</c:v>
                </c:pt>
                <c:pt idx="1119">
                  <c:v>43994</c:v>
                </c:pt>
                <c:pt idx="1120">
                  <c:v>43997</c:v>
                </c:pt>
                <c:pt idx="1121">
                  <c:v>43998</c:v>
                </c:pt>
                <c:pt idx="1122">
                  <c:v>43999</c:v>
                </c:pt>
                <c:pt idx="1123">
                  <c:v>44000</c:v>
                </c:pt>
                <c:pt idx="1124">
                  <c:v>44001</c:v>
                </c:pt>
                <c:pt idx="1125">
                  <c:v>44004</c:v>
                </c:pt>
                <c:pt idx="1126">
                  <c:v>44005</c:v>
                </c:pt>
                <c:pt idx="1127">
                  <c:v>44006</c:v>
                </c:pt>
                <c:pt idx="1128">
                  <c:v>44007</c:v>
                </c:pt>
                <c:pt idx="1129">
                  <c:v>44008</c:v>
                </c:pt>
                <c:pt idx="1130">
                  <c:v>44011</c:v>
                </c:pt>
                <c:pt idx="1131">
                  <c:v>44012</c:v>
                </c:pt>
                <c:pt idx="1132">
                  <c:v>44013</c:v>
                </c:pt>
                <c:pt idx="1133">
                  <c:v>44014</c:v>
                </c:pt>
                <c:pt idx="1134">
                  <c:v>44018</c:v>
                </c:pt>
                <c:pt idx="1135">
                  <c:v>44019</c:v>
                </c:pt>
                <c:pt idx="1136">
                  <c:v>44020</c:v>
                </c:pt>
                <c:pt idx="1137">
                  <c:v>44021</c:v>
                </c:pt>
                <c:pt idx="1138">
                  <c:v>44022</c:v>
                </c:pt>
                <c:pt idx="1139">
                  <c:v>44025</c:v>
                </c:pt>
                <c:pt idx="1140">
                  <c:v>44026</c:v>
                </c:pt>
                <c:pt idx="1141">
                  <c:v>44027</c:v>
                </c:pt>
                <c:pt idx="1142">
                  <c:v>44028</c:v>
                </c:pt>
                <c:pt idx="1143">
                  <c:v>44029</c:v>
                </c:pt>
                <c:pt idx="1144">
                  <c:v>44032</c:v>
                </c:pt>
                <c:pt idx="1145">
                  <c:v>44033</c:v>
                </c:pt>
                <c:pt idx="1146">
                  <c:v>44034</c:v>
                </c:pt>
                <c:pt idx="1147">
                  <c:v>44035</c:v>
                </c:pt>
                <c:pt idx="1148">
                  <c:v>44036</c:v>
                </c:pt>
                <c:pt idx="1149">
                  <c:v>44039</c:v>
                </c:pt>
                <c:pt idx="1150">
                  <c:v>44040</c:v>
                </c:pt>
                <c:pt idx="1151">
                  <c:v>44041</c:v>
                </c:pt>
                <c:pt idx="1152">
                  <c:v>44042</c:v>
                </c:pt>
                <c:pt idx="1153">
                  <c:v>44043</c:v>
                </c:pt>
                <c:pt idx="1154">
                  <c:v>44046</c:v>
                </c:pt>
                <c:pt idx="1155">
                  <c:v>44047</c:v>
                </c:pt>
                <c:pt idx="1156">
                  <c:v>44048</c:v>
                </c:pt>
                <c:pt idx="1157">
                  <c:v>44049</c:v>
                </c:pt>
                <c:pt idx="1158">
                  <c:v>44050</c:v>
                </c:pt>
                <c:pt idx="1159">
                  <c:v>44053</c:v>
                </c:pt>
                <c:pt idx="1160">
                  <c:v>44054</c:v>
                </c:pt>
                <c:pt idx="1161">
                  <c:v>44055</c:v>
                </c:pt>
                <c:pt idx="1162">
                  <c:v>44056</c:v>
                </c:pt>
                <c:pt idx="1163">
                  <c:v>44057</c:v>
                </c:pt>
                <c:pt idx="1164">
                  <c:v>44060</c:v>
                </c:pt>
                <c:pt idx="1165">
                  <c:v>44061</c:v>
                </c:pt>
                <c:pt idx="1166">
                  <c:v>44062</c:v>
                </c:pt>
                <c:pt idx="1167">
                  <c:v>44063</c:v>
                </c:pt>
                <c:pt idx="1168">
                  <c:v>44064</c:v>
                </c:pt>
                <c:pt idx="1169">
                  <c:v>44067</c:v>
                </c:pt>
                <c:pt idx="1170">
                  <c:v>44068</c:v>
                </c:pt>
                <c:pt idx="1171">
                  <c:v>44069</c:v>
                </c:pt>
                <c:pt idx="1172">
                  <c:v>44070</c:v>
                </c:pt>
                <c:pt idx="1173">
                  <c:v>44071</c:v>
                </c:pt>
                <c:pt idx="1174">
                  <c:v>44074</c:v>
                </c:pt>
                <c:pt idx="1175">
                  <c:v>44075</c:v>
                </c:pt>
                <c:pt idx="1176">
                  <c:v>44076</c:v>
                </c:pt>
                <c:pt idx="1177">
                  <c:v>44077</c:v>
                </c:pt>
                <c:pt idx="1178">
                  <c:v>44078</c:v>
                </c:pt>
                <c:pt idx="1179">
                  <c:v>44082</c:v>
                </c:pt>
                <c:pt idx="1180">
                  <c:v>44083</c:v>
                </c:pt>
                <c:pt idx="1181">
                  <c:v>44084</c:v>
                </c:pt>
                <c:pt idx="1182">
                  <c:v>44085</c:v>
                </c:pt>
                <c:pt idx="1183">
                  <c:v>44088</c:v>
                </c:pt>
                <c:pt idx="1184">
                  <c:v>44089</c:v>
                </c:pt>
                <c:pt idx="1185">
                  <c:v>44090</c:v>
                </c:pt>
                <c:pt idx="1186">
                  <c:v>44091</c:v>
                </c:pt>
                <c:pt idx="1187">
                  <c:v>44092</c:v>
                </c:pt>
                <c:pt idx="1188">
                  <c:v>44095</c:v>
                </c:pt>
                <c:pt idx="1189">
                  <c:v>44096</c:v>
                </c:pt>
                <c:pt idx="1190">
                  <c:v>44097</c:v>
                </c:pt>
                <c:pt idx="1191">
                  <c:v>44098</c:v>
                </c:pt>
                <c:pt idx="1192">
                  <c:v>44099</c:v>
                </c:pt>
                <c:pt idx="1193">
                  <c:v>44102</c:v>
                </c:pt>
                <c:pt idx="1194">
                  <c:v>44103</c:v>
                </c:pt>
                <c:pt idx="1195">
                  <c:v>44104</c:v>
                </c:pt>
                <c:pt idx="1196">
                  <c:v>44105</c:v>
                </c:pt>
                <c:pt idx="1197">
                  <c:v>44106</c:v>
                </c:pt>
                <c:pt idx="1198">
                  <c:v>44109</c:v>
                </c:pt>
                <c:pt idx="1199">
                  <c:v>44110</c:v>
                </c:pt>
                <c:pt idx="1200">
                  <c:v>44111</c:v>
                </c:pt>
                <c:pt idx="1201">
                  <c:v>44112</c:v>
                </c:pt>
                <c:pt idx="1202">
                  <c:v>44113</c:v>
                </c:pt>
                <c:pt idx="1203">
                  <c:v>44116</c:v>
                </c:pt>
                <c:pt idx="1204">
                  <c:v>44117</c:v>
                </c:pt>
                <c:pt idx="1205">
                  <c:v>44118</c:v>
                </c:pt>
                <c:pt idx="1206">
                  <c:v>44119</c:v>
                </c:pt>
                <c:pt idx="1207">
                  <c:v>44120</c:v>
                </c:pt>
                <c:pt idx="1208">
                  <c:v>44123</c:v>
                </c:pt>
                <c:pt idx="1209">
                  <c:v>44124</c:v>
                </c:pt>
                <c:pt idx="1210">
                  <c:v>44125</c:v>
                </c:pt>
                <c:pt idx="1211">
                  <c:v>44126</c:v>
                </c:pt>
                <c:pt idx="1212">
                  <c:v>44127</c:v>
                </c:pt>
                <c:pt idx="1213">
                  <c:v>44130</c:v>
                </c:pt>
                <c:pt idx="1214">
                  <c:v>44131</c:v>
                </c:pt>
                <c:pt idx="1215">
                  <c:v>44132</c:v>
                </c:pt>
                <c:pt idx="1216">
                  <c:v>44133</c:v>
                </c:pt>
                <c:pt idx="1217">
                  <c:v>44134</c:v>
                </c:pt>
                <c:pt idx="1218">
                  <c:v>44137</c:v>
                </c:pt>
                <c:pt idx="1219">
                  <c:v>44138</c:v>
                </c:pt>
                <c:pt idx="1220">
                  <c:v>44139</c:v>
                </c:pt>
                <c:pt idx="1221">
                  <c:v>44140</c:v>
                </c:pt>
                <c:pt idx="1222">
                  <c:v>44141</c:v>
                </c:pt>
                <c:pt idx="1223">
                  <c:v>44144</c:v>
                </c:pt>
                <c:pt idx="1224">
                  <c:v>44145</c:v>
                </c:pt>
                <c:pt idx="1225">
                  <c:v>44146</c:v>
                </c:pt>
                <c:pt idx="1226">
                  <c:v>44147</c:v>
                </c:pt>
                <c:pt idx="1227">
                  <c:v>44148</c:v>
                </c:pt>
                <c:pt idx="1228">
                  <c:v>44151</c:v>
                </c:pt>
                <c:pt idx="1229">
                  <c:v>44152</c:v>
                </c:pt>
                <c:pt idx="1230">
                  <c:v>44153</c:v>
                </c:pt>
                <c:pt idx="1231">
                  <c:v>44154</c:v>
                </c:pt>
                <c:pt idx="1232">
                  <c:v>44155</c:v>
                </c:pt>
                <c:pt idx="1233">
                  <c:v>44158</c:v>
                </c:pt>
                <c:pt idx="1234">
                  <c:v>44159</c:v>
                </c:pt>
                <c:pt idx="1235">
                  <c:v>44160</c:v>
                </c:pt>
                <c:pt idx="1236">
                  <c:v>44162</c:v>
                </c:pt>
                <c:pt idx="1237">
                  <c:v>44165</c:v>
                </c:pt>
                <c:pt idx="1238">
                  <c:v>44166</c:v>
                </c:pt>
                <c:pt idx="1239">
                  <c:v>44167</c:v>
                </c:pt>
                <c:pt idx="1240">
                  <c:v>44168</c:v>
                </c:pt>
                <c:pt idx="1241">
                  <c:v>44169</c:v>
                </c:pt>
                <c:pt idx="1242">
                  <c:v>44172</c:v>
                </c:pt>
                <c:pt idx="1243">
                  <c:v>44173</c:v>
                </c:pt>
                <c:pt idx="1244">
                  <c:v>44174</c:v>
                </c:pt>
                <c:pt idx="1245">
                  <c:v>44175</c:v>
                </c:pt>
                <c:pt idx="1246">
                  <c:v>44176</c:v>
                </c:pt>
                <c:pt idx="1247">
                  <c:v>44179</c:v>
                </c:pt>
                <c:pt idx="1248">
                  <c:v>44180</c:v>
                </c:pt>
                <c:pt idx="1249">
                  <c:v>44181</c:v>
                </c:pt>
                <c:pt idx="1250">
                  <c:v>44182</c:v>
                </c:pt>
                <c:pt idx="1251">
                  <c:v>44183</c:v>
                </c:pt>
                <c:pt idx="1252">
                  <c:v>44186</c:v>
                </c:pt>
                <c:pt idx="1253">
                  <c:v>44187</c:v>
                </c:pt>
                <c:pt idx="1254">
                  <c:v>44188</c:v>
                </c:pt>
                <c:pt idx="1255">
                  <c:v>44189</c:v>
                </c:pt>
                <c:pt idx="1256">
                  <c:v>44193</c:v>
                </c:pt>
                <c:pt idx="1257">
                  <c:v>44194</c:v>
                </c:pt>
                <c:pt idx="1258">
                  <c:v>44195</c:v>
                </c:pt>
                <c:pt idx="1259">
                  <c:v>44196</c:v>
                </c:pt>
              </c:numCache>
            </c:numRef>
          </c:cat>
          <c:val>
            <c:numRef>
              <c:f>'experiment 1 - LSTM'!$E$2:$E$1261</c:f>
              <c:numCache>
                <c:formatCode>General</c:formatCode>
                <c:ptCount val="1260"/>
                <c:pt idx="0">
                  <c:v>0.99114674000000003</c:v>
                </c:pt>
                <c:pt idx="1">
                  <c:v>0.98564010000000002</c:v>
                </c:pt>
                <c:pt idx="2">
                  <c:v>0.99188580000000004</c:v>
                </c:pt>
                <c:pt idx="3">
                  <c:v>0.99598472999999998</c:v>
                </c:pt>
                <c:pt idx="4">
                  <c:v>0.99378692999999996</c:v>
                </c:pt>
                <c:pt idx="5">
                  <c:v>0.99083083999999999</c:v>
                </c:pt>
                <c:pt idx="6">
                  <c:v>0.98923510000000003</c:v>
                </c:pt>
                <c:pt idx="7">
                  <c:v>0.99572890000000003</c:v>
                </c:pt>
                <c:pt idx="8">
                  <c:v>0.98378085999999998</c:v>
                </c:pt>
                <c:pt idx="9">
                  <c:v>0.99270486999999996</c:v>
                </c:pt>
                <c:pt idx="10">
                  <c:v>0.98483370000000003</c:v>
                </c:pt>
                <c:pt idx="11">
                  <c:v>0.98781675000000002</c:v>
                </c:pt>
                <c:pt idx="12">
                  <c:v>0.98298609999999997</c:v>
                </c:pt>
                <c:pt idx="13">
                  <c:v>0.97322909999999996</c:v>
                </c:pt>
                <c:pt idx="14">
                  <c:v>0.99061732999999996</c:v>
                </c:pt>
                <c:pt idx="15">
                  <c:v>0.97693410000000003</c:v>
                </c:pt>
                <c:pt idx="16">
                  <c:v>0.98889415999999997</c:v>
                </c:pt>
                <c:pt idx="17">
                  <c:v>0.98317677000000003</c:v>
                </c:pt>
                <c:pt idx="18">
                  <c:v>0.97114473999999995</c:v>
                </c:pt>
                <c:pt idx="19">
                  <c:v>0.98437154000000004</c:v>
                </c:pt>
                <c:pt idx="20">
                  <c:v>0.99054164</c:v>
                </c:pt>
                <c:pt idx="21">
                  <c:v>0.98132830000000004</c:v>
                </c:pt>
                <c:pt idx="22">
                  <c:v>0.98502259999999997</c:v>
                </c:pt>
                <c:pt idx="23">
                  <c:v>0.99105315999999999</c:v>
                </c:pt>
                <c:pt idx="24">
                  <c:v>0.98979855000000005</c:v>
                </c:pt>
                <c:pt idx="25">
                  <c:v>0.98714553999999999</c:v>
                </c:pt>
                <c:pt idx="26">
                  <c:v>0.98730379999999995</c:v>
                </c:pt>
                <c:pt idx="27">
                  <c:v>0.99148740000000002</c:v>
                </c:pt>
                <c:pt idx="28">
                  <c:v>0.98023397000000001</c:v>
                </c:pt>
                <c:pt idx="29">
                  <c:v>0.98416685999999998</c:v>
                </c:pt>
                <c:pt idx="30">
                  <c:v>0.98451149999999998</c:v>
                </c:pt>
                <c:pt idx="31">
                  <c:v>0.99036139999999995</c:v>
                </c:pt>
                <c:pt idx="32">
                  <c:v>0.98927290000000001</c:v>
                </c:pt>
                <c:pt idx="33">
                  <c:v>0.98440105</c:v>
                </c:pt>
                <c:pt idx="34">
                  <c:v>0.99150753000000003</c:v>
                </c:pt>
                <c:pt idx="35">
                  <c:v>0.98394720000000002</c:v>
                </c:pt>
                <c:pt idx="36">
                  <c:v>0.98244699999999996</c:v>
                </c:pt>
                <c:pt idx="37">
                  <c:v>0.98892060000000004</c:v>
                </c:pt>
                <c:pt idx="38">
                  <c:v>0.99045490000000003</c:v>
                </c:pt>
                <c:pt idx="39">
                  <c:v>0.97539569999999998</c:v>
                </c:pt>
                <c:pt idx="40">
                  <c:v>0.98606179999999999</c:v>
                </c:pt>
                <c:pt idx="41">
                  <c:v>0.98472720000000002</c:v>
                </c:pt>
                <c:pt idx="42">
                  <c:v>0.98547583999999999</c:v>
                </c:pt>
                <c:pt idx="43">
                  <c:v>0.98762150000000004</c:v>
                </c:pt>
                <c:pt idx="44">
                  <c:v>0.99065214000000001</c:v>
                </c:pt>
                <c:pt idx="45">
                  <c:v>0.98576200000000003</c:v>
                </c:pt>
                <c:pt idx="46">
                  <c:v>0.98811495000000005</c:v>
                </c:pt>
                <c:pt idx="47">
                  <c:v>0.97943175000000005</c:v>
                </c:pt>
                <c:pt idx="48">
                  <c:v>0.98755859999999995</c:v>
                </c:pt>
                <c:pt idx="49">
                  <c:v>0.99546920000000005</c:v>
                </c:pt>
                <c:pt idx="50">
                  <c:v>0.99522219999999995</c:v>
                </c:pt>
                <c:pt idx="51">
                  <c:v>0.98424672999999996</c:v>
                </c:pt>
                <c:pt idx="52">
                  <c:v>0.987174</c:v>
                </c:pt>
                <c:pt idx="53">
                  <c:v>0.98441889999999999</c:v>
                </c:pt>
                <c:pt idx="54">
                  <c:v>0.99325490000000005</c:v>
                </c:pt>
                <c:pt idx="55">
                  <c:v>0.99693894000000005</c:v>
                </c:pt>
                <c:pt idx="56">
                  <c:v>0.996896</c:v>
                </c:pt>
                <c:pt idx="57">
                  <c:v>0.98418459999999997</c:v>
                </c:pt>
                <c:pt idx="58">
                  <c:v>0.97015863999999996</c:v>
                </c:pt>
                <c:pt idx="59">
                  <c:v>0.97968434999999998</c:v>
                </c:pt>
                <c:pt idx="60">
                  <c:v>0.9778057</c:v>
                </c:pt>
                <c:pt idx="61">
                  <c:v>0.96765053000000001</c:v>
                </c:pt>
                <c:pt idx="62">
                  <c:v>0.99425523999999998</c:v>
                </c:pt>
                <c:pt idx="63">
                  <c:v>0.99656160000000005</c:v>
                </c:pt>
                <c:pt idx="64">
                  <c:v>0.99075299999999999</c:v>
                </c:pt>
                <c:pt idx="65">
                  <c:v>0.99636570000000002</c:v>
                </c:pt>
                <c:pt idx="66">
                  <c:v>0.99208176000000003</c:v>
                </c:pt>
                <c:pt idx="67">
                  <c:v>0.99332863000000005</c:v>
                </c:pt>
                <c:pt idx="68">
                  <c:v>0.9858266</c:v>
                </c:pt>
                <c:pt idx="69">
                  <c:v>0.98093370000000002</c:v>
                </c:pt>
                <c:pt idx="70">
                  <c:v>0.98611104000000005</c:v>
                </c:pt>
                <c:pt idx="71">
                  <c:v>0.98787354999999999</c:v>
                </c:pt>
                <c:pt idx="72">
                  <c:v>0.97964169999999995</c:v>
                </c:pt>
                <c:pt idx="73">
                  <c:v>0.97746843000000005</c:v>
                </c:pt>
                <c:pt idx="74">
                  <c:v>0.97310936000000003</c:v>
                </c:pt>
                <c:pt idx="75">
                  <c:v>0.98489296000000004</c:v>
                </c:pt>
                <c:pt idx="76">
                  <c:v>0.97524595000000003</c:v>
                </c:pt>
                <c:pt idx="77">
                  <c:v>0.97491634000000005</c:v>
                </c:pt>
                <c:pt idx="78">
                  <c:v>0.96456620000000004</c:v>
                </c:pt>
                <c:pt idx="79">
                  <c:v>0.96050539999999995</c:v>
                </c:pt>
                <c:pt idx="80">
                  <c:v>0.98116890000000001</c:v>
                </c:pt>
                <c:pt idx="81">
                  <c:v>0.98494499999999996</c:v>
                </c:pt>
                <c:pt idx="82">
                  <c:v>0.96232340000000005</c:v>
                </c:pt>
                <c:pt idx="83">
                  <c:v>0.98340079999999996</c:v>
                </c:pt>
                <c:pt idx="84">
                  <c:v>0.9846876</c:v>
                </c:pt>
                <c:pt idx="85">
                  <c:v>0.98206070000000001</c:v>
                </c:pt>
                <c:pt idx="86">
                  <c:v>0.96748334000000002</c:v>
                </c:pt>
                <c:pt idx="87">
                  <c:v>0.96759253999999995</c:v>
                </c:pt>
                <c:pt idx="88">
                  <c:v>0.90623279999999995</c:v>
                </c:pt>
                <c:pt idx="89">
                  <c:v>0.97298470000000004</c:v>
                </c:pt>
                <c:pt idx="90">
                  <c:v>0.95784974000000001</c:v>
                </c:pt>
                <c:pt idx="91">
                  <c:v>0.97620079999999998</c:v>
                </c:pt>
                <c:pt idx="92">
                  <c:v>0.92309540000000001</c:v>
                </c:pt>
                <c:pt idx="93">
                  <c:v>0.97408700000000004</c:v>
                </c:pt>
                <c:pt idx="94">
                  <c:v>0.96807180000000004</c:v>
                </c:pt>
                <c:pt idx="95">
                  <c:v>0.96613972999999997</c:v>
                </c:pt>
                <c:pt idx="96">
                  <c:v>0.94442780000000004</c:v>
                </c:pt>
                <c:pt idx="97">
                  <c:v>0.96046149999999997</c:v>
                </c:pt>
                <c:pt idx="98">
                  <c:v>0.8557382</c:v>
                </c:pt>
                <c:pt idx="99">
                  <c:v>0.83997904999999995</c:v>
                </c:pt>
                <c:pt idx="100">
                  <c:v>0.86326170000000002</c:v>
                </c:pt>
                <c:pt idx="101">
                  <c:v>0.80003480000000005</c:v>
                </c:pt>
                <c:pt idx="102">
                  <c:v>0.84793746000000003</c:v>
                </c:pt>
                <c:pt idx="103">
                  <c:v>0.82092730000000003</c:v>
                </c:pt>
                <c:pt idx="104">
                  <c:v>0.7624995</c:v>
                </c:pt>
                <c:pt idx="105">
                  <c:v>0.83722430000000003</c:v>
                </c:pt>
                <c:pt idx="106">
                  <c:v>0.64483840000000003</c:v>
                </c:pt>
                <c:pt idx="107">
                  <c:v>0.64047074000000004</c:v>
                </c:pt>
                <c:pt idx="108">
                  <c:v>0.45763730000000002</c:v>
                </c:pt>
                <c:pt idx="109">
                  <c:v>0.60479159999999998</c:v>
                </c:pt>
                <c:pt idx="110">
                  <c:v>0.85069910000000004</c:v>
                </c:pt>
                <c:pt idx="111">
                  <c:v>0.91934395000000002</c:v>
                </c:pt>
                <c:pt idx="112">
                  <c:v>0.87055682999999995</c:v>
                </c:pt>
                <c:pt idx="113">
                  <c:v>0.85265625</c:v>
                </c:pt>
                <c:pt idx="114">
                  <c:v>0.71810220000000002</c:v>
                </c:pt>
                <c:pt idx="115">
                  <c:v>0.75386816000000001</c:v>
                </c:pt>
                <c:pt idx="116">
                  <c:v>0.81005499999999997</c:v>
                </c:pt>
                <c:pt idx="117">
                  <c:v>0.64892890000000003</c:v>
                </c:pt>
                <c:pt idx="118">
                  <c:v>0.70817410000000003</c:v>
                </c:pt>
                <c:pt idx="119">
                  <c:v>-0.10401365999999999</c:v>
                </c:pt>
                <c:pt idx="120">
                  <c:v>0.96207434000000003</c:v>
                </c:pt>
                <c:pt idx="121">
                  <c:v>0.96687679999999998</c:v>
                </c:pt>
                <c:pt idx="122">
                  <c:v>0.72867185000000001</c:v>
                </c:pt>
                <c:pt idx="123">
                  <c:v>0.44982307999999999</c:v>
                </c:pt>
                <c:pt idx="124">
                  <c:v>0.26405218000000003</c:v>
                </c:pt>
                <c:pt idx="125">
                  <c:v>0.28397873000000001</c:v>
                </c:pt>
                <c:pt idx="126">
                  <c:v>0.48320010000000002</c:v>
                </c:pt>
                <c:pt idx="127">
                  <c:v>0.25157285000000001</c:v>
                </c:pt>
                <c:pt idx="128">
                  <c:v>0.30935742999999999</c:v>
                </c:pt>
                <c:pt idx="129">
                  <c:v>-0.21573986000000001</c:v>
                </c:pt>
                <c:pt idx="130">
                  <c:v>-0.17960171</c:v>
                </c:pt>
                <c:pt idx="131">
                  <c:v>-0.30753794000000001</c:v>
                </c:pt>
                <c:pt idx="132">
                  <c:v>-0.10769491</c:v>
                </c:pt>
                <c:pt idx="133">
                  <c:v>-0.27018520000000001</c:v>
                </c:pt>
                <c:pt idx="134">
                  <c:v>-8.0882609999999994E-3</c:v>
                </c:pt>
                <c:pt idx="135">
                  <c:v>-0.16513775</c:v>
                </c:pt>
                <c:pt idx="136">
                  <c:v>-3.3527620000000001E-2</c:v>
                </c:pt>
                <c:pt idx="137">
                  <c:v>-0.21980551000000001</c:v>
                </c:pt>
                <c:pt idx="138">
                  <c:v>0.12345898</c:v>
                </c:pt>
                <c:pt idx="139">
                  <c:v>-0.1703199</c:v>
                </c:pt>
                <c:pt idx="140">
                  <c:v>8.5859270000000001E-2</c:v>
                </c:pt>
                <c:pt idx="141">
                  <c:v>-4.7858829999999998E-2</c:v>
                </c:pt>
                <c:pt idx="142">
                  <c:v>3.8666878000000002E-2</c:v>
                </c:pt>
                <c:pt idx="143">
                  <c:v>-6.4120750000000004E-2</c:v>
                </c:pt>
                <c:pt idx="144">
                  <c:v>-4.1637238E-2</c:v>
                </c:pt>
                <c:pt idx="145">
                  <c:v>0.15437707000000001</c:v>
                </c:pt>
                <c:pt idx="146">
                  <c:v>0.36344543000000001</c:v>
                </c:pt>
                <c:pt idx="147">
                  <c:v>4.9546566000000002E-3</c:v>
                </c:pt>
                <c:pt idx="148">
                  <c:v>-5.2147508000000002E-2</c:v>
                </c:pt>
                <c:pt idx="149">
                  <c:v>-0.48644248000000001</c:v>
                </c:pt>
                <c:pt idx="150">
                  <c:v>-0.20136080000000001</c:v>
                </c:pt>
                <c:pt idx="151">
                  <c:v>-0.22669797</c:v>
                </c:pt>
                <c:pt idx="152">
                  <c:v>-8.2089800000000004E-2</c:v>
                </c:pt>
                <c:pt idx="153">
                  <c:v>-0.41443023000000001</c:v>
                </c:pt>
                <c:pt idx="154">
                  <c:v>-0.72482985</c:v>
                </c:pt>
                <c:pt idx="155">
                  <c:v>-0.38373393</c:v>
                </c:pt>
                <c:pt idx="156">
                  <c:v>-0.60098207000000003</c:v>
                </c:pt>
                <c:pt idx="157">
                  <c:v>-0.73659514999999998</c:v>
                </c:pt>
                <c:pt idx="158">
                  <c:v>-0.76170009999999999</c:v>
                </c:pt>
                <c:pt idx="159">
                  <c:v>-0.7008839</c:v>
                </c:pt>
                <c:pt idx="160">
                  <c:v>-0.70915220000000001</c:v>
                </c:pt>
                <c:pt idx="161">
                  <c:v>-0.30237362000000001</c:v>
                </c:pt>
                <c:pt idx="162">
                  <c:v>0.16678192</c:v>
                </c:pt>
                <c:pt idx="163">
                  <c:v>4.6843797E-2</c:v>
                </c:pt>
                <c:pt idx="164">
                  <c:v>0.1372553</c:v>
                </c:pt>
                <c:pt idx="165">
                  <c:v>-0.2890105</c:v>
                </c:pt>
                <c:pt idx="166">
                  <c:v>1.0279906E-2</c:v>
                </c:pt>
                <c:pt idx="167">
                  <c:v>0.16183454</c:v>
                </c:pt>
                <c:pt idx="168">
                  <c:v>0.12851878999999999</c:v>
                </c:pt>
                <c:pt idx="169">
                  <c:v>-0.27878222000000003</c:v>
                </c:pt>
                <c:pt idx="170">
                  <c:v>-0.30107650000000002</c:v>
                </c:pt>
                <c:pt idx="171">
                  <c:v>-0.14995238</c:v>
                </c:pt>
                <c:pt idx="172">
                  <c:v>0.12262198000000001</c:v>
                </c:pt>
                <c:pt idx="173">
                  <c:v>0.9034449</c:v>
                </c:pt>
                <c:pt idx="174">
                  <c:v>-7.6942360000000001E-2</c:v>
                </c:pt>
                <c:pt idx="175">
                  <c:v>-5.0008482999999999E-2</c:v>
                </c:pt>
                <c:pt idx="176">
                  <c:v>-0.22159143000000001</c:v>
                </c:pt>
                <c:pt idx="177">
                  <c:v>-0.101777494</c:v>
                </c:pt>
                <c:pt idx="178">
                  <c:v>-0.58657926000000005</c:v>
                </c:pt>
                <c:pt idx="179">
                  <c:v>-0.51042973999999997</c:v>
                </c:pt>
                <c:pt idx="180">
                  <c:v>-0.55440840000000002</c:v>
                </c:pt>
                <c:pt idx="181">
                  <c:v>-0.12704752</c:v>
                </c:pt>
                <c:pt idx="182">
                  <c:v>-0.20123706999999999</c:v>
                </c:pt>
                <c:pt idx="183">
                  <c:v>0.21573232000000001</c:v>
                </c:pt>
                <c:pt idx="184">
                  <c:v>0.47058489999999997</c:v>
                </c:pt>
                <c:pt idx="185">
                  <c:v>-9.4991030000000004E-2</c:v>
                </c:pt>
                <c:pt idx="186">
                  <c:v>-0.24375874</c:v>
                </c:pt>
                <c:pt idx="187">
                  <c:v>0.27945447000000001</c:v>
                </c:pt>
                <c:pt idx="188">
                  <c:v>-0.23589563</c:v>
                </c:pt>
                <c:pt idx="189">
                  <c:v>0.11389072</c:v>
                </c:pt>
                <c:pt idx="190">
                  <c:v>0.24903774000000001</c:v>
                </c:pt>
                <c:pt idx="191">
                  <c:v>-0.16406117000000001</c:v>
                </c:pt>
                <c:pt idx="192">
                  <c:v>-0.14976278000000001</c:v>
                </c:pt>
                <c:pt idx="193">
                  <c:v>0.18589512</c:v>
                </c:pt>
                <c:pt idx="194">
                  <c:v>-0.26215192999999998</c:v>
                </c:pt>
                <c:pt idx="195">
                  <c:v>0.53173320000000002</c:v>
                </c:pt>
                <c:pt idx="196">
                  <c:v>0.35271254000000002</c:v>
                </c:pt>
                <c:pt idx="197">
                  <c:v>0.38091092999999998</c:v>
                </c:pt>
                <c:pt idx="198">
                  <c:v>0.31741393000000001</c:v>
                </c:pt>
                <c:pt idx="199">
                  <c:v>0.42799690000000001</c:v>
                </c:pt>
                <c:pt idx="200">
                  <c:v>0.19217528</c:v>
                </c:pt>
                <c:pt idx="201">
                  <c:v>0.14395837</c:v>
                </c:pt>
                <c:pt idx="202">
                  <c:v>0.31749500000000003</c:v>
                </c:pt>
                <c:pt idx="203">
                  <c:v>0.41990757000000001</c:v>
                </c:pt>
                <c:pt idx="204">
                  <c:v>0.17816001000000001</c:v>
                </c:pt>
                <c:pt idx="205">
                  <c:v>0.47076327000000001</c:v>
                </c:pt>
                <c:pt idx="206">
                  <c:v>0.54199560000000002</c:v>
                </c:pt>
                <c:pt idx="207">
                  <c:v>0.70820150000000004</c:v>
                </c:pt>
                <c:pt idx="208">
                  <c:v>0.65007585000000001</c:v>
                </c:pt>
                <c:pt idx="209">
                  <c:v>0.69658010000000004</c:v>
                </c:pt>
                <c:pt idx="210">
                  <c:v>0.86074209999999995</c:v>
                </c:pt>
                <c:pt idx="211">
                  <c:v>0.89516412999999995</c:v>
                </c:pt>
                <c:pt idx="212">
                  <c:v>0.92558059999999998</c:v>
                </c:pt>
                <c:pt idx="213">
                  <c:v>0.93191069999999998</c:v>
                </c:pt>
                <c:pt idx="214">
                  <c:v>0.73836385999999998</c:v>
                </c:pt>
                <c:pt idx="215">
                  <c:v>-0.28319883000000001</c:v>
                </c:pt>
                <c:pt idx="216">
                  <c:v>0.65804600000000002</c:v>
                </c:pt>
                <c:pt idx="217">
                  <c:v>0.63030434000000002</c:v>
                </c:pt>
                <c:pt idx="218">
                  <c:v>0.7514556</c:v>
                </c:pt>
                <c:pt idx="219">
                  <c:v>-0.44826074999999999</c:v>
                </c:pt>
                <c:pt idx="220">
                  <c:v>-0.71632530000000005</c:v>
                </c:pt>
                <c:pt idx="221">
                  <c:v>0.61852600000000002</c:v>
                </c:pt>
                <c:pt idx="222">
                  <c:v>0.24398020000000001</c:v>
                </c:pt>
                <c:pt idx="223">
                  <c:v>0.39479609999999998</c:v>
                </c:pt>
                <c:pt idx="224">
                  <c:v>0.20669000000000001</c:v>
                </c:pt>
                <c:pt idx="225">
                  <c:v>-0.7047409</c:v>
                </c:pt>
                <c:pt idx="226">
                  <c:v>-0.62228404999999998</c:v>
                </c:pt>
                <c:pt idx="227">
                  <c:v>-0.7499519</c:v>
                </c:pt>
                <c:pt idx="228">
                  <c:v>-0.37747929000000002</c:v>
                </c:pt>
                <c:pt idx="229">
                  <c:v>-0.56588846000000004</c:v>
                </c:pt>
                <c:pt idx="230">
                  <c:v>-0.15355034000000001</c:v>
                </c:pt>
                <c:pt idx="231">
                  <c:v>0.80114985000000005</c:v>
                </c:pt>
                <c:pt idx="232">
                  <c:v>0.74049394999999996</c:v>
                </c:pt>
                <c:pt idx="233">
                  <c:v>-0.69616029999999995</c:v>
                </c:pt>
                <c:pt idx="234">
                  <c:v>-0.64117104000000003</c:v>
                </c:pt>
                <c:pt idx="235">
                  <c:v>-0.88847624999999997</c:v>
                </c:pt>
                <c:pt idx="236">
                  <c:v>-0.89777183999999999</c:v>
                </c:pt>
                <c:pt idx="237">
                  <c:v>-0.28047169999999999</c:v>
                </c:pt>
                <c:pt idx="238">
                  <c:v>-0.48362702000000002</c:v>
                </c:pt>
                <c:pt idx="239">
                  <c:v>-0.86441020000000002</c:v>
                </c:pt>
                <c:pt idx="240">
                  <c:v>0.27354768000000002</c:v>
                </c:pt>
                <c:pt idx="241">
                  <c:v>-0.34029207</c:v>
                </c:pt>
                <c:pt idx="242">
                  <c:v>-0.42841315000000002</c:v>
                </c:pt>
                <c:pt idx="243">
                  <c:v>0.21369299999999999</c:v>
                </c:pt>
                <c:pt idx="244">
                  <c:v>-0.29690844</c:v>
                </c:pt>
                <c:pt idx="245">
                  <c:v>0.35384884</c:v>
                </c:pt>
                <c:pt idx="246">
                  <c:v>0.20581257</c:v>
                </c:pt>
                <c:pt idx="247">
                  <c:v>-5.8109290000000001E-2</c:v>
                </c:pt>
                <c:pt idx="248">
                  <c:v>-1.2119187999999999E-2</c:v>
                </c:pt>
                <c:pt idx="249">
                  <c:v>0.70805709999999999</c:v>
                </c:pt>
                <c:pt idx="250">
                  <c:v>0.56119039999999998</c:v>
                </c:pt>
                <c:pt idx="251">
                  <c:v>0.75954270000000002</c:v>
                </c:pt>
                <c:pt idx="252">
                  <c:v>-0.67428849999999996</c:v>
                </c:pt>
                <c:pt idx="253">
                  <c:v>-0.49713063000000002</c:v>
                </c:pt>
                <c:pt idx="254">
                  <c:v>-4.490539E-3</c:v>
                </c:pt>
                <c:pt idx="255">
                  <c:v>-0.57142820000000005</c:v>
                </c:pt>
                <c:pt idx="256">
                  <c:v>0.39718340000000002</c:v>
                </c:pt>
                <c:pt idx="257">
                  <c:v>-0.32570814999999997</c:v>
                </c:pt>
                <c:pt idx="258">
                  <c:v>-0.31291511999999999</c:v>
                </c:pt>
                <c:pt idx="259">
                  <c:v>0.28013032999999998</c:v>
                </c:pt>
                <c:pt idx="260">
                  <c:v>-0.59769267000000004</c:v>
                </c:pt>
                <c:pt idx="261">
                  <c:v>0.40912520000000002</c:v>
                </c:pt>
                <c:pt idx="262">
                  <c:v>-0.47156677000000002</c:v>
                </c:pt>
                <c:pt idx="263">
                  <c:v>0.23821068000000001</c:v>
                </c:pt>
                <c:pt idx="264">
                  <c:v>-0.55697680000000005</c:v>
                </c:pt>
                <c:pt idx="265">
                  <c:v>0.25153762000000002</c:v>
                </c:pt>
                <c:pt idx="266">
                  <c:v>-0.72334520000000002</c:v>
                </c:pt>
                <c:pt idx="267">
                  <c:v>-0.7149778</c:v>
                </c:pt>
                <c:pt idx="268">
                  <c:v>2.00836E-2</c:v>
                </c:pt>
                <c:pt idx="269">
                  <c:v>-0.22448781000000001</c:v>
                </c:pt>
                <c:pt idx="270">
                  <c:v>0.27664348</c:v>
                </c:pt>
                <c:pt idx="271">
                  <c:v>-0.41752331999999998</c:v>
                </c:pt>
                <c:pt idx="272">
                  <c:v>-0.24481776</c:v>
                </c:pt>
                <c:pt idx="273">
                  <c:v>-0.25044601999999999</c:v>
                </c:pt>
                <c:pt idx="274">
                  <c:v>-0.71865140000000005</c:v>
                </c:pt>
                <c:pt idx="275">
                  <c:v>0.20723691999999999</c:v>
                </c:pt>
                <c:pt idx="276">
                  <c:v>-0.55032119999999995</c:v>
                </c:pt>
                <c:pt idx="277">
                  <c:v>-0.31692004000000001</c:v>
                </c:pt>
                <c:pt idx="278">
                  <c:v>-0.76936965999999996</c:v>
                </c:pt>
                <c:pt idx="279">
                  <c:v>-0.61295409999999995</c:v>
                </c:pt>
                <c:pt idx="280">
                  <c:v>-0.77116600000000002</c:v>
                </c:pt>
                <c:pt idx="281">
                  <c:v>-0.73806280000000002</c:v>
                </c:pt>
                <c:pt idx="282">
                  <c:v>-0.76436347000000004</c:v>
                </c:pt>
                <c:pt idx="283">
                  <c:v>-0.47171999999999997</c:v>
                </c:pt>
                <c:pt idx="284">
                  <c:v>-0.74484472999999995</c:v>
                </c:pt>
                <c:pt idx="285">
                  <c:v>-0.75910443000000005</c:v>
                </c:pt>
                <c:pt idx="286">
                  <c:v>-0.72223820000000005</c:v>
                </c:pt>
                <c:pt idx="287">
                  <c:v>-0.72868734999999996</c:v>
                </c:pt>
                <c:pt idx="288">
                  <c:v>-0.71726142999999998</c:v>
                </c:pt>
                <c:pt idx="289">
                  <c:v>-0.73462090000000002</c:v>
                </c:pt>
                <c:pt idx="290">
                  <c:v>-0.59240210000000004</c:v>
                </c:pt>
                <c:pt idx="291">
                  <c:v>-0.77222144999999998</c:v>
                </c:pt>
                <c:pt idx="292">
                  <c:v>-0.50514853000000004</c:v>
                </c:pt>
                <c:pt idx="293">
                  <c:v>-0.75149672999999995</c:v>
                </c:pt>
                <c:pt idx="294">
                  <c:v>-0.643818</c:v>
                </c:pt>
                <c:pt idx="295">
                  <c:v>-0.4643795</c:v>
                </c:pt>
                <c:pt idx="296">
                  <c:v>-0.70957820000000005</c:v>
                </c:pt>
                <c:pt idx="297">
                  <c:v>-0.71375363999999997</c:v>
                </c:pt>
                <c:pt idx="298">
                  <c:v>-0.74805564000000002</c:v>
                </c:pt>
                <c:pt idx="299">
                  <c:v>-0.73470736000000003</c:v>
                </c:pt>
                <c:pt idx="300">
                  <c:v>-0.28146369999999998</c:v>
                </c:pt>
                <c:pt idx="301">
                  <c:v>-0.77372843000000002</c:v>
                </c:pt>
                <c:pt idx="302">
                  <c:v>-0.57543427000000003</c:v>
                </c:pt>
                <c:pt idx="303">
                  <c:v>-0.69438654</c:v>
                </c:pt>
                <c:pt idx="304">
                  <c:v>0.12725334999999999</c:v>
                </c:pt>
                <c:pt idx="305">
                  <c:v>0.29485509999999998</c:v>
                </c:pt>
                <c:pt idx="306">
                  <c:v>-0.54991990000000002</c:v>
                </c:pt>
                <c:pt idx="307">
                  <c:v>5.9057989999999998E-2</c:v>
                </c:pt>
                <c:pt idx="308">
                  <c:v>-0.55989957000000001</c:v>
                </c:pt>
                <c:pt idx="309">
                  <c:v>0.17415238999999999</c:v>
                </c:pt>
                <c:pt idx="310">
                  <c:v>-0.729271</c:v>
                </c:pt>
                <c:pt idx="311">
                  <c:v>-0.14143559999999999</c:v>
                </c:pt>
                <c:pt idx="312">
                  <c:v>-0.47705328000000002</c:v>
                </c:pt>
                <c:pt idx="313">
                  <c:v>8.5675660000000001E-2</c:v>
                </c:pt>
                <c:pt idx="314">
                  <c:v>-0.14665175999999999</c:v>
                </c:pt>
                <c:pt idx="315">
                  <c:v>-0.29014030000000002</c:v>
                </c:pt>
                <c:pt idx="316">
                  <c:v>0.118398055</c:v>
                </c:pt>
                <c:pt idx="317">
                  <c:v>-0.66658300000000004</c:v>
                </c:pt>
                <c:pt idx="318">
                  <c:v>5.0301369999999998E-2</c:v>
                </c:pt>
                <c:pt idx="319">
                  <c:v>-0.34370956000000003</c:v>
                </c:pt>
                <c:pt idx="320">
                  <c:v>-4.6983709999999998E-2</c:v>
                </c:pt>
                <c:pt idx="321">
                  <c:v>0.14607376</c:v>
                </c:pt>
                <c:pt idx="322">
                  <c:v>0.37907123999999998</c:v>
                </c:pt>
                <c:pt idx="323">
                  <c:v>-0.62652105000000002</c:v>
                </c:pt>
                <c:pt idx="324">
                  <c:v>0.49568588000000002</c:v>
                </c:pt>
                <c:pt idx="325">
                  <c:v>0.3754033</c:v>
                </c:pt>
                <c:pt idx="326">
                  <c:v>-0.55755370000000004</c:v>
                </c:pt>
                <c:pt idx="327">
                  <c:v>0.51045763</c:v>
                </c:pt>
                <c:pt idx="328">
                  <c:v>-0.56589769999999995</c:v>
                </c:pt>
                <c:pt idx="329">
                  <c:v>-0.34601771999999997</c:v>
                </c:pt>
                <c:pt idx="330">
                  <c:v>0.21930126999999999</c:v>
                </c:pt>
                <c:pt idx="331">
                  <c:v>-0.41048166000000003</c:v>
                </c:pt>
                <c:pt idx="332">
                  <c:v>0.37764350000000002</c:v>
                </c:pt>
                <c:pt idx="333">
                  <c:v>-0.49657854000000001</c:v>
                </c:pt>
                <c:pt idx="334">
                  <c:v>0.22316504000000001</c:v>
                </c:pt>
                <c:pt idx="335">
                  <c:v>-0.23316914</c:v>
                </c:pt>
                <c:pt idx="336">
                  <c:v>-0.27379385000000001</c:v>
                </c:pt>
                <c:pt idx="337">
                  <c:v>-0.57102569999999997</c:v>
                </c:pt>
                <c:pt idx="338">
                  <c:v>-1.6008975000000002E-2</c:v>
                </c:pt>
                <c:pt idx="339">
                  <c:v>-0.44814932000000002</c:v>
                </c:pt>
                <c:pt idx="340">
                  <c:v>-0.38179287000000001</c:v>
                </c:pt>
                <c:pt idx="341">
                  <c:v>-0.13091808999999999</c:v>
                </c:pt>
                <c:pt idx="342">
                  <c:v>-0.41939789999999999</c:v>
                </c:pt>
                <c:pt idx="343">
                  <c:v>-0.58856019999999998</c:v>
                </c:pt>
                <c:pt idx="344">
                  <c:v>-0.31840318000000001</c:v>
                </c:pt>
                <c:pt idx="345">
                  <c:v>0.63281286000000003</c:v>
                </c:pt>
                <c:pt idx="346">
                  <c:v>-0.49903446000000001</c:v>
                </c:pt>
                <c:pt idx="347">
                  <c:v>-0.47195621999999998</c:v>
                </c:pt>
                <c:pt idx="348">
                  <c:v>-0.42364895000000002</c:v>
                </c:pt>
                <c:pt idx="349">
                  <c:v>-0.21522417999999999</c:v>
                </c:pt>
                <c:pt idx="350">
                  <c:v>-0.25490819999999997</c:v>
                </c:pt>
                <c:pt idx="351">
                  <c:v>-0.49764222000000002</c:v>
                </c:pt>
                <c:pt idx="352">
                  <c:v>-7.2924550000000005E-2</c:v>
                </c:pt>
                <c:pt idx="353">
                  <c:v>-0.23382859</c:v>
                </c:pt>
                <c:pt idx="354">
                  <c:v>-0.32068476000000001</c:v>
                </c:pt>
                <c:pt idx="355">
                  <c:v>-0.55924815000000005</c:v>
                </c:pt>
                <c:pt idx="356">
                  <c:v>-0.5179125</c:v>
                </c:pt>
                <c:pt idx="357">
                  <c:v>-0.27567342</c:v>
                </c:pt>
                <c:pt idx="358">
                  <c:v>-0.30672319999999997</c:v>
                </c:pt>
                <c:pt idx="359">
                  <c:v>-0.46346280000000001</c:v>
                </c:pt>
                <c:pt idx="360">
                  <c:v>-0.40665533999999998</c:v>
                </c:pt>
                <c:pt idx="361">
                  <c:v>-0.29934904000000001</c:v>
                </c:pt>
                <c:pt idx="362">
                  <c:v>-0.36195925000000001</c:v>
                </c:pt>
                <c:pt idx="363">
                  <c:v>-0.59193074999999995</c:v>
                </c:pt>
                <c:pt idx="364">
                  <c:v>-0.13675988</c:v>
                </c:pt>
                <c:pt idx="365">
                  <c:v>-0.38238242</c:v>
                </c:pt>
                <c:pt idx="366">
                  <c:v>-0.57176640000000001</c:v>
                </c:pt>
                <c:pt idx="367">
                  <c:v>-0.65461820000000004</c:v>
                </c:pt>
                <c:pt idx="368">
                  <c:v>0.12440518</c:v>
                </c:pt>
                <c:pt idx="369">
                  <c:v>-0.54797499999999999</c:v>
                </c:pt>
                <c:pt idx="370">
                  <c:v>-0.21249533000000001</c:v>
                </c:pt>
                <c:pt idx="371">
                  <c:v>-0.59207904</c:v>
                </c:pt>
                <c:pt idx="372">
                  <c:v>-0.19679696999999999</c:v>
                </c:pt>
                <c:pt idx="373">
                  <c:v>0.31073010000000001</c:v>
                </c:pt>
                <c:pt idx="374">
                  <c:v>-0.67934185000000002</c:v>
                </c:pt>
                <c:pt idx="375">
                  <c:v>0.47402558</c:v>
                </c:pt>
                <c:pt idx="376">
                  <c:v>-0.41131127000000001</c:v>
                </c:pt>
                <c:pt idx="377">
                  <c:v>-2.8713537000000001E-2</c:v>
                </c:pt>
                <c:pt idx="378">
                  <c:v>-0.24980462</c:v>
                </c:pt>
                <c:pt idx="379">
                  <c:v>0.53903500000000004</c:v>
                </c:pt>
                <c:pt idx="380">
                  <c:v>-0.5639459</c:v>
                </c:pt>
                <c:pt idx="381">
                  <c:v>0.33703125</c:v>
                </c:pt>
                <c:pt idx="382">
                  <c:v>-0.10307767</c:v>
                </c:pt>
                <c:pt idx="383">
                  <c:v>-0.55625349999999996</c:v>
                </c:pt>
                <c:pt idx="384">
                  <c:v>6.0624782000000002E-2</c:v>
                </c:pt>
                <c:pt idx="385">
                  <c:v>-0.65276396000000003</c:v>
                </c:pt>
                <c:pt idx="386">
                  <c:v>-0.15282746</c:v>
                </c:pt>
                <c:pt idx="387">
                  <c:v>-0.45268821999999997</c:v>
                </c:pt>
                <c:pt idx="388">
                  <c:v>-0.73511490000000002</c:v>
                </c:pt>
                <c:pt idx="389">
                  <c:v>-0.33937052000000001</c:v>
                </c:pt>
                <c:pt idx="390">
                  <c:v>-0.6034619</c:v>
                </c:pt>
                <c:pt idx="391">
                  <c:v>-0.56953699999999996</c:v>
                </c:pt>
                <c:pt idx="392">
                  <c:v>-0.73031974</c:v>
                </c:pt>
                <c:pt idx="393">
                  <c:v>-0.48259004999999999</c:v>
                </c:pt>
                <c:pt idx="394">
                  <c:v>-0.68514540000000002</c:v>
                </c:pt>
                <c:pt idx="395">
                  <c:v>-0.45666479999999998</c:v>
                </c:pt>
                <c:pt idx="396">
                  <c:v>-0.6828071</c:v>
                </c:pt>
                <c:pt idx="397">
                  <c:v>-0.73473679999999997</c:v>
                </c:pt>
                <c:pt idx="398">
                  <c:v>-0.662574</c:v>
                </c:pt>
                <c:pt idx="399">
                  <c:v>-0.59467804000000002</c:v>
                </c:pt>
                <c:pt idx="400">
                  <c:v>-0.73250150000000003</c:v>
                </c:pt>
                <c:pt idx="401">
                  <c:v>-0.74754863999999999</c:v>
                </c:pt>
                <c:pt idx="402">
                  <c:v>-0.38251898000000001</c:v>
                </c:pt>
                <c:pt idx="403">
                  <c:v>-0.73595876000000005</c:v>
                </c:pt>
                <c:pt idx="404">
                  <c:v>0.88550289999999998</c:v>
                </c:pt>
                <c:pt idx="405">
                  <c:v>-0.16738528</c:v>
                </c:pt>
                <c:pt idx="406">
                  <c:v>-0.66523224000000003</c:v>
                </c:pt>
                <c:pt idx="407">
                  <c:v>0.25748929999999998</c:v>
                </c:pt>
                <c:pt idx="408">
                  <c:v>-0.44593381999999998</c:v>
                </c:pt>
                <c:pt idx="409">
                  <c:v>0.91136320000000004</c:v>
                </c:pt>
                <c:pt idx="410">
                  <c:v>0.53187090000000004</c:v>
                </c:pt>
                <c:pt idx="411">
                  <c:v>0.39595904999999998</c:v>
                </c:pt>
                <c:pt idx="412">
                  <c:v>-0.45426947000000001</c:v>
                </c:pt>
                <c:pt idx="413">
                  <c:v>0.73144144</c:v>
                </c:pt>
                <c:pt idx="414">
                  <c:v>0.53249013000000001</c:v>
                </c:pt>
                <c:pt idx="415">
                  <c:v>0.50936210000000004</c:v>
                </c:pt>
                <c:pt idx="416">
                  <c:v>0.54919839999999998</c:v>
                </c:pt>
                <c:pt idx="417">
                  <c:v>0.51716549999999994</c:v>
                </c:pt>
                <c:pt idx="418">
                  <c:v>0.27901989999999999</c:v>
                </c:pt>
                <c:pt idx="419">
                  <c:v>2.1367720999999999E-2</c:v>
                </c:pt>
                <c:pt idx="420">
                  <c:v>0.48396879999999998</c:v>
                </c:pt>
                <c:pt idx="421">
                  <c:v>0.6915192</c:v>
                </c:pt>
                <c:pt idx="422">
                  <c:v>7.9968910000000004E-2</c:v>
                </c:pt>
                <c:pt idx="423">
                  <c:v>0.58496219999999999</c:v>
                </c:pt>
                <c:pt idx="424">
                  <c:v>0.55350213999999998</c:v>
                </c:pt>
                <c:pt idx="425">
                  <c:v>-0.32426673</c:v>
                </c:pt>
                <c:pt idx="426">
                  <c:v>7.6740957000000004E-4</c:v>
                </c:pt>
                <c:pt idx="427">
                  <c:v>0.27071183999999998</c:v>
                </c:pt>
                <c:pt idx="428">
                  <c:v>5.9996430000000003E-2</c:v>
                </c:pt>
                <c:pt idx="429">
                  <c:v>0.15477573999999999</c:v>
                </c:pt>
                <c:pt idx="430">
                  <c:v>-0.30314487000000001</c:v>
                </c:pt>
                <c:pt idx="431">
                  <c:v>-0.21810909000000001</c:v>
                </c:pt>
                <c:pt idx="432">
                  <c:v>-0.25860741999999998</c:v>
                </c:pt>
                <c:pt idx="433">
                  <c:v>0.10271962</c:v>
                </c:pt>
                <c:pt idx="434">
                  <c:v>-0.28268917999999998</c:v>
                </c:pt>
                <c:pt idx="435">
                  <c:v>-9.9323649999999999E-2</c:v>
                </c:pt>
                <c:pt idx="436">
                  <c:v>-0.19107546</c:v>
                </c:pt>
                <c:pt idx="437">
                  <c:v>-0.43850517</c:v>
                </c:pt>
                <c:pt idx="438">
                  <c:v>-0.32003500000000001</c:v>
                </c:pt>
                <c:pt idx="439">
                  <c:v>-0.47186038000000002</c:v>
                </c:pt>
                <c:pt idx="440">
                  <c:v>-0.48845005000000002</c:v>
                </c:pt>
                <c:pt idx="441">
                  <c:v>-0.48343663999999997</c:v>
                </c:pt>
                <c:pt idx="442">
                  <c:v>-0.55485326000000001</c:v>
                </c:pt>
                <c:pt idx="443">
                  <c:v>-0.65741324000000001</c:v>
                </c:pt>
                <c:pt idx="444">
                  <c:v>-0.51492320000000003</c:v>
                </c:pt>
                <c:pt idx="445">
                  <c:v>-0.67534625999999998</c:v>
                </c:pt>
                <c:pt idx="446">
                  <c:v>-0.69267350000000005</c:v>
                </c:pt>
                <c:pt idx="447">
                  <c:v>-0.69484520000000005</c:v>
                </c:pt>
                <c:pt idx="448">
                  <c:v>-0.58470195999999997</c:v>
                </c:pt>
                <c:pt idx="449">
                  <c:v>-0.70851129999999996</c:v>
                </c:pt>
                <c:pt idx="450">
                  <c:v>-0.70632832999999995</c:v>
                </c:pt>
                <c:pt idx="451">
                  <c:v>-0.68586480000000005</c:v>
                </c:pt>
                <c:pt idx="452">
                  <c:v>-0.70924050000000005</c:v>
                </c:pt>
                <c:pt idx="453">
                  <c:v>-0.68707110000000005</c:v>
                </c:pt>
                <c:pt idx="454">
                  <c:v>-0.74816439999999995</c:v>
                </c:pt>
                <c:pt idx="455">
                  <c:v>-0.27897306999999999</c:v>
                </c:pt>
                <c:pt idx="456">
                  <c:v>-0.75184510000000004</c:v>
                </c:pt>
                <c:pt idx="457">
                  <c:v>-0.35905206000000001</c:v>
                </c:pt>
                <c:pt idx="458">
                  <c:v>-0.74744549999999998</c:v>
                </c:pt>
                <c:pt idx="459">
                  <c:v>-0.76172720000000005</c:v>
                </c:pt>
                <c:pt idx="460">
                  <c:v>-0.15463742999999999</c:v>
                </c:pt>
                <c:pt idx="461">
                  <c:v>-0.75534040000000002</c:v>
                </c:pt>
                <c:pt idx="462">
                  <c:v>-0.65006039999999998</c:v>
                </c:pt>
                <c:pt idx="463">
                  <c:v>-0.68424189999999996</c:v>
                </c:pt>
                <c:pt idx="464">
                  <c:v>-0.72099939999999996</c:v>
                </c:pt>
                <c:pt idx="465">
                  <c:v>-0.73343164000000005</c:v>
                </c:pt>
                <c:pt idx="466">
                  <c:v>-0.59499763999999999</c:v>
                </c:pt>
                <c:pt idx="467">
                  <c:v>-0.74120945000000005</c:v>
                </c:pt>
                <c:pt idx="468">
                  <c:v>-0.2186379</c:v>
                </c:pt>
                <c:pt idx="469">
                  <c:v>-0.67866769999999998</c:v>
                </c:pt>
                <c:pt idx="470">
                  <c:v>-0.69848440000000001</c:v>
                </c:pt>
                <c:pt idx="471">
                  <c:v>-0.46821724999999997</c:v>
                </c:pt>
                <c:pt idx="472">
                  <c:v>3.6255627999999998E-2</c:v>
                </c:pt>
                <c:pt idx="473">
                  <c:v>-0.77712329999999996</c:v>
                </c:pt>
                <c:pt idx="474">
                  <c:v>5.2348512999999999E-2</c:v>
                </c:pt>
                <c:pt idx="475">
                  <c:v>-0.76027999999999996</c:v>
                </c:pt>
                <c:pt idx="476">
                  <c:v>-0.76495963</c:v>
                </c:pt>
                <c:pt idx="477">
                  <c:v>-0.37581608</c:v>
                </c:pt>
                <c:pt idx="478">
                  <c:v>-0.76700619999999997</c:v>
                </c:pt>
                <c:pt idx="479">
                  <c:v>-0.62612259999999997</c:v>
                </c:pt>
                <c:pt idx="480">
                  <c:v>-0.7789606</c:v>
                </c:pt>
                <c:pt idx="481">
                  <c:v>-0.66874164000000003</c:v>
                </c:pt>
                <c:pt idx="482">
                  <c:v>-0.77705639999999998</c:v>
                </c:pt>
                <c:pt idx="483">
                  <c:v>-0.69075660000000005</c:v>
                </c:pt>
                <c:pt idx="484">
                  <c:v>-0.67829200000000001</c:v>
                </c:pt>
                <c:pt idx="485">
                  <c:v>-0.49063372999999999</c:v>
                </c:pt>
                <c:pt idx="486">
                  <c:v>-0.75195400000000001</c:v>
                </c:pt>
                <c:pt idx="487">
                  <c:v>-0.76955450000000003</c:v>
                </c:pt>
                <c:pt idx="488">
                  <c:v>-0.77256924000000005</c:v>
                </c:pt>
                <c:pt idx="489">
                  <c:v>-0.77324539999999997</c:v>
                </c:pt>
                <c:pt idx="490">
                  <c:v>-0.76912650000000005</c:v>
                </c:pt>
                <c:pt idx="491">
                  <c:v>-0.76695853000000003</c:v>
                </c:pt>
                <c:pt idx="492">
                  <c:v>-0.57558129999999996</c:v>
                </c:pt>
                <c:pt idx="493">
                  <c:v>-0.77489750000000002</c:v>
                </c:pt>
                <c:pt idx="494">
                  <c:v>-0.77499169999999995</c:v>
                </c:pt>
                <c:pt idx="495">
                  <c:v>-0.73179150000000004</c:v>
                </c:pt>
                <c:pt idx="496">
                  <c:v>-0.76373946999999998</c:v>
                </c:pt>
                <c:pt idx="497">
                  <c:v>-0.7716208</c:v>
                </c:pt>
                <c:pt idx="498">
                  <c:v>-0.76003516000000004</c:v>
                </c:pt>
                <c:pt idx="499">
                  <c:v>-0.76607966000000005</c:v>
                </c:pt>
                <c:pt idx="500">
                  <c:v>-0.75794479999999997</c:v>
                </c:pt>
                <c:pt idx="501">
                  <c:v>-0.75269600000000003</c:v>
                </c:pt>
                <c:pt idx="502">
                  <c:v>-0.57969420000000005</c:v>
                </c:pt>
                <c:pt idx="503">
                  <c:v>0.34592053</c:v>
                </c:pt>
                <c:pt idx="504">
                  <c:v>0.36494112000000001</c:v>
                </c:pt>
                <c:pt idx="505">
                  <c:v>0.43399664999999998</c:v>
                </c:pt>
                <c:pt idx="506">
                  <c:v>0.43135536000000002</c:v>
                </c:pt>
                <c:pt idx="507">
                  <c:v>0.55127155999999999</c:v>
                </c:pt>
                <c:pt idx="508">
                  <c:v>0.54089069999999995</c:v>
                </c:pt>
                <c:pt idx="509">
                  <c:v>0.58592032999999999</c:v>
                </c:pt>
                <c:pt idx="510">
                  <c:v>0.43162035999999998</c:v>
                </c:pt>
                <c:pt idx="511">
                  <c:v>0.43958458</c:v>
                </c:pt>
                <c:pt idx="512">
                  <c:v>0.62246710000000005</c:v>
                </c:pt>
                <c:pt idx="513">
                  <c:v>0.46403440000000001</c:v>
                </c:pt>
                <c:pt idx="514">
                  <c:v>0.63821459999999997</c:v>
                </c:pt>
                <c:pt idx="515">
                  <c:v>0.47330739999999999</c:v>
                </c:pt>
                <c:pt idx="516">
                  <c:v>0.43927047000000002</c:v>
                </c:pt>
                <c:pt idx="517">
                  <c:v>0.57936542999999996</c:v>
                </c:pt>
                <c:pt idx="518">
                  <c:v>0.5972421</c:v>
                </c:pt>
                <c:pt idx="519">
                  <c:v>0.61295200000000005</c:v>
                </c:pt>
                <c:pt idx="520">
                  <c:v>0.4378628</c:v>
                </c:pt>
                <c:pt idx="521">
                  <c:v>0.71365829999999997</c:v>
                </c:pt>
                <c:pt idx="522">
                  <c:v>0.72107536000000005</c:v>
                </c:pt>
                <c:pt idx="523">
                  <c:v>0.59412290000000001</c:v>
                </c:pt>
                <c:pt idx="524">
                  <c:v>0.60945439999999995</c:v>
                </c:pt>
                <c:pt idx="525">
                  <c:v>0.73958652999999996</c:v>
                </c:pt>
                <c:pt idx="526">
                  <c:v>0.73588540000000002</c:v>
                </c:pt>
                <c:pt idx="527">
                  <c:v>0.22795605999999999</c:v>
                </c:pt>
                <c:pt idx="528">
                  <c:v>0.40997561999999999</c:v>
                </c:pt>
                <c:pt idx="529">
                  <c:v>0.44137207000000001</c:v>
                </c:pt>
                <c:pt idx="530">
                  <c:v>0.18092981999999999</c:v>
                </c:pt>
                <c:pt idx="531">
                  <c:v>0.11896727999999999</c:v>
                </c:pt>
                <c:pt idx="532">
                  <c:v>0.109396085</c:v>
                </c:pt>
                <c:pt idx="533">
                  <c:v>-5.8992747000000002E-3</c:v>
                </c:pt>
                <c:pt idx="534">
                  <c:v>-4.2789765E-2</c:v>
                </c:pt>
                <c:pt idx="535">
                  <c:v>-8.3583310000000001E-3</c:v>
                </c:pt>
                <c:pt idx="536">
                  <c:v>-3.1247186E-2</c:v>
                </c:pt>
                <c:pt idx="537">
                  <c:v>-0.11854902</c:v>
                </c:pt>
                <c:pt idx="538">
                  <c:v>-0.22478809999999999</c:v>
                </c:pt>
                <c:pt idx="539">
                  <c:v>-0.26747745000000001</c:v>
                </c:pt>
                <c:pt idx="540">
                  <c:v>-0.23094349</c:v>
                </c:pt>
                <c:pt idx="541">
                  <c:v>-0.10202506</c:v>
                </c:pt>
                <c:pt idx="542">
                  <c:v>-0.14112815000000001</c:v>
                </c:pt>
                <c:pt idx="543">
                  <c:v>-9.9204323999999997E-2</c:v>
                </c:pt>
                <c:pt idx="544">
                  <c:v>-0.27092444999999998</c:v>
                </c:pt>
                <c:pt idx="545">
                  <c:v>-0.30819279999999999</c:v>
                </c:pt>
                <c:pt idx="546">
                  <c:v>-0.16840972000000001</c:v>
                </c:pt>
                <c:pt idx="547">
                  <c:v>4.0377980000000001E-2</c:v>
                </c:pt>
                <c:pt idx="548">
                  <c:v>-2.213072E-2</c:v>
                </c:pt>
                <c:pt idx="549">
                  <c:v>-1.9487197000000001E-2</c:v>
                </c:pt>
                <c:pt idx="550">
                  <c:v>0.26426929999999998</c:v>
                </c:pt>
                <c:pt idx="551">
                  <c:v>0.33911276000000001</c:v>
                </c:pt>
                <c:pt idx="552">
                  <c:v>0.32856237999999999</c:v>
                </c:pt>
                <c:pt idx="553">
                  <c:v>0.2356704</c:v>
                </c:pt>
                <c:pt idx="554">
                  <c:v>0.20351395</c:v>
                </c:pt>
                <c:pt idx="555">
                  <c:v>0.30343172000000002</c:v>
                </c:pt>
                <c:pt idx="556">
                  <c:v>0.16183882999999999</c:v>
                </c:pt>
                <c:pt idx="557">
                  <c:v>0.21565165</c:v>
                </c:pt>
                <c:pt idx="558">
                  <c:v>0.60164576999999997</c:v>
                </c:pt>
                <c:pt idx="559">
                  <c:v>0.62190080000000003</c:v>
                </c:pt>
                <c:pt idx="560">
                  <c:v>0.20988427000000001</c:v>
                </c:pt>
                <c:pt idx="561">
                  <c:v>0.58947450000000001</c:v>
                </c:pt>
                <c:pt idx="562">
                  <c:v>0.58266616000000004</c:v>
                </c:pt>
                <c:pt idx="563">
                  <c:v>0.48032466000000001</c:v>
                </c:pt>
                <c:pt idx="564">
                  <c:v>0.67193539999999996</c:v>
                </c:pt>
                <c:pt idx="565">
                  <c:v>0.60090440000000001</c:v>
                </c:pt>
                <c:pt idx="566">
                  <c:v>0.57953460000000001</c:v>
                </c:pt>
                <c:pt idx="567">
                  <c:v>0.59560299999999999</c:v>
                </c:pt>
                <c:pt idx="568">
                  <c:v>0.67045900000000003</c:v>
                </c:pt>
                <c:pt idx="569">
                  <c:v>0.65767085999999997</c:v>
                </c:pt>
                <c:pt idx="570">
                  <c:v>0.61252169999999995</c:v>
                </c:pt>
                <c:pt idx="571">
                  <c:v>0.62412409999999996</c:v>
                </c:pt>
                <c:pt idx="572">
                  <c:v>0.59480107000000004</c:v>
                </c:pt>
                <c:pt idx="573">
                  <c:v>0.60136973999999999</c:v>
                </c:pt>
                <c:pt idx="574">
                  <c:v>0.57232890000000003</c:v>
                </c:pt>
                <c:pt idx="575">
                  <c:v>0.53442674999999995</c:v>
                </c:pt>
                <c:pt idx="576">
                  <c:v>0.54768459999999997</c:v>
                </c:pt>
                <c:pt idx="577">
                  <c:v>0.58803470000000002</c:v>
                </c:pt>
                <c:pt idx="578">
                  <c:v>0.61933786000000002</c:v>
                </c:pt>
                <c:pt idx="579">
                  <c:v>0.62719279999999999</c:v>
                </c:pt>
                <c:pt idx="580">
                  <c:v>0.64794432999999996</c:v>
                </c:pt>
                <c:pt idx="581">
                  <c:v>0.65714360000000005</c:v>
                </c:pt>
                <c:pt idx="582">
                  <c:v>0.62818103999999997</c:v>
                </c:pt>
                <c:pt idx="583">
                  <c:v>0.63863426000000001</c:v>
                </c:pt>
                <c:pt idx="584">
                  <c:v>0.66456079999999995</c:v>
                </c:pt>
                <c:pt idx="585">
                  <c:v>0.66874929999999999</c:v>
                </c:pt>
                <c:pt idx="586">
                  <c:v>0.68552900000000005</c:v>
                </c:pt>
                <c:pt idx="587">
                  <c:v>0.69329584</c:v>
                </c:pt>
                <c:pt idx="588">
                  <c:v>0.65848386000000003</c:v>
                </c:pt>
                <c:pt idx="589">
                  <c:v>0.63908489999999996</c:v>
                </c:pt>
                <c:pt idx="590">
                  <c:v>0.65084589999999998</c:v>
                </c:pt>
                <c:pt idx="591">
                  <c:v>0.6058135</c:v>
                </c:pt>
                <c:pt idx="592">
                  <c:v>0.55528429999999995</c:v>
                </c:pt>
                <c:pt idx="593">
                  <c:v>0.53488270000000004</c:v>
                </c:pt>
                <c:pt idx="594">
                  <c:v>0.54412990000000006</c:v>
                </c:pt>
                <c:pt idx="595">
                  <c:v>0.59754896000000002</c:v>
                </c:pt>
                <c:pt idx="596">
                  <c:v>0.51406870000000005</c:v>
                </c:pt>
                <c:pt idx="597">
                  <c:v>0.51796454000000003</c:v>
                </c:pt>
                <c:pt idx="598">
                  <c:v>0.52131899999999998</c:v>
                </c:pt>
                <c:pt idx="599">
                  <c:v>0.4494264</c:v>
                </c:pt>
                <c:pt idx="600">
                  <c:v>0.49667093000000001</c:v>
                </c:pt>
                <c:pt idx="601">
                  <c:v>0.49250817000000002</c:v>
                </c:pt>
                <c:pt idx="602">
                  <c:v>0.51972960000000001</c:v>
                </c:pt>
                <c:pt idx="603">
                  <c:v>0.54805610000000005</c:v>
                </c:pt>
                <c:pt idx="604">
                  <c:v>0.61238289999999995</c:v>
                </c:pt>
                <c:pt idx="605">
                  <c:v>0.47833221999999997</c:v>
                </c:pt>
                <c:pt idx="606">
                  <c:v>0.56788766000000002</c:v>
                </c:pt>
                <c:pt idx="607">
                  <c:v>0.47738886000000003</c:v>
                </c:pt>
                <c:pt idx="608">
                  <c:v>0.4934328</c:v>
                </c:pt>
                <c:pt idx="609">
                  <c:v>0.49307440000000002</c:v>
                </c:pt>
                <c:pt idx="610">
                  <c:v>0.44267145000000002</c:v>
                </c:pt>
                <c:pt idx="611">
                  <c:v>0.4887917</c:v>
                </c:pt>
                <c:pt idx="612">
                  <c:v>0.46290720000000002</c:v>
                </c:pt>
                <c:pt idx="613">
                  <c:v>0.44426381999999998</c:v>
                </c:pt>
                <c:pt idx="614">
                  <c:v>0.43250771999999998</c:v>
                </c:pt>
                <c:pt idx="615">
                  <c:v>0.45434841999999998</c:v>
                </c:pt>
                <c:pt idx="616">
                  <c:v>0.40936935000000002</c:v>
                </c:pt>
                <c:pt idx="617">
                  <c:v>0.44068298</c:v>
                </c:pt>
                <c:pt idx="618">
                  <c:v>0.41073292</c:v>
                </c:pt>
                <c:pt idx="619">
                  <c:v>0.46447181999999998</c:v>
                </c:pt>
                <c:pt idx="620">
                  <c:v>0.39635239999999999</c:v>
                </c:pt>
                <c:pt idx="621">
                  <c:v>0.45999867</c:v>
                </c:pt>
                <c:pt idx="622">
                  <c:v>0.37598093999999999</c:v>
                </c:pt>
                <c:pt idx="623">
                  <c:v>0.52134776000000005</c:v>
                </c:pt>
                <c:pt idx="624">
                  <c:v>0.42280659999999998</c:v>
                </c:pt>
                <c:pt idx="625">
                  <c:v>0.51355320000000004</c:v>
                </c:pt>
                <c:pt idx="626">
                  <c:v>0.41769737000000001</c:v>
                </c:pt>
                <c:pt idx="627">
                  <c:v>0.44023364999999998</c:v>
                </c:pt>
                <c:pt idx="628">
                  <c:v>0.41906947</c:v>
                </c:pt>
                <c:pt idx="629">
                  <c:v>0.48907286</c:v>
                </c:pt>
                <c:pt idx="630">
                  <c:v>0.35766693999999999</c:v>
                </c:pt>
                <c:pt idx="631">
                  <c:v>0.29778316999999999</c:v>
                </c:pt>
                <c:pt idx="632">
                  <c:v>0.28072548000000003</c:v>
                </c:pt>
                <c:pt idx="633">
                  <c:v>0.3304742</c:v>
                </c:pt>
                <c:pt idx="634">
                  <c:v>0.45757397999999999</c:v>
                </c:pt>
                <c:pt idx="635">
                  <c:v>0.30508479999999999</c:v>
                </c:pt>
                <c:pt idx="636">
                  <c:v>0.36352253000000001</c:v>
                </c:pt>
                <c:pt idx="637">
                  <c:v>0.40484923</c:v>
                </c:pt>
                <c:pt idx="638">
                  <c:v>0.33941874</c:v>
                </c:pt>
                <c:pt idx="639">
                  <c:v>0.36661064999999998</c:v>
                </c:pt>
                <c:pt idx="640">
                  <c:v>0.43553903999999999</c:v>
                </c:pt>
                <c:pt idx="641">
                  <c:v>0.41500779999999998</c:v>
                </c:pt>
                <c:pt idx="642">
                  <c:v>0.38032221999999999</c:v>
                </c:pt>
                <c:pt idx="643">
                  <c:v>0.38052010000000003</c:v>
                </c:pt>
                <c:pt idx="644">
                  <c:v>0.38960642000000001</c:v>
                </c:pt>
                <c:pt idx="645">
                  <c:v>0.46595383000000001</c:v>
                </c:pt>
                <c:pt idx="646">
                  <c:v>0.55662219999999996</c:v>
                </c:pt>
                <c:pt idx="647">
                  <c:v>0.52900309999999995</c:v>
                </c:pt>
                <c:pt idx="648">
                  <c:v>0.46779949999999998</c:v>
                </c:pt>
                <c:pt idx="649">
                  <c:v>0.49992599999999998</c:v>
                </c:pt>
                <c:pt idx="650">
                  <c:v>0.45886278000000003</c:v>
                </c:pt>
                <c:pt idx="651">
                  <c:v>0.47065812000000001</c:v>
                </c:pt>
                <c:pt idx="652">
                  <c:v>0.46500661999999998</c:v>
                </c:pt>
                <c:pt idx="653">
                  <c:v>0.42694658000000002</c:v>
                </c:pt>
                <c:pt idx="654">
                  <c:v>0.45202737999999998</c:v>
                </c:pt>
                <c:pt idx="655">
                  <c:v>0.44980657000000002</c:v>
                </c:pt>
                <c:pt idx="656">
                  <c:v>0.46954304000000002</c:v>
                </c:pt>
                <c:pt idx="657">
                  <c:v>0.43668938000000002</c:v>
                </c:pt>
                <c:pt idx="658">
                  <c:v>0.32432810000000001</c:v>
                </c:pt>
                <c:pt idx="659">
                  <c:v>0.44760372999999998</c:v>
                </c:pt>
                <c:pt idx="660">
                  <c:v>0.27940505999999998</c:v>
                </c:pt>
                <c:pt idx="661">
                  <c:v>0.32807281999999999</c:v>
                </c:pt>
                <c:pt idx="662">
                  <c:v>0.34664175000000003</c:v>
                </c:pt>
                <c:pt idx="663">
                  <c:v>0.34920296000000001</c:v>
                </c:pt>
                <c:pt idx="664">
                  <c:v>0.3620237</c:v>
                </c:pt>
                <c:pt idx="665">
                  <c:v>0.35597099999999998</c:v>
                </c:pt>
                <c:pt idx="666">
                  <c:v>0.24879076999999999</c:v>
                </c:pt>
                <c:pt idx="667">
                  <c:v>0.25404127999999998</c:v>
                </c:pt>
                <c:pt idx="668">
                  <c:v>0.38432556000000001</c:v>
                </c:pt>
                <c:pt idx="669">
                  <c:v>0.32370004000000002</c:v>
                </c:pt>
                <c:pt idx="670">
                  <c:v>0.46035894999999999</c:v>
                </c:pt>
                <c:pt idx="671">
                  <c:v>0.40934056000000002</c:v>
                </c:pt>
                <c:pt idx="672">
                  <c:v>0.41138439999999998</c:v>
                </c:pt>
                <c:pt idx="673">
                  <c:v>0.43192111999999999</c:v>
                </c:pt>
                <c:pt idx="674">
                  <c:v>0.42399573000000002</c:v>
                </c:pt>
                <c:pt idx="675">
                  <c:v>0.41103718</c:v>
                </c:pt>
                <c:pt idx="676">
                  <c:v>0.37743154000000001</c:v>
                </c:pt>
                <c:pt idx="677">
                  <c:v>0.37844524000000002</c:v>
                </c:pt>
                <c:pt idx="678">
                  <c:v>0.43218738000000001</c:v>
                </c:pt>
                <c:pt idx="679">
                  <c:v>0.37226883</c:v>
                </c:pt>
                <c:pt idx="680">
                  <c:v>0.43947839999999999</c:v>
                </c:pt>
                <c:pt idx="681">
                  <c:v>0.50315266999999997</c:v>
                </c:pt>
                <c:pt idx="682">
                  <c:v>0.40302628000000001</c:v>
                </c:pt>
                <c:pt idx="683">
                  <c:v>0.42151250000000001</c:v>
                </c:pt>
                <c:pt idx="684">
                  <c:v>0.35979554000000002</c:v>
                </c:pt>
                <c:pt idx="685">
                  <c:v>0.40085924000000001</c:v>
                </c:pt>
                <c:pt idx="686">
                  <c:v>0.46756235000000002</c:v>
                </c:pt>
                <c:pt idx="687">
                  <c:v>0.42559720000000001</c:v>
                </c:pt>
                <c:pt idx="688">
                  <c:v>0.40717681999999999</c:v>
                </c:pt>
                <c:pt idx="689">
                  <c:v>0.32546522999999999</c:v>
                </c:pt>
                <c:pt idx="690">
                  <c:v>0.32768983000000002</c:v>
                </c:pt>
                <c:pt idx="691">
                  <c:v>0.27306837</c:v>
                </c:pt>
                <c:pt idx="692">
                  <c:v>0.3047147</c:v>
                </c:pt>
                <c:pt idx="693">
                  <c:v>0.30467430000000001</c:v>
                </c:pt>
                <c:pt idx="694">
                  <c:v>0.42827013000000003</c:v>
                </c:pt>
                <c:pt idx="695">
                  <c:v>0.43661052</c:v>
                </c:pt>
                <c:pt idx="696">
                  <c:v>0.40715119999999999</c:v>
                </c:pt>
                <c:pt idx="697">
                  <c:v>0.41348513999999997</c:v>
                </c:pt>
                <c:pt idx="698">
                  <c:v>0.79546419999999995</c:v>
                </c:pt>
                <c:pt idx="699">
                  <c:v>0.80229289999999998</c:v>
                </c:pt>
                <c:pt idx="700">
                  <c:v>0.71342563999999997</c:v>
                </c:pt>
                <c:pt idx="701">
                  <c:v>0.80653213999999995</c:v>
                </c:pt>
                <c:pt idx="702">
                  <c:v>0.64106739999999995</c:v>
                </c:pt>
                <c:pt idx="703">
                  <c:v>0.75576140000000003</c:v>
                </c:pt>
                <c:pt idx="704">
                  <c:v>0.81576585999999995</c:v>
                </c:pt>
                <c:pt idx="705">
                  <c:v>0.81862639999999998</c:v>
                </c:pt>
                <c:pt idx="706">
                  <c:v>0.83614695000000006</c:v>
                </c:pt>
                <c:pt idx="707">
                  <c:v>0.84038259999999998</c:v>
                </c:pt>
                <c:pt idx="708">
                  <c:v>0.84290690000000001</c:v>
                </c:pt>
                <c:pt idx="709">
                  <c:v>0.82788609999999996</c:v>
                </c:pt>
                <c:pt idx="710">
                  <c:v>0.84515315000000002</c:v>
                </c:pt>
                <c:pt idx="711">
                  <c:v>0.84130185999999996</c:v>
                </c:pt>
                <c:pt idx="712">
                  <c:v>0.81200280000000002</c:v>
                </c:pt>
                <c:pt idx="713">
                  <c:v>0.78867774999999996</c:v>
                </c:pt>
                <c:pt idx="714">
                  <c:v>0.75960450000000002</c:v>
                </c:pt>
                <c:pt idx="715">
                  <c:v>0.73635519999999999</c:v>
                </c:pt>
                <c:pt idx="716">
                  <c:v>0.72325194000000004</c:v>
                </c:pt>
                <c:pt idx="717">
                  <c:v>0.69859150000000003</c:v>
                </c:pt>
                <c:pt idx="718">
                  <c:v>0.65155107000000001</c:v>
                </c:pt>
                <c:pt idx="719">
                  <c:v>0.63534415</c:v>
                </c:pt>
                <c:pt idx="720">
                  <c:v>0.65622239999999998</c:v>
                </c:pt>
                <c:pt idx="721">
                  <c:v>0.67160989999999998</c:v>
                </c:pt>
                <c:pt idx="722">
                  <c:v>0.68633580000000005</c:v>
                </c:pt>
                <c:pt idx="723">
                  <c:v>0.66674940000000005</c:v>
                </c:pt>
                <c:pt idx="724">
                  <c:v>0.65805000000000002</c:v>
                </c:pt>
                <c:pt idx="725">
                  <c:v>0.61377174000000001</c:v>
                </c:pt>
                <c:pt idx="726">
                  <c:v>0.57124819999999998</c:v>
                </c:pt>
                <c:pt idx="727">
                  <c:v>0.53654029999999997</c:v>
                </c:pt>
                <c:pt idx="728">
                  <c:v>0.5914102</c:v>
                </c:pt>
                <c:pt idx="729">
                  <c:v>0.53350710000000001</c:v>
                </c:pt>
                <c:pt idx="730">
                  <c:v>0.60334690000000002</c:v>
                </c:pt>
                <c:pt idx="731">
                  <c:v>0.54967880000000002</c:v>
                </c:pt>
                <c:pt idx="732">
                  <c:v>0.56823380000000001</c:v>
                </c:pt>
                <c:pt idx="733">
                  <c:v>0.51431879999999996</c:v>
                </c:pt>
                <c:pt idx="734">
                  <c:v>0.51855176999999997</c:v>
                </c:pt>
                <c:pt idx="735">
                  <c:v>0.50187329999999997</c:v>
                </c:pt>
                <c:pt idx="736">
                  <c:v>0.42755853999999999</c:v>
                </c:pt>
                <c:pt idx="737">
                  <c:v>0.50991489999999995</c:v>
                </c:pt>
                <c:pt idx="738">
                  <c:v>0.48129126</c:v>
                </c:pt>
                <c:pt idx="739">
                  <c:v>0.38270852</c:v>
                </c:pt>
                <c:pt idx="740">
                  <c:v>0.44567509999999999</c:v>
                </c:pt>
                <c:pt idx="741">
                  <c:v>0.39677456</c:v>
                </c:pt>
                <c:pt idx="742">
                  <c:v>0.40082476</c:v>
                </c:pt>
                <c:pt idx="743">
                  <c:v>0.35571357999999997</c:v>
                </c:pt>
                <c:pt idx="744">
                  <c:v>0.26293817000000003</c:v>
                </c:pt>
                <c:pt idx="745">
                  <c:v>0.20880798</c:v>
                </c:pt>
                <c:pt idx="746">
                  <c:v>0.25469255000000002</c:v>
                </c:pt>
                <c:pt idx="747">
                  <c:v>0.16181720999999999</c:v>
                </c:pt>
                <c:pt idx="748">
                  <c:v>0.17424049999999999</c:v>
                </c:pt>
                <c:pt idx="749">
                  <c:v>0.12953392</c:v>
                </c:pt>
                <c:pt idx="750">
                  <c:v>-0.18049997000000001</c:v>
                </c:pt>
                <c:pt idx="751">
                  <c:v>0.54851985000000003</c:v>
                </c:pt>
                <c:pt idx="752">
                  <c:v>0.33528935999999998</c:v>
                </c:pt>
                <c:pt idx="753">
                  <c:v>0.2290816</c:v>
                </c:pt>
                <c:pt idx="754">
                  <c:v>0.25505185000000002</c:v>
                </c:pt>
                <c:pt idx="755">
                  <c:v>1.8757889E-2</c:v>
                </c:pt>
                <c:pt idx="756">
                  <c:v>-6.9220710000000005E-2</c:v>
                </c:pt>
                <c:pt idx="757">
                  <c:v>2.4683842000000001E-2</c:v>
                </c:pt>
                <c:pt idx="758">
                  <c:v>-3.1651545000000003E-2</c:v>
                </c:pt>
                <c:pt idx="759">
                  <c:v>-6.4677479999999996E-2</c:v>
                </c:pt>
                <c:pt idx="760">
                  <c:v>-0.119092144</c:v>
                </c:pt>
                <c:pt idx="761">
                  <c:v>-0.15746023000000001</c:v>
                </c:pt>
                <c:pt idx="762">
                  <c:v>-0.19785564999999999</c:v>
                </c:pt>
                <c:pt idx="763">
                  <c:v>-0.23263476999999999</c:v>
                </c:pt>
                <c:pt idx="764">
                  <c:v>-0.20843867999999999</c:v>
                </c:pt>
                <c:pt idx="765">
                  <c:v>-0.22792346999999999</c:v>
                </c:pt>
                <c:pt idx="766">
                  <c:v>-0.23022281999999999</c:v>
                </c:pt>
                <c:pt idx="767">
                  <c:v>-0.22104753999999999</c:v>
                </c:pt>
                <c:pt idx="768">
                  <c:v>-0.31532732000000002</c:v>
                </c:pt>
                <c:pt idx="769">
                  <c:v>-0.30319427999999998</c:v>
                </c:pt>
                <c:pt idx="770">
                  <c:v>-0.31563989999999997</c:v>
                </c:pt>
                <c:pt idx="771">
                  <c:v>-0.31284339999999999</c:v>
                </c:pt>
                <c:pt idx="772">
                  <c:v>-0.32428279999999998</c:v>
                </c:pt>
                <c:pt idx="773">
                  <c:v>-0.29665804000000001</c:v>
                </c:pt>
                <c:pt idx="774">
                  <c:v>-0.23629718999999999</c:v>
                </c:pt>
                <c:pt idx="775">
                  <c:v>-0.22058398000000001</c:v>
                </c:pt>
                <c:pt idx="776">
                  <c:v>-0.23100821999999999</c:v>
                </c:pt>
                <c:pt idx="777">
                  <c:v>-0.22603002</c:v>
                </c:pt>
                <c:pt idx="778">
                  <c:v>-0.2011754</c:v>
                </c:pt>
                <c:pt idx="779">
                  <c:v>-0.18765689999999999</c:v>
                </c:pt>
                <c:pt idx="780">
                  <c:v>-0.18606967999999999</c:v>
                </c:pt>
                <c:pt idx="781">
                  <c:v>-0.13392778</c:v>
                </c:pt>
                <c:pt idx="782">
                  <c:v>-9.3395660000000005E-2</c:v>
                </c:pt>
                <c:pt idx="783">
                  <c:v>-3.0305767000000001E-2</c:v>
                </c:pt>
                <c:pt idx="784">
                  <c:v>-4.3810908000000003E-2</c:v>
                </c:pt>
                <c:pt idx="785">
                  <c:v>-5.1413830000000001E-2</c:v>
                </c:pt>
                <c:pt idx="786">
                  <c:v>-1.7197123000000002E-2</c:v>
                </c:pt>
                <c:pt idx="787">
                  <c:v>-2.6212969999999999E-2</c:v>
                </c:pt>
                <c:pt idx="788">
                  <c:v>-1.174157E-2</c:v>
                </c:pt>
                <c:pt idx="789">
                  <c:v>-4.1376000000000003E-2</c:v>
                </c:pt>
                <c:pt idx="790">
                  <c:v>-3.4146982999999999E-2</c:v>
                </c:pt>
                <c:pt idx="791">
                  <c:v>-4.7426484999999997E-2</c:v>
                </c:pt>
                <c:pt idx="792">
                  <c:v>-6.2520414999999996E-2</c:v>
                </c:pt>
                <c:pt idx="793">
                  <c:v>-6.6355533999999994E-2</c:v>
                </c:pt>
                <c:pt idx="794">
                  <c:v>-7.7318239999999996E-2</c:v>
                </c:pt>
                <c:pt idx="795">
                  <c:v>-2.9316287E-2</c:v>
                </c:pt>
                <c:pt idx="796">
                  <c:v>-2.4022249999999998E-2</c:v>
                </c:pt>
                <c:pt idx="797">
                  <c:v>1.1129600000000001E-3</c:v>
                </c:pt>
                <c:pt idx="798">
                  <c:v>1.1448652E-2</c:v>
                </c:pt>
                <c:pt idx="799">
                  <c:v>1.7493960999999999E-2</c:v>
                </c:pt>
                <c:pt idx="800">
                  <c:v>4.4755016000000002E-2</c:v>
                </c:pt>
                <c:pt idx="801">
                  <c:v>9.0063989999999997E-2</c:v>
                </c:pt>
                <c:pt idx="802">
                  <c:v>5.6845166000000003E-2</c:v>
                </c:pt>
                <c:pt idx="803">
                  <c:v>4.1703653E-2</c:v>
                </c:pt>
                <c:pt idx="804">
                  <c:v>2.0918836999999999E-3</c:v>
                </c:pt>
                <c:pt idx="805">
                  <c:v>-8.126599E-3</c:v>
                </c:pt>
                <c:pt idx="806">
                  <c:v>-8.1947759999999998E-4</c:v>
                </c:pt>
                <c:pt idx="807">
                  <c:v>-3.581728E-2</c:v>
                </c:pt>
                <c:pt idx="808">
                  <c:v>-7.2979630000000004E-2</c:v>
                </c:pt>
                <c:pt idx="809">
                  <c:v>-6.8849414999999997E-2</c:v>
                </c:pt>
                <c:pt idx="810">
                  <c:v>-0.13989691000000001</c:v>
                </c:pt>
                <c:pt idx="811">
                  <c:v>-0.14106598000000001</c:v>
                </c:pt>
                <c:pt idx="812">
                  <c:v>-0.13252987999999999</c:v>
                </c:pt>
                <c:pt idx="813">
                  <c:v>-0.16660337</c:v>
                </c:pt>
                <c:pt idx="814">
                  <c:v>-0.17047029999999999</c:v>
                </c:pt>
                <c:pt idx="815">
                  <c:v>-0.16988039999999999</c:v>
                </c:pt>
                <c:pt idx="816">
                  <c:v>-0.16320628000000001</c:v>
                </c:pt>
                <c:pt idx="817">
                  <c:v>-0.18679794999999999</c:v>
                </c:pt>
                <c:pt idx="818">
                  <c:v>-0.1946206</c:v>
                </c:pt>
                <c:pt idx="819">
                  <c:v>-0.218693</c:v>
                </c:pt>
                <c:pt idx="820">
                  <c:v>-0.23464844000000001</c:v>
                </c:pt>
                <c:pt idx="821">
                  <c:v>-0.23727302</c:v>
                </c:pt>
                <c:pt idx="822">
                  <c:v>-0.21895637000000001</c:v>
                </c:pt>
                <c:pt idx="823">
                  <c:v>-0.19206749000000001</c:v>
                </c:pt>
                <c:pt idx="824">
                  <c:v>-0.15878310000000001</c:v>
                </c:pt>
                <c:pt idx="825">
                  <c:v>-0.13573328000000001</c:v>
                </c:pt>
                <c:pt idx="826">
                  <c:v>-0.12345825000000001</c:v>
                </c:pt>
                <c:pt idx="827">
                  <c:v>-0.10722677999999999</c:v>
                </c:pt>
                <c:pt idx="828">
                  <c:v>-9.6923850000000006E-2</c:v>
                </c:pt>
                <c:pt idx="829">
                  <c:v>-9.0676463999999998E-2</c:v>
                </c:pt>
                <c:pt idx="830">
                  <c:v>-6.0368203000000002E-2</c:v>
                </c:pt>
                <c:pt idx="831">
                  <c:v>-6.8316500000000002E-2</c:v>
                </c:pt>
                <c:pt idx="832">
                  <c:v>-7.8819825999999996E-2</c:v>
                </c:pt>
                <c:pt idx="833">
                  <c:v>-8.4499530000000003E-2</c:v>
                </c:pt>
                <c:pt idx="834">
                  <c:v>-8.7832060000000003E-2</c:v>
                </c:pt>
                <c:pt idx="835">
                  <c:v>-7.6586290000000001E-2</c:v>
                </c:pt>
                <c:pt idx="836">
                  <c:v>-7.5082469999999998E-2</c:v>
                </c:pt>
                <c:pt idx="837">
                  <c:v>-4.5686919999999999E-2</c:v>
                </c:pt>
                <c:pt idx="838">
                  <c:v>-3.0278632E-2</c:v>
                </c:pt>
                <c:pt idx="839">
                  <c:v>-8.0734845000000003E-3</c:v>
                </c:pt>
                <c:pt idx="840">
                  <c:v>2.653287E-2</c:v>
                </c:pt>
                <c:pt idx="841">
                  <c:v>3.5537104999999999E-2</c:v>
                </c:pt>
                <c:pt idx="842">
                  <c:v>5.8643512000000002E-2</c:v>
                </c:pt>
                <c:pt idx="843">
                  <c:v>8.8040574999999996E-2</c:v>
                </c:pt>
                <c:pt idx="844">
                  <c:v>0.12199238</c:v>
                </c:pt>
                <c:pt idx="845">
                  <c:v>0.10278132600000001</c:v>
                </c:pt>
                <c:pt idx="846">
                  <c:v>0.17444973</c:v>
                </c:pt>
                <c:pt idx="847">
                  <c:v>0.23740184</c:v>
                </c:pt>
                <c:pt idx="848">
                  <c:v>0.26891118000000003</c:v>
                </c:pt>
                <c:pt idx="849">
                  <c:v>0.25035659999999998</c:v>
                </c:pt>
                <c:pt idx="850">
                  <c:v>0.24290115000000001</c:v>
                </c:pt>
                <c:pt idx="851">
                  <c:v>0.28213176000000001</c:v>
                </c:pt>
                <c:pt idx="852">
                  <c:v>0.28398266</c:v>
                </c:pt>
                <c:pt idx="853">
                  <c:v>0.25297945999999999</c:v>
                </c:pt>
                <c:pt idx="854">
                  <c:v>0.29830790000000001</c:v>
                </c:pt>
                <c:pt idx="855">
                  <c:v>0.29224610000000001</c:v>
                </c:pt>
                <c:pt idx="856">
                  <c:v>0.30079028000000002</c:v>
                </c:pt>
                <c:pt idx="857">
                  <c:v>0.35686097</c:v>
                </c:pt>
                <c:pt idx="858">
                  <c:v>0.33273079999999999</c:v>
                </c:pt>
                <c:pt idx="859">
                  <c:v>0.3673669</c:v>
                </c:pt>
                <c:pt idx="860">
                  <c:v>0.45456920000000001</c:v>
                </c:pt>
                <c:pt idx="861">
                  <c:v>0.43783425999999998</c:v>
                </c:pt>
                <c:pt idx="862">
                  <c:v>0.38438182999999998</c:v>
                </c:pt>
                <c:pt idx="863">
                  <c:v>0.34182665000000001</c:v>
                </c:pt>
                <c:pt idx="864">
                  <c:v>0.27819212999999998</c:v>
                </c:pt>
                <c:pt idx="865">
                  <c:v>0.21464579</c:v>
                </c:pt>
                <c:pt idx="866">
                  <c:v>0.14304744</c:v>
                </c:pt>
                <c:pt idx="867">
                  <c:v>0.13218577000000001</c:v>
                </c:pt>
                <c:pt idx="868">
                  <c:v>0.11076397</c:v>
                </c:pt>
                <c:pt idx="869">
                  <c:v>0.11749738999999999</c:v>
                </c:pt>
                <c:pt idx="870">
                  <c:v>0.14692299</c:v>
                </c:pt>
                <c:pt idx="871">
                  <c:v>0.13025110000000001</c:v>
                </c:pt>
                <c:pt idx="872">
                  <c:v>0.13660027</c:v>
                </c:pt>
                <c:pt idx="873">
                  <c:v>0.109526664</c:v>
                </c:pt>
                <c:pt idx="874">
                  <c:v>7.1560840000000001E-2</c:v>
                </c:pt>
                <c:pt idx="875">
                  <c:v>4.2732566999999999E-2</c:v>
                </c:pt>
                <c:pt idx="876">
                  <c:v>3.7108484999999997E-2</c:v>
                </c:pt>
                <c:pt idx="877">
                  <c:v>4.6628278000000002E-2</c:v>
                </c:pt>
                <c:pt idx="878">
                  <c:v>5.4318289999999998E-2</c:v>
                </c:pt>
                <c:pt idx="879">
                  <c:v>5.1916036999999998E-2</c:v>
                </c:pt>
                <c:pt idx="880">
                  <c:v>4.3959646999999998E-2</c:v>
                </c:pt>
                <c:pt idx="881">
                  <c:v>4.6179216000000002E-2</c:v>
                </c:pt>
                <c:pt idx="882">
                  <c:v>5.8109526000000002E-2</c:v>
                </c:pt>
                <c:pt idx="883">
                  <c:v>6.6993540000000004E-2</c:v>
                </c:pt>
                <c:pt idx="884">
                  <c:v>8.5750859999999998E-2</c:v>
                </c:pt>
                <c:pt idx="885">
                  <c:v>0.10978547499999999</c:v>
                </c:pt>
                <c:pt idx="886">
                  <c:v>0.12149709</c:v>
                </c:pt>
                <c:pt idx="887">
                  <c:v>0.11766146</c:v>
                </c:pt>
                <c:pt idx="888">
                  <c:v>0.11483907</c:v>
                </c:pt>
                <c:pt idx="889">
                  <c:v>0.10857891</c:v>
                </c:pt>
                <c:pt idx="890">
                  <c:v>0.10252685</c:v>
                </c:pt>
                <c:pt idx="891">
                  <c:v>0.11362311</c:v>
                </c:pt>
                <c:pt idx="892">
                  <c:v>0.13072813999999999</c:v>
                </c:pt>
                <c:pt idx="893">
                  <c:v>0.15015540999999999</c:v>
                </c:pt>
                <c:pt idx="894">
                  <c:v>0.17749872999999999</c:v>
                </c:pt>
                <c:pt idx="895">
                  <c:v>0.18752456000000001</c:v>
                </c:pt>
                <c:pt idx="896">
                  <c:v>0.16399361000000001</c:v>
                </c:pt>
                <c:pt idx="897">
                  <c:v>0.14873392999999999</c:v>
                </c:pt>
                <c:pt idx="898">
                  <c:v>0.14549996000000001</c:v>
                </c:pt>
                <c:pt idx="899">
                  <c:v>0.14025578</c:v>
                </c:pt>
                <c:pt idx="900">
                  <c:v>0.13393484</c:v>
                </c:pt>
                <c:pt idx="901">
                  <c:v>0.12916437</c:v>
                </c:pt>
                <c:pt idx="902">
                  <c:v>0.15459709999999999</c:v>
                </c:pt>
                <c:pt idx="903">
                  <c:v>0.10773186999999999</c:v>
                </c:pt>
                <c:pt idx="904">
                  <c:v>0.22508275999999999</c:v>
                </c:pt>
                <c:pt idx="905">
                  <c:v>0.28520869999999998</c:v>
                </c:pt>
                <c:pt idx="906">
                  <c:v>0.3569444</c:v>
                </c:pt>
                <c:pt idx="907">
                  <c:v>0.31253710000000001</c:v>
                </c:pt>
                <c:pt idx="908">
                  <c:v>0.25110601999999999</c:v>
                </c:pt>
                <c:pt idx="909">
                  <c:v>0.31113817999999999</c:v>
                </c:pt>
                <c:pt idx="910">
                  <c:v>0.20487032999999999</c:v>
                </c:pt>
                <c:pt idx="911">
                  <c:v>0.24576971</c:v>
                </c:pt>
                <c:pt idx="912">
                  <c:v>0.30870438</c:v>
                </c:pt>
                <c:pt idx="913">
                  <c:v>0.30985525000000003</c:v>
                </c:pt>
                <c:pt idx="914">
                  <c:v>0.24172627999999999</c:v>
                </c:pt>
                <c:pt idx="915">
                  <c:v>0.26123816</c:v>
                </c:pt>
                <c:pt idx="916">
                  <c:v>0.22306512000000001</c:v>
                </c:pt>
                <c:pt idx="917">
                  <c:v>0.1379618</c:v>
                </c:pt>
                <c:pt idx="918">
                  <c:v>0.19855825999999999</c:v>
                </c:pt>
                <c:pt idx="919">
                  <c:v>0.17678306999999999</c:v>
                </c:pt>
                <c:pt idx="920">
                  <c:v>0.20325241999999999</c:v>
                </c:pt>
                <c:pt idx="921">
                  <c:v>0.20019250999999999</c:v>
                </c:pt>
                <c:pt idx="922">
                  <c:v>0.12683610000000001</c:v>
                </c:pt>
                <c:pt idx="923">
                  <c:v>5.9785489999999997E-2</c:v>
                </c:pt>
                <c:pt idx="924">
                  <c:v>4.4729854999999999E-2</c:v>
                </c:pt>
                <c:pt idx="925">
                  <c:v>4.4214066000000003E-2</c:v>
                </c:pt>
                <c:pt idx="926">
                  <c:v>1.3506585E-2</c:v>
                </c:pt>
                <c:pt idx="927">
                  <c:v>1.8608215999999999E-3</c:v>
                </c:pt>
                <c:pt idx="928">
                  <c:v>-3.1528398E-3</c:v>
                </c:pt>
                <c:pt idx="929">
                  <c:v>7.3886396999999996E-3</c:v>
                </c:pt>
                <c:pt idx="930">
                  <c:v>1.3750427000000001E-2</c:v>
                </c:pt>
                <c:pt idx="931">
                  <c:v>-2.1529329999999999E-2</c:v>
                </c:pt>
                <c:pt idx="932">
                  <c:v>-4.0393962999999998E-2</c:v>
                </c:pt>
                <c:pt idx="933">
                  <c:v>-1.4415318E-2</c:v>
                </c:pt>
                <c:pt idx="934">
                  <c:v>1.2730590999999999E-2</c:v>
                </c:pt>
                <c:pt idx="935">
                  <c:v>3.0340888E-2</c:v>
                </c:pt>
                <c:pt idx="936">
                  <c:v>6.0964959999999999E-2</c:v>
                </c:pt>
                <c:pt idx="937">
                  <c:v>5.6215790000000002E-2</c:v>
                </c:pt>
                <c:pt idx="938">
                  <c:v>3.0813126E-2</c:v>
                </c:pt>
                <c:pt idx="939">
                  <c:v>7.0974863999999999E-2</c:v>
                </c:pt>
                <c:pt idx="940">
                  <c:v>7.1169763999999996E-2</c:v>
                </c:pt>
                <c:pt idx="941">
                  <c:v>6.6109929999999997E-2</c:v>
                </c:pt>
                <c:pt idx="942">
                  <c:v>0.11885469</c:v>
                </c:pt>
                <c:pt idx="943">
                  <c:v>8.6443759999999994E-2</c:v>
                </c:pt>
                <c:pt idx="944">
                  <c:v>5.6469900000000003E-2</c:v>
                </c:pt>
                <c:pt idx="945">
                  <c:v>0.18516017000000001</c:v>
                </c:pt>
                <c:pt idx="946">
                  <c:v>0.27065929999999999</c:v>
                </c:pt>
                <c:pt idx="947">
                  <c:v>0.24228336</c:v>
                </c:pt>
                <c:pt idx="948">
                  <c:v>0.18635814000000001</c:v>
                </c:pt>
                <c:pt idx="949">
                  <c:v>0.26947680000000002</c:v>
                </c:pt>
                <c:pt idx="950">
                  <c:v>0.31146153999999998</c:v>
                </c:pt>
                <c:pt idx="951">
                  <c:v>0.33955649999999998</c:v>
                </c:pt>
                <c:pt idx="952">
                  <c:v>0.29803123999999998</c:v>
                </c:pt>
                <c:pt idx="953">
                  <c:v>0.31404579999999999</c:v>
                </c:pt>
                <c:pt idx="954">
                  <c:v>0.26350607999999998</c:v>
                </c:pt>
                <c:pt idx="955">
                  <c:v>0.24817933</c:v>
                </c:pt>
                <c:pt idx="956">
                  <c:v>0.22017782999999999</c:v>
                </c:pt>
                <c:pt idx="957">
                  <c:v>0.24657572999999999</c:v>
                </c:pt>
                <c:pt idx="958">
                  <c:v>0.22001003</c:v>
                </c:pt>
                <c:pt idx="959">
                  <c:v>0.22918119000000001</c:v>
                </c:pt>
                <c:pt idx="960">
                  <c:v>0.22843963</c:v>
                </c:pt>
                <c:pt idx="961">
                  <c:v>0.24817908</c:v>
                </c:pt>
                <c:pt idx="962">
                  <c:v>0.25115457000000002</c:v>
                </c:pt>
                <c:pt idx="963">
                  <c:v>0.23121670999999999</c:v>
                </c:pt>
                <c:pt idx="964">
                  <c:v>0.21298568000000001</c:v>
                </c:pt>
                <c:pt idx="965">
                  <c:v>0.15230751000000001</c:v>
                </c:pt>
                <c:pt idx="966">
                  <c:v>0.13579896</c:v>
                </c:pt>
                <c:pt idx="967">
                  <c:v>0.11821917999999999</c:v>
                </c:pt>
                <c:pt idx="968">
                  <c:v>8.7322120000000003E-2</c:v>
                </c:pt>
                <c:pt idx="969">
                  <c:v>6.1867416000000001E-2</c:v>
                </c:pt>
                <c:pt idx="970">
                  <c:v>5.6071247999999997E-2</c:v>
                </c:pt>
                <c:pt idx="971">
                  <c:v>4.6291270000000002E-2</c:v>
                </c:pt>
                <c:pt idx="972">
                  <c:v>4.5010960000000003E-2</c:v>
                </c:pt>
                <c:pt idx="973">
                  <c:v>3.7769990000000003E-2</c:v>
                </c:pt>
                <c:pt idx="974">
                  <c:v>3.0975229999999999E-2</c:v>
                </c:pt>
                <c:pt idx="975">
                  <c:v>2.3704492000000001E-2</c:v>
                </c:pt>
                <c:pt idx="976">
                  <c:v>2.7654337000000001E-2</c:v>
                </c:pt>
                <c:pt idx="977">
                  <c:v>2.3733279999999999E-2</c:v>
                </c:pt>
                <c:pt idx="978">
                  <c:v>1.5723490999999999E-2</c:v>
                </c:pt>
                <c:pt idx="979">
                  <c:v>7.9687739999999996E-3</c:v>
                </c:pt>
                <c:pt idx="980">
                  <c:v>2.1303378000000002E-3</c:v>
                </c:pt>
                <c:pt idx="981">
                  <c:v>-6.9173235000000001E-3</c:v>
                </c:pt>
                <c:pt idx="982">
                  <c:v>-9.6764850000000003E-3</c:v>
                </c:pt>
                <c:pt idx="983">
                  <c:v>-4.0983649999999996E-3</c:v>
                </c:pt>
                <c:pt idx="984">
                  <c:v>-1.3317366000000001E-2</c:v>
                </c:pt>
                <c:pt idx="985">
                  <c:v>-9.1145224999999996E-3</c:v>
                </c:pt>
                <c:pt idx="986">
                  <c:v>-1.4220877E-2</c:v>
                </c:pt>
                <c:pt idx="987">
                  <c:v>-1.6433923E-2</c:v>
                </c:pt>
                <c:pt idx="988">
                  <c:v>1.3559816000000001E-2</c:v>
                </c:pt>
                <c:pt idx="989">
                  <c:v>6.3501840000000004E-2</c:v>
                </c:pt>
                <c:pt idx="990">
                  <c:v>8.3114629999999995E-2</c:v>
                </c:pt>
                <c:pt idx="991">
                  <c:v>0.10724999</c:v>
                </c:pt>
                <c:pt idx="992">
                  <c:v>0.10713710999999999</c:v>
                </c:pt>
                <c:pt idx="993">
                  <c:v>0.12071251</c:v>
                </c:pt>
                <c:pt idx="994">
                  <c:v>0.12788214000000001</c:v>
                </c:pt>
                <c:pt idx="995">
                  <c:v>0.13689635999999999</c:v>
                </c:pt>
                <c:pt idx="996">
                  <c:v>0.124975406</c:v>
                </c:pt>
                <c:pt idx="997">
                  <c:v>0.13649884000000001</c:v>
                </c:pt>
                <c:pt idx="998">
                  <c:v>0.12946880999999999</c:v>
                </c:pt>
                <c:pt idx="999">
                  <c:v>0.12079587999999999</c:v>
                </c:pt>
                <c:pt idx="1000">
                  <c:v>9.9747784000000006E-2</c:v>
                </c:pt>
                <c:pt idx="1001">
                  <c:v>9.150018E-2</c:v>
                </c:pt>
                <c:pt idx="1002">
                  <c:v>7.0955283999999993E-2</c:v>
                </c:pt>
                <c:pt idx="1003">
                  <c:v>3.9763380000000001E-2</c:v>
                </c:pt>
                <c:pt idx="1004">
                  <c:v>5.4946626999999998E-2</c:v>
                </c:pt>
                <c:pt idx="1005">
                  <c:v>5.2182010000000001E-2</c:v>
                </c:pt>
                <c:pt idx="1006">
                  <c:v>1.2813278500000001E-2</c:v>
                </c:pt>
                <c:pt idx="1007">
                  <c:v>0.35770974</c:v>
                </c:pt>
                <c:pt idx="1008">
                  <c:v>0.36829084000000001</c:v>
                </c:pt>
                <c:pt idx="1009">
                  <c:v>0.36017295999999999</c:v>
                </c:pt>
                <c:pt idx="1010">
                  <c:v>0.36341265</c:v>
                </c:pt>
                <c:pt idx="1011">
                  <c:v>0.35831624000000001</c:v>
                </c:pt>
                <c:pt idx="1012">
                  <c:v>0.35832872999999998</c:v>
                </c:pt>
                <c:pt idx="1013">
                  <c:v>0.36079502000000002</c:v>
                </c:pt>
                <c:pt idx="1014">
                  <c:v>0.35789799999999999</c:v>
                </c:pt>
                <c:pt idx="1015">
                  <c:v>0.35904783000000001</c:v>
                </c:pt>
                <c:pt idx="1016">
                  <c:v>0.35823603999999998</c:v>
                </c:pt>
                <c:pt idx="1017">
                  <c:v>0.35760639999999999</c:v>
                </c:pt>
                <c:pt idx="1018">
                  <c:v>0.35766130000000002</c:v>
                </c:pt>
                <c:pt idx="1019">
                  <c:v>0.35800406000000001</c:v>
                </c:pt>
                <c:pt idx="1020">
                  <c:v>0.35781336000000002</c:v>
                </c:pt>
                <c:pt idx="1021">
                  <c:v>0.35758007000000003</c:v>
                </c:pt>
                <c:pt idx="1022">
                  <c:v>0.36220822000000003</c:v>
                </c:pt>
                <c:pt idx="1023">
                  <c:v>0.37827903000000002</c:v>
                </c:pt>
                <c:pt idx="1024">
                  <c:v>0.3574367</c:v>
                </c:pt>
                <c:pt idx="1025">
                  <c:v>0.36002624</c:v>
                </c:pt>
                <c:pt idx="1026">
                  <c:v>0.35745218000000001</c:v>
                </c:pt>
                <c:pt idx="1027">
                  <c:v>0.37676979999999999</c:v>
                </c:pt>
                <c:pt idx="1028">
                  <c:v>0.35793039999999998</c:v>
                </c:pt>
                <c:pt idx="1029">
                  <c:v>0.35655146999999998</c:v>
                </c:pt>
                <c:pt idx="1030">
                  <c:v>0.3566184</c:v>
                </c:pt>
                <c:pt idx="1031">
                  <c:v>0.35685664</c:v>
                </c:pt>
                <c:pt idx="1032">
                  <c:v>0.35837328000000002</c:v>
                </c:pt>
                <c:pt idx="1033">
                  <c:v>0.35656663999999999</c:v>
                </c:pt>
                <c:pt idx="1034">
                  <c:v>0.3568326</c:v>
                </c:pt>
                <c:pt idx="1035">
                  <c:v>0.35654253000000002</c:v>
                </c:pt>
                <c:pt idx="1036">
                  <c:v>0.35674095</c:v>
                </c:pt>
                <c:pt idx="1037">
                  <c:v>0.35660811999999997</c:v>
                </c:pt>
                <c:pt idx="1038">
                  <c:v>0.35690293000000001</c:v>
                </c:pt>
                <c:pt idx="1039">
                  <c:v>0.35650712000000001</c:v>
                </c:pt>
                <c:pt idx="1040">
                  <c:v>0.35710831999999998</c:v>
                </c:pt>
                <c:pt idx="1041">
                  <c:v>0.35791898</c:v>
                </c:pt>
                <c:pt idx="1042">
                  <c:v>0.23280706000000001</c:v>
                </c:pt>
                <c:pt idx="1043">
                  <c:v>0.15987375000000001</c:v>
                </c:pt>
                <c:pt idx="1044">
                  <c:v>0.33366388000000002</c:v>
                </c:pt>
                <c:pt idx="1045">
                  <c:v>0.60862905</c:v>
                </c:pt>
                <c:pt idx="1046">
                  <c:v>0.44460008000000001</c:v>
                </c:pt>
                <c:pt idx="1047">
                  <c:v>0.26281982999999998</c:v>
                </c:pt>
                <c:pt idx="1048">
                  <c:v>0.53076774000000004</c:v>
                </c:pt>
                <c:pt idx="1049">
                  <c:v>0.23976663000000001</c:v>
                </c:pt>
                <c:pt idx="1050">
                  <c:v>0.47792225999999999</c:v>
                </c:pt>
                <c:pt idx="1051">
                  <c:v>0.4448105</c:v>
                </c:pt>
                <c:pt idx="1052">
                  <c:v>0.57872564000000004</c:v>
                </c:pt>
                <c:pt idx="1053">
                  <c:v>0.52430343999999995</c:v>
                </c:pt>
                <c:pt idx="1054">
                  <c:v>0.58452440000000006</c:v>
                </c:pt>
                <c:pt idx="1055">
                  <c:v>0.58727527000000002</c:v>
                </c:pt>
                <c:pt idx="1056">
                  <c:v>0.62281810000000004</c:v>
                </c:pt>
                <c:pt idx="1057">
                  <c:v>0.58499420000000002</c:v>
                </c:pt>
                <c:pt idx="1058">
                  <c:v>0.58917355999999999</c:v>
                </c:pt>
                <c:pt idx="1059">
                  <c:v>0.58153759999999999</c:v>
                </c:pt>
                <c:pt idx="1060">
                  <c:v>0.57934719999999995</c:v>
                </c:pt>
                <c:pt idx="1061">
                  <c:v>0.52939829999999999</c:v>
                </c:pt>
                <c:pt idx="1062">
                  <c:v>0.50978120000000005</c:v>
                </c:pt>
                <c:pt idx="1063">
                  <c:v>0.1773497</c:v>
                </c:pt>
                <c:pt idx="1064">
                  <c:v>-3.7962254000000001E-2</c:v>
                </c:pt>
                <c:pt idx="1065">
                  <c:v>2.9785186E-4</c:v>
                </c:pt>
                <c:pt idx="1066">
                  <c:v>-3.4761246000000003E-2</c:v>
                </c:pt>
                <c:pt idx="1067">
                  <c:v>9.2476963999999995E-2</c:v>
                </c:pt>
                <c:pt idx="1068">
                  <c:v>7.9055050000000002E-2</c:v>
                </c:pt>
                <c:pt idx="1069">
                  <c:v>0.18870055999999999</c:v>
                </c:pt>
                <c:pt idx="1070">
                  <c:v>0.27955015999999999</c:v>
                </c:pt>
                <c:pt idx="1071">
                  <c:v>0.30822787000000001</c:v>
                </c:pt>
                <c:pt idx="1072">
                  <c:v>0.49522983999999998</c:v>
                </c:pt>
                <c:pt idx="1073">
                  <c:v>0.66723200000000005</c:v>
                </c:pt>
                <c:pt idx="1074">
                  <c:v>0.79657109999999998</c:v>
                </c:pt>
                <c:pt idx="1075">
                  <c:v>0.88603330000000002</c:v>
                </c:pt>
                <c:pt idx="1076">
                  <c:v>0.94531390000000004</c:v>
                </c:pt>
                <c:pt idx="1077">
                  <c:v>0.91716129999999996</c:v>
                </c:pt>
                <c:pt idx="1078">
                  <c:v>0.97213084000000005</c:v>
                </c:pt>
                <c:pt idx="1079">
                  <c:v>0.96191347000000005</c:v>
                </c:pt>
                <c:pt idx="1080">
                  <c:v>0.95817450000000004</c:v>
                </c:pt>
                <c:pt idx="1081">
                  <c:v>0.98680084999999995</c:v>
                </c:pt>
                <c:pt idx="1082">
                  <c:v>0.98526360000000002</c:v>
                </c:pt>
                <c:pt idx="1083">
                  <c:v>0.97764130000000005</c:v>
                </c:pt>
                <c:pt idx="1084">
                  <c:v>0.98765840000000005</c:v>
                </c:pt>
                <c:pt idx="1085">
                  <c:v>0.97240700000000002</c:v>
                </c:pt>
                <c:pt idx="1086">
                  <c:v>0.97435749999999999</c:v>
                </c:pt>
                <c:pt idx="1087">
                  <c:v>0.98083186</c:v>
                </c:pt>
                <c:pt idx="1088">
                  <c:v>0.95750844000000002</c:v>
                </c:pt>
                <c:pt idx="1089">
                  <c:v>0.98720050000000004</c:v>
                </c:pt>
                <c:pt idx="1090">
                  <c:v>0.98520490000000005</c:v>
                </c:pt>
                <c:pt idx="1091">
                  <c:v>0.97984325999999999</c:v>
                </c:pt>
                <c:pt idx="1092">
                  <c:v>0.98154783000000001</c:v>
                </c:pt>
                <c:pt idx="1093">
                  <c:v>0.98790270000000002</c:v>
                </c:pt>
                <c:pt idx="1094">
                  <c:v>0.97061783000000001</c:v>
                </c:pt>
                <c:pt idx="1095">
                  <c:v>0.97407820000000001</c:v>
                </c:pt>
                <c:pt idx="1096">
                  <c:v>0.98115350000000001</c:v>
                </c:pt>
                <c:pt idx="1097">
                  <c:v>0.98730147000000001</c:v>
                </c:pt>
                <c:pt idx="1098">
                  <c:v>0.98399380000000003</c:v>
                </c:pt>
                <c:pt idx="1099">
                  <c:v>0.97357930000000004</c:v>
                </c:pt>
                <c:pt idx="1100">
                  <c:v>0.98272309999999996</c:v>
                </c:pt>
                <c:pt idx="1101">
                  <c:v>0.92891599999999996</c:v>
                </c:pt>
                <c:pt idx="1102">
                  <c:v>0.98723879999999997</c:v>
                </c:pt>
                <c:pt idx="1103">
                  <c:v>0.94364559999999997</c:v>
                </c:pt>
                <c:pt idx="1104">
                  <c:v>0.98540879999999997</c:v>
                </c:pt>
                <c:pt idx="1105">
                  <c:v>0.94852860000000006</c:v>
                </c:pt>
                <c:pt idx="1106">
                  <c:v>0.94902253000000003</c:v>
                </c:pt>
                <c:pt idx="1107">
                  <c:v>0.93918849999999998</c:v>
                </c:pt>
                <c:pt idx="1108">
                  <c:v>0.93069493999999997</c:v>
                </c:pt>
                <c:pt idx="1109">
                  <c:v>0.91742000000000001</c:v>
                </c:pt>
                <c:pt idx="1110">
                  <c:v>0.91960359999999997</c:v>
                </c:pt>
                <c:pt idx="1111">
                  <c:v>0.90765649999999998</c:v>
                </c:pt>
                <c:pt idx="1112">
                  <c:v>0.9023542</c:v>
                </c:pt>
                <c:pt idx="1113">
                  <c:v>0.91263039999999995</c:v>
                </c:pt>
                <c:pt idx="1114">
                  <c:v>0.83896225999999996</c:v>
                </c:pt>
                <c:pt idx="1115">
                  <c:v>0.80220276000000001</c:v>
                </c:pt>
                <c:pt idx="1116">
                  <c:v>0.87204130000000002</c:v>
                </c:pt>
                <c:pt idx="1117">
                  <c:v>0.86195224999999998</c:v>
                </c:pt>
                <c:pt idx="1118">
                  <c:v>0.90477350000000001</c:v>
                </c:pt>
                <c:pt idx="1119">
                  <c:v>0.82519050000000005</c:v>
                </c:pt>
                <c:pt idx="1120">
                  <c:v>0.64959454999999999</c:v>
                </c:pt>
                <c:pt idx="1121">
                  <c:v>0.52075064000000004</c:v>
                </c:pt>
                <c:pt idx="1122">
                  <c:v>0.34280416000000002</c:v>
                </c:pt>
                <c:pt idx="1123">
                  <c:v>0.17259942</c:v>
                </c:pt>
                <c:pt idx="1124">
                  <c:v>0.15462819999999999</c:v>
                </c:pt>
                <c:pt idx="1125">
                  <c:v>2.3244919999999999E-2</c:v>
                </c:pt>
                <c:pt idx="1126">
                  <c:v>0.12471826</c:v>
                </c:pt>
                <c:pt idx="1127">
                  <c:v>-7.3671139999999996E-2</c:v>
                </c:pt>
                <c:pt idx="1128">
                  <c:v>2.0021747999999999E-2</c:v>
                </c:pt>
                <c:pt idx="1129">
                  <c:v>-0.37773475000000001</c:v>
                </c:pt>
                <c:pt idx="1130">
                  <c:v>1.8907407000000001E-2</c:v>
                </c:pt>
                <c:pt idx="1131">
                  <c:v>-1.7129041000000001E-2</c:v>
                </c:pt>
                <c:pt idx="1132">
                  <c:v>-9.9072579999999993E-2</c:v>
                </c:pt>
                <c:pt idx="1133">
                  <c:v>-5.0514244E-2</c:v>
                </c:pt>
                <c:pt idx="1134">
                  <c:v>8.8851819999999998E-2</c:v>
                </c:pt>
                <c:pt idx="1135">
                  <c:v>-0.33418769999999998</c:v>
                </c:pt>
                <c:pt idx="1136">
                  <c:v>3.7190090000000002E-2</c:v>
                </c:pt>
                <c:pt idx="1137">
                  <c:v>-0.24377365000000001</c:v>
                </c:pt>
                <c:pt idx="1138">
                  <c:v>6.3807900000000001E-2</c:v>
                </c:pt>
                <c:pt idx="1139">
                  <c:v>-0.1981581</c:v>
                </c:pt>
                <c:pt idx="1140">
                  <c:v>5.4634050000000003E-2</c:v>
                </c:pt>
                <c:pt idx="1141">
                  <c:v>8.5964780000000005E-2</c:v>
                </c:pt>
                <c:pt idx="1142">
                  <c:v>-0.114723146</c:v>
                </c:pt>
                <c:pt idx="1143">
                  <c:v>4.3061919999999997E-2</c:v>
                </c:pt>
                <c:pt idx="1144">
                  <c:v>0.11330497</c:v>
                </c:pt>
                <c:pt idx="1145">
                  <c:v>8.9523173999999997E-2</c:v>
                </c:pt>
                <c:pt idx="1146">
                  <c:v>0.12013181000000001</c:v>
                </c:pt>
                <c:pt idx="1147">
                  <c:v>3.2678980000000003E-2</c:v>
                </c:pt>
                <c:pt idx="1148">
                  <c:v>0.16914841999999999</c:v>
                </c:pt>
                <c:pt idx="1149">
                  <c:v>0.21614204000000001</c:v>
                </c:pt>
                <c:pt idx="1150">
                  <c:v>0.30069985999999999</c:v>
                </c:pt>
                <c:pt idx="1151">
                  <c:v>0.30901076999999999</c:v>
                </c:pt>
                <c:pt idx="1152">
                  <c:v>0.2965931</c:v>
                </c:pt>
                <c:pt idx="1153">
                  <c:v>0.28032220000000002</c:v>
                </c:pt>
                <c:pt idx="1154">
                  <c:v>0.28177223000000001</c:v>
                </c:pt>
                <c:pt idx="1155">
                  <c:v>0.31959984000000002</c:v>
                </c:pt>
                <c:pt idx="1156">
                  <c:v>0.32444010000000001</c:v>
                </c:pt>
                <c:pt idx="1157">
                  <c:v>0.31540927000000002</c:v>
                </c:pt>
                <c:pt idx="1158">
                  <c:v>0.35303639999999997</c:v>
                </c:pt>
                <c:pt idx="1159">
                  <c:v>0.34074480000000001</c:v>
                </c:pt>
                <c:pt idx="1160">
                  <c:v>0.36028004000000002</c:v>
                </c:pt>
                <c:pt idx="1161">
                  <c:v>0.29047948000000001</c:v>
                </c:pt>
                <c:pt idx="1162">
                  <c:v>0.31009587999999999</c:v>
                </c:pt>
                <c:pt idx="1163">
                  <c:v>0.30591747000000002</c:v>
                </c:pt>
                <c:pt idx="1164">
                  <c:v>0.29590493000000001</c:v>
                </c:pt>
                <c:pt idx="1165">
                  <c:v>0.29489569999999998</c:v>
                </c:pt>
                <c:pt idx="1166">
                  <c:v>0.31201183999999998</c:v>
                </c:pt>
                <c:pt idx="1167">
                  <c:v>0.28582874000000003</c:v>
                </c:pt>
                <c:pt idx="1168">
                  <c:v>0.27055805999999999</c:v>
                </c:pt>
                <c:pt idx="1169">
                  <c:v>0.24872820000000001</c:v>
                </c:pt>
                <c:pt idx="1170">
                  <c:v>0.23992190999999999</c:v>
                </c:pt>
                <c:pt idx="1171">
                  <c:v>0.21498427000000001</c:v>
                </c:pt>
                <c:pt idx="1172">
                  <c:v>0.20765299000000001</c:v>
                </c:pt>
                <c:pt idx="1173">
                  <c:v>0.18802932999999999</c:v>
                </c:pt>
                <c:pt idx="1174">
                  <c:v>0.17605712000000001</c:v>
                </c:pt>
                <c:pt idx="1175">
                  <c:v>0.15331054999999999</c:v>
                </c:pt>
                <c:pt idx="1176">
                  <c:v>0.10371126</c:v>
                </c:pt>
                <c:pt idx="1177">
                  <c:v>0.21498010000000001</c:v>
                </c:pt>
                <c:pt idx="1178">
                  <c:v>0.14096396999999999</c:v>
                </c:pt>
                <c:pt idx="1179">
                  <c:v>0.20993609999999999</c:v>
                </c:pt>
                <c:pt idx="1180">
                  <c:v>9.4135140000000006E-2</c:v>
                </c:pt>
                <c:pt idx="1181">
                  <c:v>9.7865335999999997E-2</c:v>
                </c:pt>
                <c:pt idx="1182">
                  <c:v>5.8255803000000002E-2</c:v>
                </c:pt>
                <c:pt idx="1183">
                  <c:v>-8.0366069999999994E-3</c:v>
                </c:pt>
                <c:pt idx="1184">
                  <c:v>-3.6666433999999998E-2</c:v>
                </c:pt>
                <c:pt idx="1185">
                  <c:v>-5.2048949999999997E-2</c:v>
                </c:pt>
                <c:pt idx="1186">
                  <c:v>-6.2095255000000002E-2</c:v>
                </c:pt>
                <c:pt idx="1187">
                  <c:v>-7.0835339999999997E-2</c:v>
                </c:pt>
                <c:pt idx="1188">
                  <c:v>-2.7592032999999998E-2</c:v>
                </c:pt>
                <c:pt idx="1189">
                  <c:v>-9.6363539999999998E-2</c:v>
                </c:pt>
                <c:pt idx="1190">
                  <c:v>2.5839495000000001E-2</c:v>
                </c:pt>
                <c:pt idx="1191">
                  <c:v>-5.3549718000000003E-2</c:v>
                </c:pt>
                <c:pt idx="1192">
                  <c:v>-9.4043379999999996E-2</c:v>
                </c:pt>
                <c:pt idx="1193">
                  <c:v>-9.9220130000000004E-2</c:v>
                </c:pt>
                <c:pt idx="1194">
                  <c:v>-7.0122110000000001E-2</c:v>
                </c:pt>
                <c:pt idx="1195">
                  <c:v>-9.8735909999999996E-2</c:v>
                </c:pt>
                <c:pt idx="1196">
                  <c:v>-8.5199005999999994E-2</c:v>
                </c:pt>
                <c:pt idx="1197">
                  <c:v>-1.6801323999999999E-2</c:v>
                </c:pt>
                <c:pt idx="1198">
                  <c:v>-4.9193133E-2</c:v>
                </c:pt>
                <c:pt idx="1199">
                  <c:v>-2.1826775999999999E-2</c:v>
                </c:pt>
                <c:pt idx="1200">
                  <c:v>-2.3035783000000001E-2</c:v>
                </c:pt>
                <c:pt idx="1201">
                  <c:v>-1.6763343999999999E-2</c:v>
                </c:pt>
                <c:pt idx="1202">
                  <c:v>-5.7413134999999997E-2</c:v>
                </c:pt>
                <c:pt idx="1203">
                  <c:v>-0.10033747</c:v>
                </c:pt>
                <c:pt idx="1204">
                  <c:v>-0.108185686</c:v>
                </c:pt>
                <c:pt idx="1205">
                  <c:v>-0.11620646</c:v>
                </c:pt>
                <c:pt idx="1206">
                  <c:v>-0.12985815000000001</c:v>
                </c:pt>
                <c:pt idx="1207">
                  <c:v>-0.13866185</c:v>
                </c:pt>
                <c:pt idx="1208">
                  <c:v>-0.13227378000000001</c:v>
                </c:pt>
                <c:pt idx="1209">
                  <c:v>-0.14565771999999999</c:v>
                </c:pt>
                <c:pt idx="1210">
                  <c:v>-0.15330079999999999</c:v>
                </c:pt>
                <c:pt idx="1211">
                  <c:v>-0.16794640999999999</c:v>
                </c:pt>
                <c:pt idx="1212">
                  <c:v>-0.17222725999999999</c:v>
                </c:pt>
                <c:pt idx="1213">
                  <c:v>-0.15652598000000001</c:v>
                </c:pt>
                <c:pt idx="1214">
                  <c:v>-0.17634468</c:v>
                </c:pt>
                <c:pt idx="1215">
                  <c:v>0.15550940999999999</c:v>
                </c:pt>
                <c:pt idx="1216">
                  <c:v>-0.17218812999999999</c:v>
                </c:pt>
                <c:pt idx="1217">
                  <c:v>-2.3043640000000001E-2</c:v>
                </c:pt>
                <c:pt idx="1218">
                  <c:v>-0.15772459999999999</c:v>
                </c:pt>
                <c:pt idx="1219">
                  <c:v>-0.14692748</c:v>
                </c:pt>
                <c:pt idx="1220">
                  <c:v>-0.13169868000000001</c:v>
                </c:pt>
                <c:pt idx="1221">
                  <c:v>-0.115769364</c:v>
                </c:pt>
                <c:pt idx="1222">
                  <c:v>-0.11837333</c:v>
                </c:pt>
                <c:pt idx="1223">
                  <c:v>-0.12000959999999999</c:v>
                </c:pt>
                <c:pt idx="1224">
                  <c:v>-0.118478104</c:v>
                </c:pt>
                <c:pt idx="1225">
                  <c:v>-0.12292553000000001</c:v>
                </c:pt>
                <c:pt idx="1226">
                  <c:v>-0.12034526</c:v>
                </c:pt>
                <c:pt idx="1227">
                  <c:v>-0.124666736</c:v>
                </c:pt>
                <c:pt idx="1228">
                  <c:v>-0.13137239000000001</c:v>
                </c:pt>
                <c:pt idx="1229">
                  <c:v>-0.12530656000000001</c:v>
                </c:pt>
                <c:pt idx="1230">
                  <c:v>-0.11470216499999999</c:v>
                </c:pt>
                <c:pt idx="1231">
                  <c:v>-0.13114445999999999</c:v>
                </c:pt>
                <c:pt idx="1232">
                  <c:v>-0.1140502</c:v>
                </c:pt>
                <c:pt idx="1233">
                  <c:v>-0.123072185</c:v>
                </c:pt>
                <c:pt idx="1234">
                  <c:v>-0.11608219</c:v>
                </c:pt>
                <c:pt idx="1235">
                  <c:v>-9.6617880000000003E-2</c:v>
                </c:pt>
                <c:pt idx="1236">
                  <c:v>-8.7760210000000005E-2</c:v>
                </c:pt>
                <c:pt idx="1237">
                  <c:v>-7.6310723999999996E-2</c:v>
                </c:pt>
                <c:pt idx="1238">
                  <c:v>-0.102382705</c:v>
                </c:pt>
                <c:pt idx="1239">
                  <c:v>-5.8079180000000001E-2</c:v>
                </c:pt>
                <c:pt idx="1240">
                  <c:v>-7.2844660000000006E-2</c:v>
                </c:pt>
                <c:pt idx="1241">
                  <c:v>-9.7148366E-2</c:v>
                </c:pt>
                <c:pt idx="1242">
                  <c:v>-0.106774695</c:v>
                </c:pt>
                <c:pt idx="1243">
                  <c:v>-0.106917225</c:v>
                </c:pt>
                <c:pt idx="1244">
                  <c:v>-0.10704906</c:v>
                </c:pt>
                <c:pt idx="1245">
                  <c:v>-0.11758348</c:v>
                </c:pt>
                <c:pt idx="1246">
                  <c:v>-7.7257400000000004E-2</c:v>
                </c:pt>
                <c:pt idx="1247">
                  <c:v>-4.9275104E-2</c:v>
                </c:pt>
                <c:pt idx="1248">
                  <c:v>-7.1900980000000003E-2</c:v>
                </c:pt>
                <c:pt idx="1249">
                  <c:v>-7.2837479999999996E-2</c:v>
                </c:pt>
                <c:pt idx="1250">
                  <c:v>-8.3429030000000001E-2</c:v>
                </c:pt>
                <c:pt idx="1251">
                  <c:v>-0.11388905000000001</c:v>
                </c:pt>
                <c:pt idx="1252">
                  <c:v>-8.9105429999999999E-2</c:v>
                </c:pt>
                <c:pt idx="1253">
                  <c:v>-0.119422846</c:v>
                </c:pt>
                <c:pt idx="1254">
                  <c:v>-0.14953922</c:v>
                </c:pt>
                <c:pt idx="1255">
                  <c:v>-0.1674831</c:v>
                </c:pt>
                <c:pt idx="1256">
                  <c:v>-0.20233975000000001</c:v>
                </c:pt>
                <c:pt idx="1257">
                  <c:v>-0.20792553</c:v>
                </c:pt>
                <c:pt idx="1258">
                  <c:v>-0.21142543999999999</c:v>
                </c:pt>
                <c:pt idx="1259">
                  <c:v>-0.22827314000000001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3F-481B-9C01-383E95EA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2502991"/>
        <c:axId val="1072516719"/>
      </c:areaChart>
      <c:lineChart>
        <c:grouping val="standard"/>
        <c:varyColors val="0"/>
        <c:ser>
          <c:idx val="1"/>
          <c:order val="1"/>
          <c:tx>
            <c:strRef>
              <c:f>'experiment 1 - LSTM'!$G$1</c:f>
              <c:strCache>
                <c:ptCount val="1"/>
                <c:pt idx="0">
                  <c:v>cum_return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'experiment 1 - LSTM'!$C$2:$C$1261</c:f>
              <c:numCache>
                <c:formatCode>m/d/yyyy</c:formatCode>
                <c:ptCount val="1260"/>
                <c:pt idx="0">
                  <c:v>42373</c:v>
                </c:pt>
                <c:pt idx="1">
                  <c:v>42374</c:v>
                </c:pt>
                <c:pt idx="2">
                  <c:v>42375</c:v>
                </c:pt>
                <c:pt idx="3">
                  <c:v>42376</c:v>
                </c:pt>
                <c:pt idx="4">
                  <c:v>42377</c:v>
                </c:pt>
                <c:pt idx="5">
                  <c:v>42380</c:v>
                </c:pt>
                <c:pt idx="6">
                  <c:v>42381</c:v>
                </c:pt>
                <c:pt idx="7">
                  <c:v>42382</c:v>
                </c:pt>
                <c:pt idx="8">
                  <c:v>42383</c:v>
                </c:pt>
                <c:pt idx="9">
                  <c:v>42384</c:v>
                </c:pt>
                <c:pt idx="10">
                  <c:v>42388</c:v>
                </c:pt>
                <c:pt idx="11">
                  <c:v>42389</c:v>
                </c:pt>
                <c:pt idx="12">
                  <c:v>42390</c:v>
                </c:pt>
                <c:pt idx="13">
                  <c:v>42391</c:v>
                </c:pt>
                <c:pt idx="14">
                  <c:v>42394</c:v>
                </c:pt>
                <c:pt idx="15">
                  <c:v>42395</c:v>
                </c:pt>
                <c:pt idx="16">
                  <c:v>42396</c:v>
                </c:pt>
                <c:pt idx="17">
                  <c:v>42397</c:v>
                </c:pt>
                <c:pt idx="18">
                  <c:v>42398</c:v>
                </c:pt>
                <c:pt idx="19">
                  <c:v>42401</c:v>
                </c:pt>
                <c:pt idx="20">
                  <c:v>42402</c:v>
                </c:pt>
                <c:pt idx="21">
                  <c:v>42403</c:v>
                </c:pt>
                <c:pt idx="22">
                  <c:v>42404</c:v>
                </c:pt>
                <c:pt idx="23">
                  <c:v>42405</c:v>
                </c:pt>
                <c:pt idx="24">
                  <c:v>42408</c:v>
                </c:pt>
                <c:pt idx="25">
                  <c:v>42409</c:v>
                </c:pt>
                <c:pt idx="26">
                  <c:v>42410</c:v>
                </c:pt>
                <c:pt idx="27">
                  <c:v>42411</c:v>
                </c:pt>
                <c:pt idx="28">
                  <c:v>42412</c:v>
                </c:pt>
                <c:pt idx="29">
                  <c:v>42416</c:v>
                </c:pt>
                <c:pt idx="30">
                  <c:v>42417</c:v>
                </c:pt>
                <c:pt idx="31">
                  <c:v>42418</c:v>
                </c:pt>
                <c:pt idx="32">
                  <c:v>42419</c:v>
                </c:pt>
                <c:pt idx="33">
                  <c:v>42422</c:v>
                </c:pt>
                <c:pt idx="34">
                  <c:v>42423</c:v>
                </c:pt>
                <c:pt idx="35">
                  <c:v>42424</c:v>
                </c:pt>
                <c:pt idx="36">
                  <c:v>42425</c:v>
                </c:pt>
                <c:pt idx="37">
                  <c:v>42426</c:v>
                </c:pt>
                <c:pt idx="38">
                  <c:v>42429</c:v>
                </c:pt>
                <c:pt idx="39">
                  <c:v>42430</c:v>
                </c:pt>
                <c:pt idx="40">
                  <c:v>42431</c:v>
                </c:pt>
                <c:pt idx="41">
                  <c:v>42432</c:v>
                </c:pt>
                <c:pt idx="42">
                  <c:v>42433</c:v>
                </c:pt>
                <c:pt idx="43">
                  <c:v>42436</c:v>
                </c:pt>
                <c:pt idx="44">
                  <c:v>42437</c:v>
                </c:pt>
                <c:pt idx="45">
                  <c:v>42438</c:v>
                </c:pt>
                <c:pt idx="46">
                  <c:v>42439</c:v>
                </c:pt>
                <c:pt idx="47">
                  <c:v>42440</c:v>
                </c:pt>
                <c:pt idx="48">
                  <c:v>42443</c:v>
                </c:pt>
                <c:pt idx="49">
                  <c:v>42444</c:v>
                </c:pt>
                <c:pt idx="50">
                  <c:v>42445</c:v>
                </c:pt>
                <c:pt idx="51">
                  <c:v>42446</c:v>
                </c:pt>
                <c:pt idx="52">
                  <c:v>42447</c:v>
                </c:pt>
                <c:pt idx="53">
                  <c:v>42450</c:v>
                </c:pt>
                <c:pt idx="54">
                  <c:v>42451</c:v>
                </c:pt>
                <c:pt idx="55">
                  <c:v>42452</c:v>
                </c:pt>
                <c:pt idx="56">
                  <c:v>42453</c:v>
                </c:pt>
                <c:pt idx="57">
                  <c:v>42457</c:v>
                </c:pt>
                <c:pt idx="58">
                  <c:v>42458</c:v>
                </c:pt>
                <c:pt idx="59">
                  <c:v>42459</c:v>
                </c:pt>
                <c:pt idx="60">
                  <c:v>42460</c:v>
                </c:pt>
                <c:pt idx="61">
                  <c:v>42461</c:v>
                </c:pt>
                <c:pt idx="62">
                  <c:v>42464</c:v>
                </c:pt>
                <c:pt idx="63">
                  <c:v>42465</c:v>
                </c:pt>
                <c:pt idx="64">
                  <c:v>42466</c:v>
                </c:pt>
                <c:pt idx="65">
                  <c:v>42467</c:v>
                </c:pt>
                <c:pt idx="66">
                  <c:v>42468</c:v>
                </c:pt>
                <c:pt idx="67">
                  <c:v>42471</c:v>
                </c:pt>
                <c:pt idx="68">
                  <c:v>42472</c:v>
                </c:pt>
                <c:pt idx="69">
                  <c:v>42473</c:v>
                </c:pt>
                <c:pt idx="70">
                  <c:v>42474</c:v>
                </c:pt>
                <c:pt idx="71">
                  <c:v>42475</c:v>
                </c:pt>
                <c:pt idx="72">
                  <c:v>42478</c:v>
                </c:pt>
                <c:pt idx="73">
                  <c:v>42479</c:v>
                </c:pt>
                <c:pt idx="74">
                  <c:v>42480</c:v>
                </c:pt>
                <c:pt idx="75">
                  <c:v>42481</c:v>
                </c:pt>
                <c:pt idx="76">
                  <c:v>42482</c:v>
                </c:pt>
                <c:pt idx="77">
                  <c:v>42485</c:v>
                </c:pt>
                <c:pt idx="78">
                  <c:v>42486</c:v>
                </c:pt>
                <c:pt idx="79">
                  <c:v>42487</c:v>
                </c:pt>
                <c:pt idx="80">
                  <c:v>42488</c:v>
                </c:pt>
                <c:pt idx="81">
                  <c:v>42489</c:v>
                </c:pt>
                <c:pt idx="82">
                  <c:v>42492</c:v>
                </c:pt>
                <c:pt idx="83">
                  <c:v>42493</c:v>
                </c:pt>
                <c:pt idx="84">
                  <c:v>42494</c:v>
                </c:pt>
                <c:pt idx="85">
                  <c:v>42495</c:v>
                </c:pt>
                <c:pt idx="86">
                  <c:v>42496</c:v>
                </c:pt>
                <c:pt idx="87">
                  <c:v>42499</c:v>
                </c:pt>
                <c:pt idx="88">
                  <c:v>42500</c:v>
                </c:pt>
                <c:pt idx="89">
                  <c:v>42501</c:v>
                </c:pt>
                <c:pt idx="90">
                  <c:v>42502</c:v>
                </c:pt>
                <c:pt idx="91">
                  <c:v>42503</c:v>
                </c:pt>
                <c:pt idx="92">
                  <c:v>42506</c:v>
                </c:pt>
                <c:pt idx="93">
                  <c:v>42507</c:v>
                </c:pt>
                <c:pt idx="94">
                  <c:v>42508</c:v>
                </c:pt>
                <c:pt idx="95">
                  <c:v>42509</c:v>
                </c:pt>
                <c:pt idx="96">
                  <c:v>42510</c:v>
                </c:pt>
                <c:pt idx="97">
                  <c:v>42513</c:v>
                </c:pt>
                <c:pt idx="98">
                  <c:v>42514</c:v>
                </c:pt>
                <c:pt idx="99">
                  <c:v>42515</c:v>
                </c:pt>
                <c:pt idx="100">
                  <c:v>42516</c:v>
                </c:pt>
                <c:pt idx="101">
                  <c:v>42517</c:v>
                </c:pt>
                <c:pt idx="102">
                  <c:v>42521</c:v>
                </c:pt>
                <c:pt idx="103">
                  <c:v>42522</c:v>
                </c:pt>
                <c:pt idx="104">
                  <c:v>42523</c:v>
                </c:pt>
                <c:pt idx="105">
                  <c:v>42524</c:v>
                </c:pt>
                <c:pt idx="106">
                  <c:v>42527</c:v>
                </c:pt>
                <c:pt idx="107">
                  <c:v>42528</c:v>
                </c:pt>
                <c:pt idx="108">
                  <c:v>42529</c:v>
                </c:pt>
                <c:pt idx="109">
                  <c:v>42530</c:v>
                </c:pt>
                <c:pt idx="110">
                  <c:v>42531</c:v>
                </c:pt>
                <c:pt idx="111">
                  <c:v>42534</c:v>
                </c:pt>
                <c:pt idx="112">
                  <c:v>42535</c:v>
                </c:pt>
                <c:pt idx="113">
                  <c:v>42536</c:v>
                </c:pt>
                <c:pt idx="114">
                  <c:v>42537</c:v>
                </c:pt>
                <c:pt idx="115">
                  <c:v>42538</c:v>
                </c:pt>
                <c:pt idx="116">
                  <c:v>42541</c:v>
                </c:pt>
                <c:pt idx="117">
                  <c:v>42542</c:v>
                </c:pt>
                <c:pt idx="118">
                  <c:v>42543</c:v>
                </c:pt>
                <c:pt idx="119">
                  <c:v>42544</c:v>
                </c:pt>
                <c:pt idx="120">
                  <c:v>42545</c:v>
                </c:pt>
                <c:pt idx="121">
                  <c:v>42548</c:v>
                </c:pt>
                <c:pt idx="122">
                  <c:v>42549</c:v>
                </c:pt>
                <c:pt idx="123">
                  <c:v>42550</c:v>
                </c:pt>
                <c:pt idx="124">
                  <c:v>42551</c:v>
                </c:pt>
                <c:pt idx="125">
                  <c:v>42552</c:v>
                </c:pt>
                <c:pt idx="126">
                  <c:v>42556</c:v>
                </c:pt>
                <c:pt idx="127">
                  <c:v>42557</c:v>
                </c:pt>
                <c:pt idx="128">
                  <c:v>42558</c:v>
                </c:pt>
                <c:pt idx="129">
                  <c:v>42559</c:v>
                </c:pt>
                <c:pt idx="130">
                  <c:v>42562</c:v>
                </c:pt>
                <c:pt idx="131">
                  <c:v>42563</c:v>
                </c:pt>
                <c:pt idx="132">
                  <c:v>42564</c:v>
                </c:pt>
                <c:pt idx="133">
                  <c:v>42565</c:v>
                </c:pt>
                <c:pt idx="134">
                  <c:v>42566</c:v>
                </c:pt>
                <c:pt idx="135">
                  <c:v>42569</c:v>
                </c:pt>
                <c:pt idx="136">
                  <c:v>42570</c:v>
                </c:pt>
                <c:pt idx="137">
                  <c:v>42571</c:v>
                </c:pt>
                <c:pt idx="138">
                  <c:v>42572</c:v>
                </c:pt>
                <c:pt idx="139">
                  <c:v>42573</c:v>
                </c:pt>
                <c:pt idx="140">
                  <c:v>42576</c:v>
                </c:pt>
                <c:pt idx="141">
                  <c:v>42577</c:v>
                </c:pt>
                <c:pt idx="142">
                  <c:v>42578</c:v>
                </c:pt>
                <c:pt idx="143">
                  <c:v>42579</c:v>
                </c:pt>
                <c:pt idx="144">
                  <c:v>42580</c:v>
                </c:pt>
                <c:pt idx="145">
                  <c:v>42583</c:v>
                </c:pt>
                <c:pt idx="146">
                  <c:v>42584</c:v>
                </c:pt>
                <c:pt idx="147">
                  <c:v>42585</c:v>
                </c:pt>
                <c:pt idx="148">
                  <c:v>42586</c:v>
                </c:pt>
                <c:pt idx="149">
                  <c:v>42587</c:v>
                </c:pt>
                <c:pt idx="150">
                  <c:v>42590</c:v>
                </c:pt>
                <c:pt idx="151">
                  <c:v>42591</c:v>
                </c:pt>
                <c:pt idx="152">
                  <c:v>42592</c:v>
                </c:pt>
                <c:pt idx="153">
                  <c:v>42593</c:v>
                </c:pt>
                <c:pt idx="154">
                  <c:v>42594</c:v>
                </c:pt>
                <c:pt idx="155">
                  <c:v>42597</c:v>
                </c:pt>
                <c:pt idx="156">
                  <c:v>42598</c:v>
                </c:pt>
                <c:pt idx="157">
                  <c:v>42599</c:v>
                </c:pt>
                <c:pt idx="158">
                  <c:v>42600</c:v>
                </c:pt>
                <c:pt idx="159">
                  <c:v>42601</c:v>
                </c:pt>
                <c:pt idx="160">
                  <c:v>42604</c:v>
                </c:pt>
                <c:pt idx="161">
                  <c:v>42605</c:v>
                </c:pt>
                <c:pt idx="162">
                  <c:v>42606</c:v>
                </c:pt>
                <c:pt idx="163">
                  <c:v>42607</c:v>
                </c:pt>
                <c:pt idx="164">
                  <c:v>42608</c:v>
                </c:pt>
                <c:pt idx="165">
                  <c:v>42611</c:v>
                </c:pt>
                <c:pt idx="166">
                  <c:v>42612</c:v>
                </c:pt>
                <c:pt idx="167">
                  <c:v>42613</c:v>
                </c:pt>
                <c:pt idx="168">
                  <c:v>42614</c:v>
                </c:pt>
                <c:pt idx="169">
                  <c:v>42615</c:v>
                </c:pt>
                <c:pt idx="170">
                  <c:v>42619</c:v>
                </c:pt>
                <c:pt idx="171">
                  <c:v>42620</c:v>
                </c:pt>
                <c:pt idx="172">
                  <c:v>42621</c:v>
                </c:pt>
                <c:pt idx="173">
                  <c:v>42622</c:v>
                </c:pt>
                <c:pt idx="174">
                  <c:v>42625</c:v>
                </c:pt>
                <c:pt idx="175">
                  <c:v>42626</c:v>
                </c:pt>
                <c:pt idx="176">
                  <c:v>42627</c:v>
                </c:pt>
                <c:pt idx="177">
                  <c:v>42628</c:v>
                </c:pt>
                <c:pt idx="178">
                  <c:v>42629</c:v>
                </c:pt>
                <c:pt idx="179">
                  <c:v>42632</c:v>
                </c:pt>
                <c:pt idx="180">
                  <c:v>42633</c:v>
                </c:pt>
                <c:pt idx="181">
                  <c:v>42634</c:v>
                </c:pt>
                <c:pt idx="182">
                  <c:v>42635</c:v>
                </c:pt>
                <c:pt idx="183">
                  <c:v>42636</c:v>
                </c:pt>
                <c:pt idx="184">
                  <c:v>42639</c:v>
                </c:pt>
                <c:pt idx="185">
                  <c:v>42640</c:v>
                </c:pt>
                <c:pt idx="186">
                  <c:v>42641</c:v>
                </c:pt>
                <c:pt idx="187">
                  <c:v>42642</c:v>
                </c:pt>
                <c:pt idx="188">
                  <c:v>42643</c:v>
                </c:pt>
                <c:pt idx="189">
                  <c:v>42646</c:v>
                </c:pt>
                <c:pt idx="190">
                  <c:v>42647</c:v>
                </c:pt>
                <c:pt idx="191">
                  <c:v>42648</c:v>
                </c:pt>
                <c:pt idx="192">
                  <c:v>42649</c:v>
                </c:pt>
                <c:pt idx="193">
                  <c:v>42650</c:v>
                </c:pt>
                <c:pt idx="194">
                  <c:v>42653</c:v>
                </c:pt>
                <c:pt idx="195">
                  <c:v>42654</c:v>
                </c:pt>
                <c:pt idx="196">
                  <c:v>42655</c:v>
                </c:pt>
                <c:pt idx="197">
                  <c:v>42656</c:v>
                </c:pt>
                <c:pt idx="198">
                  <c:v>42657</c:v>
                </c:pt>
                <c:pt idx="199">
                  <c:v>42660</c:v>
                </c:pt>
                <c:pt idx="200">
                  <c:v>42661</c:v>
                </c:pt>
                <c:pt idx="201">
                  <c:v>42662</c:v>
                </c:pt>
                <c:pt idx="202">
                  <c:v>42663</c:v>
                </c:pt>
                <c:pt idx="203">
                  <c:v>42664</c:v>
                </c:pt>
                <c:pt idx="204">
                  <c:v>42667</c:v>
                </c:pt>
                <c:pt idx="205">
                  <c:v>42668</c:v>
                </c:pt>
                <c:pt idx="206">
                  <c:v>42669</c:v>
                </c:pt>
                <c:pt idx="207">
                  <c:v>42670</c:v>
                </c:pt>
                <c:pt idx="208">
                  <c:v>42671</c:v>
                </c:pt>
                <c:pt idx="209">
                  <c:v>42674</c:v>
                </c:pt>
                <c:pt idx="210">
                  <c:v>42675</c:v>
                </c:pt>
                <c:pt idx="211">
                  <c:v>42676</c:v>
                </c:pt>
                <c:pt idx="212">
                  <c:v>42677</c:v>
                </c:pt>
                <c:pt idx="213">
                  <c:v>42678</c:v>
                </c:pt>
                <c:pt idx="214">
                  <c:v>42681</c:v>
                </c:pt>
                <c:pt idx="215">
                  <c:v>42682</c:v>
                </c:pt>
                <c:pt idx="216">
                  <c:v>42683</c:v>
                </c:pt>
                <c:pt idx="217">
                  <c:v>42684</c:v>
                </c:pt>
                <c:pt idx="218">
                  <c:v>42685</c:v>
                </c:pt>
                <c:pt idx="219">
                  <c:v>42688</c:v>
                </c:pt>
                <c:pt idx="220">
                  <c:v>42689</c:v>
                </c:pt>
                <c:pt idx="221">
                  <c:v>42690</c:v>
                </c:pt>
                <c:pt idx="222">
                  <c:v>42691</c:v>
                </c:pt>
                <c:pt idx="223">
                  <c:v>42692</c:v>
                </c:pt>
                <c:pt idx="224">
                  <c:v>42695</c:v>
                </c:pt>
                <c:pt idx="225">
                  <c:v>42696</c:v>
                </c:pt>
                <c:pt idx="226">
                  <c:v>42697</c:v>
                </c:pt>
                <c:pt idx="227">
                  <c:v>42699</c:v>
                </c:pt>
                <c:pt idx="228">
                  <c:v>42702</c:v>
                </c:pt>
                <c:pt idx="229">
                  <c:v>42703</c:v>
                </c:pt>
                <c:pt idx="230">
                  <c:v>42704</c:v>
                </c:pt>
                <c:pt idx="231">
                  <c:v>42705</c:v>
                </c:pt>
                <c:pt idx="232">
                  <c:v>42706</c:v>
                </c:pt>
                <c:pt idx="233">
                  <c:v>42709</c:v>
                </c:pt>
                <c:pt idx="234">
                  <c:v>42710</c:v>
                </c:pt>
                <c:pt idx="235">
                  <c:v>42711</c:v>
                </c:pt>
                <c:pt idx="236">
                  <c:v>42712</c:v>
                </c:pt>
                <c:pt idx="237">
                  <c:v>42713</c:v>
                </c:pt>
                <c:pt idx="238">
                  <c:v>42716</c:v>
                </c:pt>
                <c:pt idx="239">
                  <c:v>42717</c:v>
                </c:pt>
                <c:pt idx="240">
                  <c:v>42718</c:v>
                </c:pt>
                <c:pt idx="241">
                  <c:v>42719</c:v>
                </c:pt>
                <c:pt idx="242">
                  <c:v>42720</c:v>
                </c:pt>
                <c:pt idx="243">
                  <c:v>42723</c:v>
                </c:pt>
                <c:pt idx="244">
                  <c:v>42724</c:v>
                </c:pt>
                <c:pt idx="245">
                  <c:v>42725</c:v>
                </c:pt>
                <c:pt idx="246">
                  <c:v>42726</c:v>
                </c:pt>
                <c:pt idx="247">
                  <c:v>42727</c:v>
                </c:pt>
                <c:pt idx="248">
                  <c:v>42731</c:v>
                </c:pt>
                <c:pt idx="249">
                  <c:v>42732</c:v>
                </c:pt>
                <c:pt idx="250">
                  <c:v>42733</c:v>
                </c:pt>
                <c:pt idx="251">
                  <c:v>42734</c:v>
                </c:pt>
                <c:pt idx="252">
                  <c:v>42738</c:v>
                </c:pt>
                <c:pt idx="253">
                  <c:v>42739</c:v>
                </c:pt>
                <c:pt idx="254">
                  <c:v>42740</c:v>
                </c:pt>
                <c:pt idx="255">
                  <c:v>42741</c:v>
                </c:pt>
                <c:pt idx="256">
                  <c:v>42744</c:v>
                </c:pt>
                <c:pt idx="257">
                  <c:v>42745</c:v>
                </c:pt>
                <c:pt idx="258">
                  <c:v>42746</c:v>
                </c:pt>
                <c:pt idx="259">
                  <c:v>42747</c:v>
                </c:pt>
                <c:pt idx="260">
                  <c:v>42748</c:v>
                </c:pt>
                <c:pt idx="261">
                  <c:v>42752</c:v>
                </c:pt>
                <c:pt idx="262">
                  <c:v>42753</c:v>
                </c:pt>
                <c:pt idx="263">
                  <c:v>42754</c:v>
                </c:pt>
                <c:pt idx="264">
                  <c:v>42755</c:v>
                </c:pt>
                <c:pt idx="265">
                  <c:v>42758</c:v>
                </c:pt>
                <c:pt idx="266">
                  <c:v>42759</c:v>
                </c:pt>
                <c:pt idx="267">
                  <c:v>42760</c:v>
                </c:pt>
                <c:pt idx="268">
                  <c:v>42761</c:v>
                </c:pt>
                <c:pt idx="269">
                  <c:v>42762</c:v>
                </c:pt>
                <c:pt idx="270">
                  <c:v>42765</c:v>
                </c:pt>
                <c:pt idx="271">
                  <c:v>42766</c:v>
                </c:pt>
                <c:pt idx="272">
                  <c:v>42767</c:v>
                </c:pt>
                <c:pt idx="273">
                  <c:v>42768</c:v>
                </c:pt>
                <c:pt idx="274">
                  <c:v>42769</c:v>
                </c:pt>
                <c:pt idx="275">
                  <c:v>42772</c:v>
                </c:pt>
                <c:pt idx="276">
                  <c:v>42773</c:v>
                </c:pt>
                <c:pt idx="277">
                  <c:v>42774</c:v>
                </c:pt>
                <c:pt idx="278">
                  <c:v>42775</c:v>
                </c:pt>
                <c:pt idx="279">
                  <c:v>42776</c:v>
                </c:pt>
                <c:pt idx="280">
                  <c:v>42779</c:v>
                </c:pt>
                <c:pt idx="281">
                  <c:v>42780</c:v>
                </c:pt>
                <c:pt idx="282">
                  <c:v>42781</c:v>
                </c:pt>
                <c:pt idx="283">
                  <c:v>42782</c:v>
                </c:pt>
                <c:pt idx="284">
                  <c:v>42783</c:v>
                </c:pt>
                <c:pt idx="285">
                  <c:v>42787</c:v>
                </c:pt>
                <c:pt idx="286">
                  <c:v>42788</c:v>
                </c:pt>
                <c:pt idx="287">
                  <c:v>42789</c:v>
                </c:pt>
                <c:pt idx="288">
                  <c:v>42790</c:v>
                </c:pt>
                <c:pt idx="289">
                  <c:v>42793</c:v>
                </c:pt>
                <c:pt idx="290">
                  <c:v>42794</c:v>
                </c:pt>
                <c:pt idx="291">
                  <c:v>42795</c:v>
                </c:pt>
                <c:pt idx="292">
                  <c:v>42796</c:v>
                </c:pt>
                <c:pt idx="293">
                  <c:v>42797</c:v>
                </c:pt>
                <c:pt idx="294">
                  <c:v>42800</c:v>
                </c:pt>
                <c:pt idx="295">
                  <c:v>42801</c:v>
                </c:pt>
                <c:pt idx="296">
                  <c:v>42802</c:v>
                </c:pt>
                <c:pt idx="297">
                  <c:v>42803</c:v>
                </c:pt>
                <c:pt idx="298">
                  <c:v>42804</c:v>
                </c:pt>
                <c:pt idx="299">
                  <c:v>42807</c:v>
                </c:pt>
                <c:pt idx="300">
                  <c:v>42808</c:v>
                </c:pt>
                <c:pt idx="301">
                  <c:v>42809</c:v>
                </c:pt>
                <c:pt idx="302">
                  <c:v>42810</c:v>
                </c:pt>
                <c:pt idx="303">
                  <c:v>42811</c:v>
                </c:pt>
                <c:pt idx="304">
                  <c:v>42814</c:v>
                </c:pt>
                <c:pt idx="305">
                  <c:v>42815</c:v>
                </c:pt>
                <c:pt idx="306">
                  <c:v>42816</c:v>
                </c:pt>
                <c:pt idx="307">
                  <c:v>42817</c:v>
                </c:pt>
                <c:pt idx="308">
                  <c:v>42818</c:v>
                </c:pt>
                <c:pt idx="309">
                  <c:v>42821</c:v>
                </c:pt>
                <c:pt idx="310">
                  <c:v>42822</c:v>
                </c:pt>
                <c:pt idx="311">
                  <c:v>42823</c:v>
                </c:pt>
                <c:pt idx="312">
                  <c:v>42824</c:v>
                </c:pt>
                <c:pt idx="313">
                  <c:v>42825</c:v>
                </c:pt>
                <c:pt idx="314">
                  <c:v>42828</c:v>
                </c:pt>
                <c:pt idx="315">
                  <c:v>42829</c:v>
                </c:pt>
                <c:pt idx="316">
                  <c:v>42830</c:v>
                </c:pt>
                <c:pt idx="317">
                  <c:v>42831</c:v>
                </c:pt>
                <c:pt idx="318">
                  <c:v>42832</c:v>
                </c:pt>
                <c:pt idx="319">
                  <c:v>42835</c:v>
                </c:pt>
                <c:pt idx="320">
                  <c:v>42836</c:v>
                </c:pt>
                <c:pt idx="321">
                  <c:v>42837</c:v>
                </c:pt>
                <c:pt idx="322">
                  <c:v>42838</c:v>
                </c:pt>
                <c:pt idx="323">
                  <c:v>42842</c:v>
                </c:pt>
                <c:pt idx="324">
                  <c:v>42843</c:v>
                </c:pt>
                <c:pt idx="325">
                  <c:v>42844</c:v>
                </c:pt>
                <c:pt idx="326">
                  <c:v>42845</c:v>
                </c:pt>
                <c:pt idx="327">
                  <c:v>42846</c:v>
                </c:pt>
                <c:pt idx="328">
                  <c:v>42849</c:v>
                </c:pt>
                <c:pt idx="329">
                  <c:v>42850</c:v>
                </c:pt>
                <c:pt idx="330">
                  <c:v>42851</c:v>
                </c:pt>
                <c:pt idx="331">
                  <c:v>42852</c:v>
                </c:pt>
                <c:pt idx="332">
                  <c:v>42853</c:v>
                </c:pt>
                <c:pt idx="333">
                  <c:v>42856</c:v>
                </c:pt>
                <c:pt idx="334">
                  <c:v>42857</c:v>
                </c:pt>
                <c:pt idx="335">
                  <c:v>42858</c:v>
                </c:pt>
                <c:pt idx="336">
                  <c:v>42859</c:v>
                </c:pt>
                <c:pt idx="337">
                  <c:v>42860</c:v>
                </c:pt>
                <c:pt idx="338">
                  <c:v>42863</c:v>
                </c:pt>
                <c:pt idx="339">
                  <c:v>42864</c:v>
                </c:pt>
                <c:pt idx="340">
                  <c:v>42865</c:v>
                </c:pt>
                <c:pt idx="341">
                  <c:v>42866</c:v>
                </c:pt>
                <c:pt idx="342">
                  <c:v>42867</c:v>
                </c:pt>
                <c:pt idx="343">
                  <c:v>42870</c:v>
                </c:pt>
                <c:pt idx="344">
                  <c:v>42871</c:v>
                </c:pt>
                <c:pt idx="345">
                  <c:v>42872</c:v>
                </c:pt>
                <c:pt idx="346">
                  <c:v>42873</c:v>
                </c:pt>
                <c:pt idx="347">
                  <c:v>42874</c:v>
                </c:pt>
                <c:pt idx="348">
                  <c:v>42877</c:v>
                </c:pt>
                <c:pt idx="349">
                  <c:v>42878</c:v>
                </c:pt>
                <c:pt idx="350">
                  <c:v>42879</c:v>
                </c:pt>
                <c:pt idx="351">
                  <c:v>42880</c:v>
                </c:pt>
                <c:pt idx="352">
                  <c:v>42881</c:v>
                </c:pt>
                <c:pt idx="353">
                  <c:v>42885</c:v>
                </c:pt>
                <c:pt idx="354">
                  <c:v>42886</c:v>
                </c:pt>
                <c:pt idx="355">
                  <c:v>42887</c:v>
                </c:pt>
                <c:pt idx="356">
                  <c:v>42888</c:v>
                </c:pt>
                <c:pt idx="357">
                  <c:v>42891</c:v>
                </c:pt>
                <c:pt idx="358">
                  <c:v>42892</c:v>
                </c:pt>
                <c:pt idx="359">
                  <c:v>42893</c:v>
                </c:pt>
                <c:pt idx="360">
                  <c:v>42894</c:v>
                </c:pt>
                <c:pt idx="361">
                  <c:v>42895</c:v>
                </c:pt>
                <c:pt idx="362">
                  <c:v>42898</c:v>
                </c:pt>
                <c:pt idx="363">
                  <c:v>42899</c:v>
                </c:pt>
                <c:pt idx="364">
                  <c:v>42900</c:v>
                </c:pt>
                <c:pt idx="365">
                  <c:v>42901</c:v>
                </c:pt>
                <c:pt idx="366">
                  <c:v>42902</c:v>
                </c:pt>
                <c:pt idx="367">
                  <c:v>42905</c:v>
                </c:pt>
                <c:pt idx="368">
                  <c:v>42906</c:v>
                </c:pt>
                <c:pt idx="369">
                  <c:v>42907</c:v>
                </c:pt>
                <c:pt idx="370">
                  <c:v>42908</c:v>
                </c:pt>
                <c:pt idx="371">
                  <c:v>42909</c:v>
                </c:pt>
                <c:pt idx="372">
                  <c:v>42912</c:v>
                </c:pt>
                <c:pt idx="373">
                  <c:v>42913</c:v>
                </c:pt>
                <c:pt idx="374">
                  <c:v>42914</c:v>
                </c:pt>
                <c:pt idx="375">
                  <c:v>42915</c:v>
                </c:pt>
                <c:pt idx="376">
                  <c:v>42916</c:v>
                </c:pt>
                <c:pt idx="377">
                  <c:v>42919</c:v>
                </c:pt>
                <c:pt idx="378">
                  <c:v>42921</c:v>
                </c:pt>
                <c:pt idx="379">
                  <c:v>42922</c:v>
                </c:pt>
                <c:pt idx="380">
                  <c:v>42923</c:v>
                </c:pt>
                <c:pt idx="381">
                  <c:v>42926</c:v>
                </c:pt>
                <c:pt idx="382">
                  <c:v>42927</c:v>
                </c:pt>
                <c:pt idx="383">
                  <c:v>42928</c:v>
                </c:pt>
                <c:pt idx="384">
                  <c:v>42929</c:v>
                </c:pt>
                <c:pt idx="385">
                  <c:v>42930</c:v>
                </c:pt>
                <c:pt idx="386">
                  <c:v>42933</c:v>
                </c:pt>
                <c:pt idx="387">
                  <c:v>42934</c:v>
                </c:pt>
                <c:pt idx="388">
                  <c:v>42935</c:v>
                </c:pt>
                <c:pt idx="389">
                  <c:v>42936</c:v>
                </c:pt>
                <c:pt idx="390">
                  <c:v>42937</c:v>
                </c:pt>
                <c:pt idx="391">
                  <c:v>42940</c:v>
                </c:pt>
                <c:pt idx="392">
                  <c:v>42941</c:v>
                </c:pt>
                <c:pt idx="393">
                  <c:v>42942</c:v>
                </c:pt>
                <c:pt idx="394">
                  <c:v>42943</c:v>
                </c:pt>
                <c:pt idx="395">
                  <c:v>42944</c:v>
                </c:pt>
                <c:pt idx="396">
                  <c:v>42947</c:v>
                </c:pt>
                <c:pt idx="397">
                  <c:v>42948</c:v>
                </c:pt>
                <c:pt idx="398">
                  <c:v>42949</c:v>
                </c:pt>
                <c:pt idx="399">
                  <c:v>42950</c:v>
                </c:pt>
                <c:pt idx="400">
                  <c:v>42951</c:v>
                </c:pt>
                <c:pt idx="401">
                  <c:v>42954</c:v>
                </c:pt>
                <c:pt idx="402">
                  <c:v>42955</c:v>
                </c:pt>
                <c:pt idx="403">
                  <c:v>42956</c:v>
                </c:pt>
                <c:pt idx="404">
                  <c:v>42957</c:v>
                </c:pt>
                <c:pt idx="405">
                  <c:v>42958</c:v>
                </c:pt>
                <c:pt idx="406">
                  <c:v>42961</c:v>
                </c:pt>
                <c:pt idx="407">
                  <c:v>42962</c:v>
                </c:pt>
                <c:pt idx="408">
                  <c:v>42963</c:v>
                </c:pt>
                <c:pt idx="409">
                  <c:v>42964</c:v>
                </c:pt>
                <c:pt idx="410">
                  <c:v>42965</c:v>
                </c:pt>
                <c:pt idx="411">
                  <c:v>42968</c:v>
                </c:pt>
                <c:pt idx="412">
                  <c:v>42969</c:v>
                </c:pt>
                <c:pt idx="413">
                  <c:v>42970</c:v>
                </c:pt>
                <c:pt idx="414">
                  <c:v>42971</c:v>
                </c:pt>
                <c:pt idx="415">
                  <c:v>42972</c:v>
                </c:pt>
                <c:pt idx="416">
                  <c:v>42975</c:v>
                </c:pt>
                <c:pt idx="417">
                  <c:v>42976</c:v>
                </c:pt>
                <c:pt idx="418">
                  <c:v>42977</c:v>
                </c:pt>
                <c:pt idx="419">
                  <c:v>42978</c:v>
                </c:pt>
                <c:pt idx="420">
                  <c:v>42979</c:v>
                </c:pt>
                <c:pt idx="421">
                  <c:v>42983</c:v>
                </c:pt>
                <c:pt idx="422">
                  <c:v>42984</c:v>
                </c:pt>
                <c:pt idx="423">
                  <c:v>42985</c:v>
                </c:pt>
                <c:pt idx="424">
                  <c:v>42986</c:v>
                </c:pt>
                <c:pt idx="425">
                  <c:v>42989</c:v>
                </c:pt>
                <c:pt idx="426">
                  <c:v>42990</c:v>
                </c:pt>
                <c:pt idx="427">
                  <c:v>42991</c:v>
                </c:pt>
                <c:pt idx="428">
                  <c:v>42992</c:v>
                </c:pt>
                <c:pt idx="429">
                  <c:v>42993</c:v>
                </c:pt>
                <c:pt idx="430">
                  <c:v>42996</c:v>
                </c:pt>
                <c:pt idx="431">
                  <c:v>42997</c:v>
                </c:pt>
                <c:pt idx="432">
                  <c:v>42998</c:v>
                </c:pt>
                <c:pt idx="433">
                  <c:v>42999</c:v>
                </c:pt>
                <c:pt idx="434">
                  <c:v>43000</c:v>
                </c:pt>
                <c:pt idx="435">
                  <c:v>43003</c:v>
                </c:pt>
                <c:pt idx="436">
                  <c:v>43004</c:v>
                </c:pt>
                <c:pt idx="437">
                  <c:v>43005</c:v>
                </c:pt>
                <c:pt idx="438">
                  <c:v>43006</c:v>
                </c:pt>
                <c:pt idx="439">
                  <c:v>43007</c:v>
                </c:pt>
                <c:pt idx="440">
                  <c:v>43010</c:v>
                </c:pt>
                <c:pt idx="441">
                  <c:v>43011</c:v>
                </c:pt>
                <c:pt idx="442">
                  <c:v>43012</c:v>
                </c:pt>
                <c:pt idx="443">
                  <c:v>43013</c:v>
                </c:pt>
                <c:pt idx="444">
                  <c:v>43014</c:v>
                </c:pt>
                <c:pt idx="445">
                  <c:v>43017</c:v>
                </c:pt>
                <c:pt idx="446">
                  <c:v>43018</c:v>
                </c:pt>
                <c:pt idx="447">
                  <c:v>43019</c:v>
                </c:pt>
                <c:pt idx="448">
                  <c:v>43020</c:v>
                </c:pt>
                <c:pt idx="449">
                  <c:v>43021</c:v>
                </c:pt>
                <c:pt idx="450">
                  <c:v>43024</c:v>
                </c:pt>
                <c:pt idx="451">
                  <c:v>43025</c:v>
                </c:pt>
                <c:pt idx="452">
                  <c:v>43026</c:v>
                </c:pt>
                <c:pt idx="453">
                  <c:v>43027</c:v>
                </c:pt>
                <c:pt idx="454">
                  <c:v>43028</c:v>
                </c:pt>
                <c:pt idx="455">
                  <c:v>43031</c:v>
                </c:pt>
                <c:pt idx="456">
                  <c:v>43032</c:v>
                </c:pt>
                <c:pt idx="457">
                  <c:v>43033</c:v>
                </c:pt>
                <c:pt idx="458">
                  <c:v>43034</c:v>
                </c:pt>
                <c:pt idx="459">
                  <c:v>43035</c:v>
                </c:pt>
                <c:pt idx="460">
                  <c:v>43038</c:v>
                </c:pt>
                <c:pt idx="461">
                  <c:v>43039</c:v>
                </c:pt>
                <c:pt idx="462">
                  <c:v>43040</c:v>
                </c:pt>
                <c:pt idx="463">
                  <c:v>43041</c:v>
                </c:pt>
                <c:pt idx="464">
                  <c:v>43042</c:v>
                </c:pt>
                <c:pt idx="465">
                  <c:v>43045</c:v>
                </c:pt>
                <c:pt idx="466">
                  <c:v>43046</c:v>
                </c:pt>
                <c:pt idx="467">
                  <c:v>43047</c:v>
                </c:pt>
                <c:pt idx="468">
                  <c:v>43048</c:v>
                </c:pt>
                <c:pt idx="469">
                  <c:v>43049</c:v>
                </c:pt>
                <c:pt idx="470">
                  <c:v>43052</c:v>
                </c:pt>
                <c:pt idx="471">
                  <c:v>43053</c:v>
                </c:pt>
                <c:pt idx="472">
                  <c:v>43054</c:v>
                </c:pt>
                <c:pt idx="473">
                  <c:v>43055</c:v>
                </c:pt>
                <c:pt idx="474">
                  <c:v>43056</c:v>
                </c:pt>
                <c:pt idx="475">
                  <c:v>43059</c:v>
                </c:pt>
                <c:pt idx="476">
                  <c:v>43060</c:v>
                </c:pt>
                <c:pt idx="477">
                  <c:v>43061</c:v>
                </c:pt>
                <c:pt idx="478">
                  <c:v>43063</c:v>
                </c:pt>
                <c:pt idx="479">
                  <c:v>43066</c:v>
                </c:pt>
                <c:pt idx="480">
                  <c:v>43067</c:v>
                </c:pt>
                <c:pt idx="481">
                  <c:v>43068</c:v>
                </c:pt>
                <c:pt idx="482">
                  <c:v>43069</c:v>
                </c:pt>
                <c:pt idx="483">
                  <c:v>43070</c:v>
                </c:pt>
                <c:pt idx="484">
                  <c:v>43073</c:v>
                </c:pt>
                <c:pt idx="485">
                  <c:v>43074</c:v>
                </c:pt>
                <c:pt idx="486">
                  <c:v>43075</c:v>
                </c:pt>
                <c:pt idx="487">
                  <c:v>43076</c:v>
                </c:pt>
                <c:pt idx="488">
                  <c:v>43077</c:v>
                </c:pt>
                <c:pt idx="489">
                  <c:v>43080</c:v>
                </c:pt>
                <c:pt idx="490">
                  <c:v>43081</c:v>
                </c:pt>
                <c:pt idx="491">
                  <c:v>43082</c:v>
                </c:pt>
                <c:pt idx="492">
                  <c:v>43083</c:v>
                </c:pt>
                <c:pt idx="493">
                  <c:v>43084</c:v>
                </c:pt>
                <c:pt idx="494">
                  <c:v>43087</c:v>
                </c:pt>
                <c:pt idx="495">
                  <c:v>43088</c:v>
                </c:pt>
                <c:pt idx="496">
                  <c:v>43089</c:v>
                </c:pt>
                <c:pt idx="497">
                  <c:v>43090</c:v>
                </c:pt>
                <c:pt idx="498">
                  <c:v>43091</c:v>
                </c:pt>
                <c:pt idx="499">
                  <c:v>43095</c:v>
                </c:pt>
                <c:pt idx="500">
                  <c:v>43096</c:v>
                </c:pt>
                <c:pt idx="501">
                  <c:v>43097</c:v>
                </c:pt>
                <c:pt idx="502">
                  <c:v>43098</c:v>
                </c:pt>
                <c:pt idx="503">
                  <c:v>43102</c:v>
                </c:pt>
                <c:pt idx="504">
                  <c:v>43103</c:v>
                </c:pt>
                <c:pt idx="505">
                  <c:v>43104</c:v>
                </c:pt>
                <c:pt idx="506">
                  <c:v>43105</c:v>
                </c:pt>
                <c:pt idx="507">
                  <c:v>43108</c:v>
                </c:pt>
                <c:pt idx="508">
                  <c:v>43109</c:v>
                </c:pt>
                <c:pt idx="509">
                  <c:v>43110</c:v>
                </c:pt>
                <c:pt idx="510">
                  <c:v>43111</c:v>
                </c:pt>
                <c:pt idx="511">
                  <c:v>43112</c:v>
                </c:pt>
                <c:pt idx="512">
                  <c:v>43116</c:v>
                </c:pt>
                <c:pt idx="513">
                  <c:v>43117</c:v>
                </c:pt>
                <c:pt idx="514">
                  <c:v>43118</c:v>
                </c:pt>
                <c:pt idx="515">
                  <c:v>43119</c:v>
                </c:pt>
                <c:pt idx="516">
                  <c:v>43122</c:v>
                </c:pt>
                <c:pt idx="517">
                  <c:v>43123</c:v>
                </c:pt>
                <c:pt idx="518">
                  <c:v>43124</c:v>
                </c:pt>
                <c:pt idx="519">
                  <c:v>43125</c:v>
                </c:pt>
                <c:pt idx="520">
                  <c:v>43126</c:v>
                </c:pt>
                <c:pt idx="521">
                  <c:v>43129</c:v>
                </c:pt>
                <c:pt idx="522">
                  <c:v>43130</c:v>
                </c:pt>
                <c:pt idx="523">
                  <c:v>43131</c:v>
                </c:pt>
                <c:pt idx="524">
                  <c:v>43132</c:v>
                </c:pt>
                <c:pt idx="525">
                  <c:v>43133</c:v>
                </c:pt>
                <c:pt idx="526">
                  <c:v>43136</c:v>
                </c:pt>
                <c:pt idx="527">
                  <c:v>43137</c:v>
                </c:pt>
                <c:pt idx="528">
                  <c:v>43138</c:v>
                </c:pt>
                <c:pt idx="529">
                  <c:v>43139</c:v>
                </c:pt>
                <c:pt idx="530">
                  <c:v>43140</c:v>
                </c:pt>
                <c:pt idx="531">
                  <c:v>43143</c:v>
                </c:pt>
                <c:pt idx="532">
                  <c:v>43144</c:v>
                </c:pt>
                <c:pt idx="533">
                  <c:v>43145</c:v>
                </c:pt>
                <c:pt idx="534">
                  <c:v>43146</c:v>
                </c:pt>
                <c:pt idx="535">
                  <c:v>43147</c:v>
                </c:pt>
                <c:pt idx="536">
                  <c:v>43151</c:v>
                </c:pt>
                <c:pt idx="537">
                  <c:v>43152</c:v>
                </c:pt>
                <c:pt idx="538">
                  <c:v>43153</c:v>
                </c:pt>
                <c:pt idx="539">
                  <c:v>43154</c:v>
                </c:pt>
                <c:pt idx="540">
                  <c:v>43157</c:v>
                </c:pt>
                <c:pt idx="541">
                  <c:v>43158</c:v>
                </c:pt>
                <c:pt idx="542">
                  <c:v>43159</c:v>
                </c:pt>
                <c:pt idx="543">
                  <c:v>43160</c:v>
                </c:pt>
                <c:pt idx="544">
                  <c:v>43161</c:v>
                </c:pt>
                <c:pt idx="545">
                  <c:v>43164</c:v>
                </c:pt>
                <c:pt idx="546">
                  <c:v>43165</c:v>
                </c:pt>
                <c:pt idx="547">
                  <c:v>43166</c:v>
                </c:pt>
                <c:pt idx="548">
                  <c:v>43167</c:v>
                </c:pt>
                <c:pt idx="549">
                  <c:v>43168</c:v>
                </c:pt>
                <c:pt idx="550">
                  <c:v>43171</c:v>
                </c:pt>
                <c:pt idx="551">
                  <c:v>43172</c:v>
                </c:pt>
                <c:pt idx="552">
                  <c:v>43173</c:v>
                </c:pt>
                <c:pt idx="553">
                  <c:v>43174</c:v>
                </c:pt>
                <c:pt idx="554">
                  <c:v>43175</c:v>
                </c:pt>
                <c:pt idx="555">
                  <c:v>43178</c:v>
                </c:pt>
                <c:pt idx="556">
                  <c:v>43179</c:v>
                </c:pt>
                <c:pt idx="557">
                  <c:v>43180</c:v>
                </c:pt>
                <c:pt idx="558">
                  <c:v>43181</c:v>
                </c:pt>
                <c:pt idx="559">
                  <c:v>43182</c:v>
                </c:pt>
                <c:pt idx="560">
                  <c:v>43185</c:v>
                </c:pt>
                <c:pt idx="561">
                  <c:v>43186</c:v>
                </c:pt>
                <c:pt idx="562">
                  <c:v>43187</c:v>
                </c:pt>
                <c:pt idx="563">
                  <c:v>43188</c:v>
                </c:pt>
                <c:pt idx="564">
                  <c:v>43192</c:v>
                </c:pt>
                <c:pt idx="565">
                  <c:v>43193</c:v>
                </c:pt>
                <c:pt idx="566">
                  <c:v>43194</c:v>
                </c:pt>
                <c:pt idx="567">
                  <c:v>43195</c:v>
                </c:pt>
                <c:pt idx="568">
                  <c:v>43196</c:v>
                </c:pt>
                <c:pt idx="569">
                  <c:v>43199</c:v>
                </c:pt>
                <c:pt idx="570">
                  <c:v>43200</c:v>
                </c:pt>
                <c:pt idx="571">
                  <c:v>43201</c:v>
                </c:pt>
                <c:pt idx="572">
                  <c:v>43202</c:v>
                </c:pt>
                <c:pt idx="573">
                  <c:v>43203</c:v>
                </c:pt>
                <c:pt idx="574">
                  <c:v>43206</c:v>
                </c:pt>
                <c:pt idx="575">
                  <c:v>43207</c:v>
                </c:pt>
                <c:pt idx="576">
                  <c:v>43208</c:v>
                </c:pt>
                <c:pt idx="577">
                  <c:v>43209</c:v>
                </c:pt>
                <c:pt idx="578">
                  <c:v>43210</c:v>
                </c:pt>
                <c:pt idx="579">
                  <c:v>43213</c:v>
                </c:pt>
                <c:pt idx="580">
                  <c:v>43214</c:v>
                </c:pt>
                <c:pt idx="581">
                  <c:v>43215</c:v>
                </c:pt>
                <c:pt idx="582">
                  <c:v>43216</c:v>
                </c:pt>
                <c:pt idx="583">
                  <c:v>43217</c:v>
                </c:pt>
                <c:pt idx="584">
                  <c:v>43220</c:v>
                </c:pt>
                <c:pt idx="585">
                  <c:v>43221</c:v>
                </c:pt>
                <c:pt idx="586">
                  <c:v>43222</c:v>
                </c:pt>
                <c:pt idx="587">
                  <c:v>43223</c:v>
                </c:pt>
                <c:pt idx="588">
                  <c:v>43224</c:v>
                </c:pt>
                <c:pt idx="589">
                  <c:v>43227</c:v>
                </c:pt>
                <c:pt idx="590">
                  <c:v>43228</c:v>
                </c:pt>
                <c:pt idx="591">
                  <c:v>43229</c:v>
                </c:pt>
                <c:pt idx="592">
                  <c:v>43230</c:v>
                </c:pt>
                <c:pt idx="593">
                  <c:v>43231</c:v>
                </c:pt>
                <c:pt idx="594">
                  <c:v>43234</c:v>
                </c:pt>
                <c:pt idx="595">
                  <c:v>43235</c:v>
                </c:pt>
                <c:pt idx="596">
                  <c:v>43236</c:v>
                </c:pt>
                <c:pt idx="597">
                  <c:v>43237</c:v>
                </c:pt>
                <c:pt idx="598">
                  <c:v>43238</c:v>
                </c:pt>
                <c:pt idx="599">
                  <c:v>43241</c:v>
                </c:pt>
                <c:pt idx="600">
                  <c:v>43242</c:v>
                </c:pt>
                <c:pt idx="601">
                  <c:v>43243</c:v>
                </c:pt>
                <c:pt idx="602">
                  <c:v>43244</c:v>
                </c:pt>
                <c:pt idx="603">
                  <c:v>43245</c:v>
                </c:pt>
                <c:pt idx="604">
                  <c:v>43249</c:v>
                </c:pt>
                <c:pt idx="605">
                  <c:v>43250</c:v>
                </c:pt>
                <c:pt idx="606">
                  <c:v>43251</c:v>
                </c:pt>
                <c:pt idx="607">
                  <c:v>43252</c:v>
                </c:pt>
                <c:pt idx="608">
                  <c:v>43255</c:v>
                </c:pt>
                <c:pt idx="609">
                  <c:v>43256</c:v>
                </c:pt>
                <c:pt idx="610">
                  <c:v>43257</c:v>
                </c:pt>
                <c:pt idx="611">
                  <c:v>43258</c:v>
                </c:pt>
                <c:pt idx="612">
                  <c:v>43259</c:v>
                </c:pt>
                <c:pt idx="613">
                  <c:v>43262</c:v>
                </c:pt>
                <c:pt idx="614">
                  <c:v>43263</c:v>
                </c:pt>
                <c:pt idx="615">
                  <c:v>43264</c:v>
                </c:pt>
                <c:pt idx="616">
                  <c:v>43265</c:v>
                </c:pt>
                <c:pt idx="617">
                  <c:v>43266</c:v>
                </c:pt>
                <c:pt idx="618">
                  <c:v>43269</c:v>
                </c:pt>
                <c:pt idx="619">
                  <c:v>43270</c:v>
                </c:pt>
                <c:pt idx="620">
                  <c:v>43271</c:v>
                </c:pt>
                <c:pt idx="621">
                  <c:v>43272</c:v>
                </c:pt>
                <c:pt idx="622">
                  <c:v>43273</c:v>
                </c:pt>
                <c:pt idx="623">
                  <c:v>43276</c:v>
                </c:pt>
                <c:pt idx="624">
                  <c:v>43277</c:v>
                </c:pt>
                <c:pt idx="625">
                  <c:v>43278</c:v>
                </c:pt>
                <c:pt idx="626">
                  <c:v>43279</c:v>
                </c:pt>
                <c:pt idx="627">
                  <c:v>43280</c:v>
                </c:pt>
                <c:pt idx="628">
                  <c:v>43283</c:v>
                </c:pt>
                <c:pt idx="629">
                  <c:v>43284</c:v>
                </c:pt>
                <c:pt idx="630">
                  <c:v>43286</c:v>
                </c:pt>
                <c:pt idx="631">
                  <c:v>43287</c:v>
                </c:pt>
                <c:pt idx="632">
                  <c:v>43290</c:v>
                </c:pt>
                <c:pt idx="633">
                  <c:v>43291</c:v>
                </c:pt>
                <c:pt idx="634">
                  <c:v>43292</c:v>
                </c:pt>
                <c:pt idx="635">
                  <c:v>43293</c:v>
                </c:pt>
                <c:pt idx="636">
                  <c:v>43294</c:v>
                </c:pt>
                <c:pt idx="637">
                  <c:v>43297</c:v>
                </c:pt>
                <c:pt idx="638">
                  <c:v>43298</c:v>
                </c:pt>
                <c:pt idx="639">
                  <c:v>43299</c:v>
                </c:pt>
                <c:pt idx="640">
                  <c:v>43300</c:v>
                </c:pt>
                <c:pt idx="641">
                  <c:v>43301</c:v>
                </c:pt>
                <c:pt idx="642">
                  <c:v>43304</c:v>
                </c:pt>
                <c:pt idx="643">
                  <c:v>43305</c:v>
                </c:pt>
                <c:pt idx="644">
                  <c:v>43306</c:v>
                </c:pt>
                <c:pt idx="645">
                  <c:v>43307</c:v>
                </c:pt>
                <c:pt idx="646">
                  <c:v>43308</c:v>
                </c:pt>
                <c:pt idx="647">
                  <c:v>43311</c:v>
                </c:pt>
                <c:pt idx="648">
                  <c:v>43312</c:v>
                </c:pt>
                <c:pt idx="649">
                  <c:v>43313</c:v>
                </c:pt>
                <c:pt idx="650">
                  <c:v>43314</c:v>
                </c:pt>
                <c:pt idx="651">
                  <c:v>43315</c:v>
                </c:pt>
                <c:pt idx="652">
                  <c:v>43318</c:v>
                </c:pt>
                <c:pt idx="653">
                  <c:v>43319</c:v>
                </c:pt>
                <c:pt idx="654">
                  <c:v>43320</c:v>
                </c:pt>
                <c:pt idx="655">
                  <c:v>43321</c:v>
                </c:pt>
                <c:pt idx="656">
                  <c:v>43322</c:v>
                </c:pt>
                <c:pt idx="657">
                  <c:v>43325</c:v>
                </c:pt>
                <c:pt idx="658">
                  <c:v>43326</c:v>
                </c:pt>
                <c:pt idx="659">
                  <c:v>43327</c:v>
                </c:pt>
                <c:pt idx="660">
                  <c:v>43328</c:v>
                </c:pt>
                <c:pt idx="661">
                  <c:v>43329</c:v>
                </c:pt>
                <c:pt idx="662">
                  <c:v>43332</c:v>
                </c:pt>
                <c:pt idx="663">
                  <c:v>43333</c:v>
                </c:pt>
                <c:pt idx="664">
                  <c:v>43334</c:v>
                </c:pt>
                <c:pt idx="665">
                  <c:v>43335</c:v>
                </c:pt>
                <c:pt idx="666">
                  <c:v>43336</c:v>
                </c:pt>
                <c:pt idx="667">
                  <c:v>43339</c:v>
                </c:pt>
                <c:pt idx="668">
                  <c:v>43340</c:v>
                </c:pt>
                <c:pt idx="669">
                  <c:v>43341</c:v>
                </c:pt>
                <c:pt idx="670">
                  <c:v>43342</c:v>
                </c:pt>
                <c:pt idx="671">
                  <c:v>43343</c:v>
                </c:pt>
                <c:pt idx="672">
                  <c:v>43347</c:v>
                </c:pt>
                <c:pt idx="673">
                  <c:v>43348</c:v>
                </c:pt>
                <c:pt idx="674">
                  <c:v>43349</c:v>
                </c:pt>
                <c:pt idx="675">
                  <c:v>43350</c:v>
                </c:pt>
                <c:pt idx="676">
                  <c:v>43353</c:v>
                </c:pt>
                <c:pt idx="677">
                  <c:v>43354</c:v>
                </c:pt>
                <c:pt idx="678">
                  <c:v>43355</c:v>
                </c:pt>
                <c:pt idx="679">
                  <c:v>43356</c:v>
                </c:pt>
                <c:pt idx="680">
                  <c:v>43357</c:v>
                </c:pt>
                <c:pt idx="681">
                  <c:v>43360</c:v>
                </c:pt>
                <c:pt idx="682">
                  <c:v>43361</c:v>
                </c:pt>
                <c:pt idx="683">
                  <c:v>43362</c:v>
                </c:pt>
                <c:pt idx="684">
                  <c:v>43363</c:v>
                </c:pt>
                <c:pt idx="685">
                  <c:v>43364</c:v>
                </c:pt>
                <c:pt idx="686">
                  <c:v>43367</c:v>
                </c:pt>
                <c:pt idx="687">
                  <c:v>43368</c:v>
                </c:pt>
                <c:pt idx="688">
                  <c:v>43369</c:v>
                </c:pt>
                <c:pt idx="689">
                  <c:v>43370</c:v>
                </c:pt>
                <c:pt idx="690">
                  <c:v>43371</c:v>
                </c:pt>
                <c:pt idx="691">
                  <c:v>43374</c:v>
                </c:pt>
                <c:pt idx="692">
                  <c:v>43375</c:v>
                </c:pt>
                <c:pt idx="693">
                  <c:v>43376</c:v>
                </c:pt>
                <c:pt idx="694">
                  <c:v>43377</c:v>
                </c:pt>
                <c:pt idx="695">
                  <c:v>43378</c:v>
                </c:pt>
                <c:pt idx="696">
                  <c:v>43381</c:v>
                </c:pt>
                <c:pt idx="697">
                  <c:v>43382</c:v>
                </c:pt>
                <c:pt idx="698">
                  <c:v>43383</c:v>
                </c:pt>
                <c:pt idx="699">
                  <c:v>43384</c:v>
                </c:pt>
                <c:pt idx="700">
                  <c:v>43385</c:v>
                </c:pt>
                <c:pt idx="701">
                  <c:v>43388</c:v>
                </c:pt>
                <c:pt idx="702">
                  <c:v>43389</c:v>
                </c:pt>
                <c:pt idx="703">
                  <c:v>43390</c:v>
                </c:pt>
                <c:pt idx="704">
                  <c:v>43391</c:v>
                </c:pt>
                <c:pt idx="705">
                  <c:v>43392</c:v>
                </c:pt>
                <c:pt idx="706">
                  <c:v>43395</c:v>
                </c:pt>
                <c:pt idx="707">
                  <c:v>43396</c:v>
                </c:pt>
                <c:pt idx="708">
                  <c:v>43397</c:v>
                </c:pt>
                <c:pt idx="709">
                  <c:v>43398</c:v>
                </c:pt>
                <c:pt idx="710">
                  <c:v>43399</c:v>
                </c:pt>
                <c:pt idx="711">
                  <c:v>43402</c:v>
                </c:pt>
                <c:pt idx="712">
                  <c:v>43403</c:v>
                </c:pt>
                <c:pt idx="713">
                  <c:v>43404</c:v>
                </c:pt>
                <c:pt idx="714">
                  <c:v>43405</c:v>
                </c:pt>
                <c:pt idx="715">
                  <c:v>43406</c:v>
                </c:pt>
                <c:pt idx="716">
                  <c:v>43409</c:v>
                </c:pt>
                <c:pt idx="717">
                  <c:v>43410</c:v>
                </c:pt>
                <c:pt idx="718">
                  <c:v>43411</c:v>
                </c:pt>
                <c:pt idx="719">
                  <c:v>43412</c:v>
                </c:pt>
                <c:pt idx="720">
                  <c:v>43413</c:v>
                </c:pt>
                <c:pt idx="721">
                  <c:v>43416</c:v>
                </c:pt>
                <c:pt idx="722">
                  <c:v>43417</c:v>
                </c:pt>
                <c:pt idx="723">
                  <c:v>43418</c:v>
                </c:pt>
                <c:pt idx="724">
                  <c:v>43419</c:v>
                </c:pt>
                <c:pt idx="725">
                  <c:v>43420</c:v>
                </c:pt>
                <c:pt idx="726">
                  <c:v>43423</c:v>
                </c:pt>
                <c:pt idx="727">
                  <c:v>43424</c:v>
                </c:pt>
                <c:pt idx="728">
                  <c:v>43425</c:v>
                </c:pt>
                <c:pt idx="729">
                  <c:v>43427</c:v>
                </c:pt>
                <c:pt idx="730">
                  <c:v>43430</c:v>
                </c:pt>
                <c:pt idx="731">
                  <c:v>43431</c:v>
                </c:pt>
                <c:pt idx="732">
                  <c:v>43432</c:v>
                </c:pt>
                <c:pt idx="733">
                  <c:v>43433</c:v>
                </c:pt>
                <c:pt idx="734">
                  <c:v>43434</c:v>
                </c:pt>
                <c:pt idx="735">
                  <c:v>43437</c:v>
                </c:pt>
                <c:pt idx="736">
                  <c:v>43438</c:v>
                </c:pt>
                <c:pt idx="737">
                  <c:v>43439</c:v>
                </c:pt>
                <c:pt idx="738">
                  <c:v>43440</c:v>
                </c:pt>
                <c:pt idx="739">
                  <c:v>43441</c:v>
                </c:pt>
                <c:pt idx="740">
                  <c:v>43444</c:v>
                </c:pt>
                <c:pt idx="741">
                  <c:v>43445</c:v>
                </c:pt>
                <c:pt idx="742">
                  <c:v>43446</c:v>
                </c:pt>
                <c:pt idx="743">
                  <c:v>43447</c:v>
                </c:pt>
                <c:pt idx="744">
                  <c:v>43448</c:v>
                </c:pt>
                <c:pt idx="745">
                  <c:v>43451</c:v>
                </c:pt>
                <c:pt idx="746">
                  <c:v>43452</c:v>
                </c:pt>
                <c:pt idx="747">
                  <c:v>43453</c:v>
                </c:pt>
                <c:pt idx="748">
                  <c:v>43454</c:v>
                </c:pt>
                <c:pt idx="749">
                  <c:v>43455</c:v>
                </c:pt>
                <c:pt idx="750">
                  <c:v>43458</c:v>
                </c:pt>
                <c:pt idx="751">
                  <c:v>43460</c:v>
                </c:pt>
                <c:pt idx="752">
                  <c:v>43461</c:v>
                </c:pt>
                <c:pt idx="753">
                  <c:v>43462</c:v>
                </c:pt>
                <c:pt idx="754">
                  <c:v>43465</c:v>
                </c:pt>
                <c:pt idx="755">
                  <c:v>43467</c:v>
                </c:pt>
                <c:pt idx="756">
                  <c:v>43468</c:v>
                </c:pt>
                <c:pt idx="757">
                  <c:v>43469</c:v>
                </c:pt>
                <c:pt idx="758">
                  <c:v>43472</c:v>
                </c:pt>
                <c:pt idx="759">
                  <c:v>43473</c:v>
                </c:pt>
                <c:pt idx="760">
                  <c:v>43474</c:v>
                </c:pt>
                <c:pt idx="761">
                  <c:v>43475</c:v>
                </c:pt>
                <c:pt idx="762">
                  <c:v>43476</c:v>
                </c:pt>
                <c:pt idx="763">
                  <c:v>43479</c:v>
                </c:pt>
                <c:pt idx="764">
                  <c:v>43480</c:v>
                </c:pt>
                <c:pt idx="765">
                  <c:v>43481</c:v>
                </c:pt>
                <c:pt idx="766">
                  <c:v>43482</c:v>
                </c:pt>
                <c:pt idx="767">
                  <c:v>43483</c:v>
                </c:pt>
                <c:pt idx="768">
                  <c:v>43487</c:v>
                </c:pt>
                <c:pt idx="769">
                  <c:v>43488</c:v>
                </c:pt>
                <c:pt idx="770">
                  <c:v>43489</c:v>
                </c:pt>
                <c:pt idx="771">
                  <c:v>43490</c:v>
                </c:pt>
                <c:pt idx="772">
                  <c:v>43493</c:v>
                </c:pt>
                <c:pt idx="773">
                  <c:v>43494</c:v>
                </c:pt>
                <c:pt idx="774">
                  <c:v>43495</c:v>
                </c:pt>
                <c:pt idx="775">
                  <c:v>43496</c:v>
                </c:pt>
                <c:pt idx="776">
                  <c:v>43497</c:v>
                </c:pt>
                <c:pt idx="777">
                  <c:v>43500</c:v>
                </c:pt>
                <c:pt idx="778">
                  <c:v>43501</c:v>
                </c:pt>
                <c:pt idx="779">
                  <c:v>43502</c:v>
                </c:pt>
                <c:pt idx="780">
                  <c:v>43503</c:v>
                </c:pt>
                <c:pt idx="781">
                  <c:v>43504</c:v>
                </c:pt>
                <c:pt idx="782">
                  <c:v>43507</c:v>
                </c:pt>
                <c:pt idx="783">
                  <c:v>43508</c:v>
                </c:pt>
                <c:pt idx="784">
                  <c:v>43509</c:v>
                </c:pt>
                <c:pt idx="785">
                  <c:v>43510</c:v>
                </c:pt>
                <c:pt idx="786">
                  <c:v>43511</c:v>
                </c:pt>
                <c:pt idx="787">
                  <c:v>43515</c:v>
                </c:pt>
                <c:pt idx="788">
                  <c:v>43516</c:v>
                </c:pt>
                <c:pt idx="789">
                  <c:v>43517</c:v>
                </c:pt>
                <c:pt idx="790">
                  <c:v>43518</c:v>
                </c:pt>
                <c:pt idx="791">
                  <c:v>43521</c:v>
                </c:pt>
                <c:pt idx="792">
                  <c:v>43522</c:v>
                </c:pt>
                <c:pt idx="793">
                  <c:v>43523</c:v>
                </c:pt>
                <c:pt idx="794">
                  <c:v>43524</c:v>
                </c:pt>
                <c:pt idx="795">
                  <c:v>43525</c:v>
                </c:pt>
                <c:pt idx="796">
                  <c:v>43528</c:v>
                </c:pt>
                <c:pt idx="797">
                  <c:v>43529</c:v>
                </c:pt>
                <c:pt idx="798">
                  <c:v>43530</c:v>
                </c:pt>
                <c:pt idx="799">
                  <c:v>43531</c:v>
                </c:pt>
                <c:pt idx="800">
                  <c:v>43532</c:v>
                </c:pt>
                <c:pt idx="801">
                  <c:v>43535</c:v>
                </c:pt>
                <c:pt idx="802">
                  <c:v>43536</c:v>
                </c:pt>
                <c:pt idx="803">
                  <c:v>43537</c:v>
                </c:pt>
                <c:pt idx="804">
                  <c:v>43538</c:v>
                </c:pt>
                <c:pt idx="805">
                  <c:v>43539</c:v>
                </c:pt>
                <c:pt idx="806">
                  <c:v>43542</c:v>
                </c:pt>
                <c:pt idx="807">
                  <c:v>43543</c:v>
                </c:pt>
                <c:pt idx="808">
                  <c:v>43544</c:v>
                </c:pt>
                <c:pt idx="809">
                  <c:v>43545</c:v>
                </c:pt>
                <c:pt idx="810">
                  <c:v>43546</c:v>
                </c:pt>
                <c:pt idx="811">
                  <c:v>43549</c:v>
                </c:pt>
                <c:pt idx="812">
                  <c:v>43550</c:v>
                </c:pt>
                <c:pt idx="813">
                  <c:v>43551</c:v>
                </c:pt>
                <c:pt idx="814">
                  <c:v>43552</c:v>
                </c:pt>
                <c:pt idx="815">
                  <c:v>43553</c:v>
                </c:pt>
                <c:pt idx="816">
                  <c:v>43556</c:v>
                </c:pt>
                <c:pt idx="817">
                  <c:v>43557</c:v>
                </c:pt>
                <c:pt idx="818">
                  <c:v>43558</c:v>
                </c:pt>
                <c:pt idx="819">
                  <c:v>43559</c:v>
                </c:pt>
                <c:pt idx="820">
                  <c:v>43560</c:v>
                </c:pt>
                <c:pt idx="821">
                  <c:v>43563</c:v>
                </c:pt>
                <c:pt idx="822">
                  <c:v>43564</c:v>
                </c:pt>
                <c:pt idx="823">
                  <c:v>43565</c:v>
                </c:pt>
                <c:pt idx="824">
                  <c:v>43566</c:v>
                </c:pt>
                <c:pt idx="825">
                  <c:v>43567</c:v>
                </c:pt>
                <c:pt idx="826">
                  <c:v>43570</c:v>
                </c:pt>
                <c:pt idx="827">
                  <c:v>43571</c:v>
                </c:pt>
                <c:pt idx="828">
                  <c:v>43572</c:v>
                </c:pt>
                <c:pt idx="829">
                  <c:v>43573</c:v>
                </c:pt>
                <c:pt idx="830">
                  <c:v>43577</c:v>
                </c:pt>
                <c:pt idx="831">
                  <c:v>43578</c:v>
                </c:pt>
                <c:pt idx="832">
                  <c:v>43579</c:v>
                </c:pt>
                <c:pt idx="833">
                  <c:v>43580</c:v>
                </c:pt>
                <c:pt idx="834">
                  <c:v>43581</c:v>
                </c:pt>
                <c:pt idx="835">
                  <c:v>43584</c:v>
                </c:pt>
                <c:pt idx="836">
                  <c:v>43585</c:v>
                </c:pt>
                <c:pt idx="837">
                  <c:v>43586</c:v>
                </c:pt>
                <c:pt idx="838">
                  <c:v>43587</c:v>
                </c:pt>
                <c:pt idx="839">
                  <c:v>43588</c:v>
                </c:pt>
                <c:pt idx="840">
                  <c:v>43591</c:v>
                </c:pt>
                <c:pt idx="841">
                  <c:v>43592</c:v>
                </c:pt>
                <c:pt idx="842">
                  <c:v>43593</c:v>
                </c:pt>
                <c:pt idx="843">
                  <c:v>43594</c:v>
                </c:pt>
                <c:pt idx="844">
                  <c:v>43595</c:v>
                </c:pt>
                <c:pt idx="845">
                  <c:v>43598</c:v>
                </c:pt>
                <c:pt idx="846">
                  <c:v>43599</c:v>
                </c:pt>
                <c:pt idx="847">
                  <c:v>43600</c:v>
                </c:pt>
                <c:pt idx="848">
                  <c:v>43601</c:v>
                </c:pt>
                <c:pt idx="849">
                  <c:v>43602</c:v>
                </c:pt>
                <c:pt idx="850">
                  <c:v>43605</c:v>
                </c:pt>
                <c:pt idx="851">
                  <c:v>43606</c:v>
                </c:pt>
                <c:pt idx="852">
                  <c:v>43607</c:v>
                </c:pt>
                <c:pt idx="853">
                  <c:v>43608</c:v>
                </c:pt>
                <c:pt idx="854">
                  <c:v>43609</c:v>
                </c:pt>
                <c:pt idx="855">
                  <c:v>43613</c:v>
                </c:pt>
                <c:pt idx="856">
                  <c:v>43614</c:v>
                </c:pt>
                <c:pt idx="857">
                  <c:v>43615</c:v>
                </c:pt>
                <c:pt idx="858">
                  <c:v>43616</c:v>
                </c:pt>
                <c:pt idx="859">
                  <c:v>43619</c:v>
                </c:pt>
                <c:pt idx="860">
                  <c:v>43620</c:v>
                </c:pt>
                <c:pt idx="861">
                  <c:v>43621</c:v>
                </c:pt>
                <c:pt idx="862">
                  <c:v>43622</c:v>
                </c:pt>
                <c:pt idx="863">
                  <c:v>43623</c:v>
                </c:pt>
                <c:pt idx="864">
                  <c:v>43626</c:v>
                </c:pt>
                <c:pt idx="865">
                  <c:v>43627</c:v>
                </c:pt>
                <c:pt idx="866">
                  <c:v>43628</c:v>
                </c:pt>
                <c:pt idx="867">
                  <c:v>43629</c:v>
                </c:pt>
                <c:pt idx="868">
                  <c:v>43630</c:v>
                </c:pt>
                <c:pt idx="869">
                  <c:v>43633</c:v>
                </c:pt>
                <c:pt idx="870">
                  <c:v>43634</c:v>
                </c:pt>
                <c:pt idx="871">
                  <c:v>43635</c:v>
                </c:pt>
                <c:pt idx="872">
                  <c:v>43636</c:v>
                </c:pt>
                <c:pt idx="873">
                  <c:v>43637</c:v>
                </c:pt>
                <c:pt idx="874">
                  <c:v>43640</c:v>
                </c:pt>
                <c:pt idx="875">
                  <c:v>43641</c:v>
                </c:pt>
                <c:pt idx="876">
                  <c:v>43642</c:v>
                </c:pt>
                <c:pt idx="877">
                  <c:v>43643</c:v>
                </c:pt>
                <c:pt idx="878">
                  <c:v>43644</c:v>
                </c:pt>
                <c:pt idx="879">
                  <c:v>43647</c:v>
                </c:pt>
                <c:pt idx="880">
                  <c:v>43648</c:v>
                </c:pt>
                <c:pt idx="881">
                  <c:v>43649</c:v>
                </c:pt>
                <c:pt idx="882">
                  <c:v>43651</c:v>
                </c:pt>
                <c:pt idx="883">
                  <c:v>43654</c:v>
                </c:pt>
                <c:pt idx="884">
                  <c:v>43655</c:v>
                </c:pt>
                <c:pt idx="885">
                  <c:v>43656</c:v>
                </c:pt>
                <c:pt idx="886">
                  <c:v>43657</c:v>
                </c:pt>
                <c:pt idx="887">
                  <c:v>43658</c:v>
                </c:pt>
                <c:pt idx="888">
                  <c:v>43661</c:v>
                </c:pt>
                <c:pt idx="889">
                  <c:v>43662</c:v>
                </c:pt>
                <c:pt idx="890">
                  <c:v>43663</c:v>
                </c:pt>
                <c:pt idx="891">
                  <c:v>43664</c:v>
                </c:pt>
                <c:pt idx="892">
                  <c:v>43665</c:v>
                </c:pt>
                <c:pt idx="893">
                  <c:v>43668</c:v>
                </c:pt>
                <c:pt idx="894">
                  <c:v>43669</c:v>
                </c:pt>
                <c:pt idx="895">
                  <c:v>43670</c:v>
                </c:pt>
                <c:pt idx="896">
                  <c:v>43671</c:v>
                </c:pt>
                <c:pt idx="897">
                  <c:v>43672</c:v>
                </c:pt>
                <c:pt idx="898">
                  <c:v>43675</c:v>
                </c:pt>
                <c:pt idx="899">
                  <c:v>43676</c:v>
                </c:pt>
                <c:pt idx="900">
                  <c:v>43677</c:v>
                </c:pt>
                <c:pt idx="901">
                  <c:v>43678</c:v>
                </c:pt>
                <c:pt idx="902">
                  <c:v>43679</c:v>
                </c:pt>
                <c:pt idx="903">
                  <c:v>43682</c:v>
                </c:pt>
                <c:pt idx="904">
                  <c:v>43683</c:v>
                </c:pt>
                <c:pt idx="905">
                  <c:v>43684</c:v>
                </c:pt>
                <c:pt idx="906">
                  <c:v>43685</c:v>
                </c:pt>
                <c:pt idx="907">
                  <c:v>43686</c:v>
                </c:pt>
                <c:pt idx="908">
                  <c:v>43689</c:v>
                </c:pt>
                <c:pt idx="909">
                  <c:v>43690</c:v>
                </c:pt>
                <c:pt idx="910">
                  <c:v>43691</c:v>
                </c:pt>
                <c:pt idx="911">
                  <c:v>43692</c:v>
                </c:pt>
                <c:pt idx="912">
                  <c:v>43693</c:v>
                </c:pt>
                <c:pt idx="913">
                  <c:v>43696</c:v>
                </c:pt>
                <c:pt idx="914">
                  <c:v>43697</c:v>
                </c:pt>
                <c:pt idx="915">
                  <c:v>43698</c:v>
                </c:pt>
                <c:pt idx="916">
                  <c:v>43699</c:v>
                </c:pt>
                <c:pt idx="917">
                  <c:v>43700</c:v>
                </c:pt>
                <c:pt idx="918">
                  <c:v>43703</c:v>
                </c:pt>
                <c:pt idx="919">
                  <c:v>43704</c:v>
                </c:pt>
                <c:pt idx="920">
                  <c:v>43705</c:v>
                </c:pt>
                <c:pt idx="921">
                  <c:v>43706</c:v>
                </c:pt>
                <c:pt idx="922">
                  <c:v>43707</c:v>
                </c:pt>
                <c:pt idx="923">
                  <c:v>43711</c:v>
                </c:pt>
                <c:pt idx="924">
                  <c:v>43712</c:v>
                </c:pt>
                <c:pt idx="925">
                  <c:v>43713</c:v>
                </c:pt>
                <c:pt idx="926">
                  <c:v>43714</c:v>
                </c:pt>
                <c:pt idx="927">
                  <c:v>43717</c:v>
                </c:pt>
                <c:pt idx="928">
                  <c:v>43718</c:v>
                </c:pt>
                <c:pt idx="929">
                  <c:v>43719</c:v>
                </c:pt>
                <c:pt idx="930">
                  <c:v>43720</c:v>
                </c:pt>
                <c:pt idx="931">
                  <c:v>43721</c:v>
                </c:pt>
                <c:pt idx="932">
                  <c:v>43724</c:v>
                </c:pt>
                <c:pt idx="933">
                  <c:v>43725</c:v>
                </c:pt>
                <c:pt idx="934">
                  <c:v>43726</c:v>
                </c:pt>
                <c:pt idx="935">
                  <c:v>43727</c:v>
                </c:pt>
                <c:pt idx="936">
                  <c:v>43728</c:v>
                </c:pt>
                <c:pt idx="937">
                  <c:v>43731</c:v>
                </c:pt>
                <c:pt idx="938">
                  <c:v>43732</c:v>
                </c:pt>
                <c:pt idx="939">
                  <c:v>43733</c:v>
                </c:pt>
                <c:pt idx="940">
                  <c:v>43734</c:v>
                </c:pt>
                <c:pt idx="941">
                  <c:v>43735</c:v>
                </c:pt>
                <c:pt idx="942">
                  <c:v>43738</c:v>
                </c:pt>
                <c:pt idx="943">
                  <c:v>43739</c:v>
                </c:pt>
                <c:pt idx="944">
                  <c:v>43740</c:v>
                </c:pt>
                <c:pt idx="945">
                  <c:v>43741</c:v>
                </c:pt>
                <c:pt idx="946">
                  <c:v>43742</c:v>
                </c:pt>
                <c:pt idx="947">
                  <c:v>43745</c:v>
                </c:pt>
                <c:pt idx="948">
                  <c:v>43746</c:v>
                </c:pt>
                <c:pt idx="949">
                  <c:v>43747</c:v>
                </c:pt>
                <c:pt idx="950">
                  <c:v>43748</c:v>
                </c:pt>
                <c:pt idx="951">
                  <c:v>43749</c:v>
                </c:pt>
                <c:pt idx="952">
                  <c:v>43752</c:v>
                </c:pt>
                <c:pt idx="953">
                  <c:v>43753</c:v>
                </c:pt>
                <c:pt idx="954">
                  <c:v>43754</c:v>
                </c:pt>
                <c:pt idx="955">
                  <c:v>43755</c:v>
                </c:pt>
                <c:pt idx="956">
                  <c:v>43756</c:v>
                </c:pt>
                <c:pt idx="957">
                  <c:v>43759</c:v>
                </c:pt>
                <c:pt idx="958">
                  <c:v>43760</c:v>
                </c:pt>
                <c:pt idx="959">
                  <c:v>43761</c:v>
                </c:pt>
                <c:pt idx="960">
                  <c:v>43762</c:v>
                </c:pt>
                <c:pt idx="961">
                  <c:v>43763</c:v>
                </c:pt>
                <c:pt idx="962">
                  <c:v>43766</c:v>
                </c:pt>
                <c:pt idx="963">
                  <c:v>43767</c:v>
                </c:pt>
                <c:pt idx="964">
                  <c:v>43768</c:v>
                </c:pt>
                <c:pt idx="965">
                  <c:v>43769</c:v>
                </c:pt>
                <c:pt idx="966">
                  <c:v>43770</c:v>
                </c:pt>
                <c:pt idx="967">
                  <c:v>43773</c:v>
                </c:pt>
                <c:pt idx="968">
                  <c:v>43774</c:v>
                </c:pt>
                <c:pt idx="969">
                  <c:v>43775</c:v>
                </c:pt>
                <c:pt idx="970">
                  <c:v>43776</c:v>
                </c:pt>
                <c:pt idx="971">
                  <c:v>43777</c:v>
                </c:pt>
                <c:pt idx="972">
                  <c:v>43780</c:v>
                </c:pt>
                <c:pt idx="973">
                  <c:v>43781</c:v>
                </c:pt>
                <c:pt idx="974">
                  <c:v>43782</c:v>
                </c:pt>
                <c:pt idx="975">
                  <c:v>43783</c:v>
                </c:pt>
                <c:pt idx="976">
                  <c:v>43784</c:v>
                </c:pt>
                <c:pt idx="977">
                  <c:v>43787</c:v>
                </c:pt>
                <c:pt idx="978">
                  <c:v>43788</c:v>
                </c:pt>
                <c:pt idx="979">
                  <c:v>43789</c:v>
                </c:pt>
                <c:pt idx="980">
                  <c:v>43790</c:v>
                </c:pt>
                <c:pt idx="981">
                  <c:v>43791</c:v>
                </c:pt>
                <c:pt idx="982">
                  <c:v>43794</c:v>
                </c:pt>
                <c:pt idx="983">
                  <c:v>43795</c:v>
                </c:pt>
                <c:pt idx="984">
                  <c:v>43796</c:v>
                </c:pt>
                <c:pt idx="985">
                  <c:v>43798</c:v>
                </c:pt>
                <c:pt idx="986">
                  <c:v>43801</c:v>
                </c:pt>
                <c:pt idx="987">
                  <c:v>43802</c:v>
                </c:pt>
                <c:pt idx="988">
                  <c:v>43803</c:v>
                </c:pt>
                <c:pt idx="989">
                  <c:v>43804</c:v>
                </c:pt>
                <c:pt idx="990">
                  <c:v>43805</c:v>
                </c:pt>
                <c:pt idx="991">
                  <c:v>43808</c:v>
                </c:pt>
                <c:pt idx="992">
                  <c:v>43809</c:v>
                </c:pt>
                <c:pt idx="993">
                  <c:v>43810</c:v>
                </c:pt>
                <c:pt idx="994">
                  <c:v>43811</c:v>
                </c:pt>
                <c:pt idx="995">
                  <c:v>43812</c:v>
                </c:pt>
                <c:pt idx="996">
                  <c:v>43815</c:v>
                </c:pt>
                <c:pt idx="997">
                  <c:v>43816</c:v>
                </c:pt>
                <c:pt idx="998">
                  <c:v>43817</c:v>
                </c:pt>
                <c:pt idx="999">
                  <c:v>43818</c:v>
                </c:pt>
                <c:pt idx="1000">
                  <c:v>43819</c:v>
                </c:pt>
                <c:pt idx="1001">
                  <c:v>43822</c:v>
                </c:pt>
                <c:pt idx="1002">
                  <c:v>43823</c:v>
                </c:pt>
                <c:pt idx="1003">
                  <c:v>43825</c:v>
                </c:pt>
                <c:pt idx="1004">
                  <c:v>43826</c:v>
                </c:pt>
                <c:pt idx="1005">
                  <c:v>43829</c:v>
                </c:pt>
                <c:pt idx="1006">
                  <c:v>43830</c:v>
                </c:pt>
                <c:pt idx="1007">
                  <c:v>43832</c:v>
                </c:pt>
                <c:pt idx="1008">
                  <c:v>43833</c:v>
                </c:pt>
                <c:pt idx="1009">
                  <c:v>43836</c:v>
                </c:pt>
                <c:pt idx="1010">
                  <c:v>43837</c:v>
                </c:pt>
                <c:pt idx="1011">
                  <c:v>43838</c:v>
                </c:pt>
                <c:pt idx="1012">
                  <c:v>43839</c:v>
                </c:pt>
                <c:pt idx="1013">
                  <c:v>43840</c:v>
                </c:pt>
                <c:pt idx="1014">
                  <c:v>43843</c:v>
                </c:pt>
                <c:pt idx="1015">
                  <c:v>43844</c:v>
                </c:pt>
                <c:pt idx="1016">
                  <c:v>43845</c:v>
                </c:pt>
                <c:pt idx="1017">
                  <c:v>43846</c:v>
                </c:pt>
                <c:pt idx="1018">
                  <c:v>43847</c:v>
                </c:pt>
                <c:pt idx="1019">
                  <c:v>43851</c:v>
                </c:pt>
                <c:pt idx="1020">
                  <c:v>43852</c:v>
                </c:pt>
                <c:pt idx="1021">
                  <c:v>43853</c:v>
                </c:pt>
                <c:pt idx="1022">
                  <c:v>43854</c:v>
                </c:pt>
                <c:pt idx="1023">
                  <c:v>43857</c:v>
                </c:pt>
                <c:pt idx="1024">
                  <c:v>43858</c:v>
                </c:pt>
                <c:pt idx="1025">
                  <c:v>43859</c:v>
                </c:pt>
                <c:pt idx="1026">
                  <c:v>43860</c:v>
                </c:pt>
                <c:pt idx="1027">
                  <c:v>43861</c:v>
                </c:pt>
                <c:pt idx="1028">
                  <c:v>43864</c:v>
                </c:pt>
                <c:pt idx="1029">
                  <c:v>43865</c:v>
                </c:pt>
                <c:pt idx="1030">
                  <c:v>43866</c:v>
                </c:pt>
                <c:pt idx="1031">
                  <c:v>43867</c:v>
                </c:pt>
                <c:pt idx="1032">
                  <c:v>43868</c:v>
                </c:pt>
                <c:pt idx="1033">
                  <c:v>43871</c:v>
                </c:pt>
                <c:pt idx="1034">
                  <c:v>43872</c:v>
                </c:pt>
                <c:pt idx="1035">
                  <c:v>43873</c:v>
                </c:pt>
                <c:pt idx="1036">
                  <c:v>43874</c:v>
                </c:pt>
                <c:pt idx="1037">
                  <c:v>43875</c:v>
                </c:pt>
                <c:pt idx="1038">
                  <c:v>43879</c:v>
                </c:pt>
                <c:pt idx="1039">
                  <c:v>43880</c:v>
                </c:pt>
                <c:pt idx="1040">
                  <c:v>43881</c:v>
                </c:pt>
                <c:pt idx="1041">
                  <c:v>43882</c:v>
                </c:pt>
                <c:pt idx="1042">
                  <c:v>43885</c:v>
                </c:pt>
                <c:pt idx="1043">
                  <c:v>43886</c:v>
                </c:pt>
                <c:pt idx="1044">
                  <c:v>43887</c:v>
                </c:pt>
                <c:pt idx="1045">
                  <c:v>43888</c:v>
                </c:pt>
                <c:pt idx="1046">
                  <c:v>43889</c:v>
                </c:pt>
                <c:pt idx="1047">
                  <c:v>43892</c:v>
                </c:pt>
                <c:pt idx="1048">
                  <c:v>43893</c:v>
                </c:pt>
                <c:pt idx="1049">
                  <c:v>43894</c:v>
                </c:pt>
                <c:pt idx="1050">
                  <c:v>43895</c:v>
                </c:pt>
                <c:pt idx="1051">
                  <c:v>43896</c:v>
                </c:pt>
                <c:pt idx="1052">
                  <c:v>43899</c:v>
                </c:pt>
                <c:pt idx="1053">
                  <c:v>43900</c:v>
                </c:pt>
                <c:pt idx="1054">
                  <c:v>43901</c:v>
                </c:pt>
                <c:pt idx="1055">
                  <c:v>43902</c:v>
                </c:pt>
                <c:pt idx="1056">
                  <c:v>43903</c:v>
                </c:pt>
                <c:pt idx="1057">
                  <c:v>43906</c:v>
                </c:pt>
                <c:pt idx="1058">
                  <c:v>43907</c:v>
                </c:pt>
                <c:pt idx="1059">
                  <c:v>43908</c:v>
                </c:pt>
                <c:pt idx="1060">
                  <c:v>43909</c:v>
                </c:pt>
                <c:pt idx="1061">
                  <c:v>43910</c:v>
                </c:pt>
                <c:pt idx="1062">
                  <c:v>43913</c:v>
                </c:pt>
                <c:pt idx="1063">
                  <c:v>43914</c:v>
                </c:pt>
                <c:pt idx="1064">
                  <c:v>43915</c:v>
                </c:pt>
                <c:pt idx="1065">
                  <c:v>43916</c:v>
                </c:pt>
                <c:pt idx="1066">
                  <c:v>43917</c:v>
                </c:pt>
                <c:pt idx="1067">
                  <c:v>43920</c:v>
                </c:pt>
                <c:pt idx="1068">
                  <c:v>43921</c:v>
                </c:pt>
                <c:pt idx="1069">
                  <c:v>43922</c:v>
                </c:pt>
                <c:pt idx="1070">
                  <c:v>43923</c:v>
                </c:pt>
                <c:pt idx="1071">
                  <c:v>43924</c:v>
                </c:pt>
                <c:pt idx="1072">
                  <c:v>43927</c:v>
                </c:pt>
                <c:pt idx="1073">
                  <c:v>43928</c:v>
                </c:pt>
                <c:pt idx="1074">
                  <c:v>43929</c:v>
                </c:pt>
                <c:pt idx="1075">
                  <c:v>43930</c:v>
                </c:pt>
                <c:pt idx="1076">
                  <c:v>43934</c:v>
                </c:pt>
                <c:pt idx="1077">
                  <c:v>43935</c:v>
                </c:pt>
                <c:pt idx="1078">
                  <c:v>43936</c:v>
                </c:pt>
                <c:pt idx="1079">
                  <c:v>43937</c:v>
                </c:pt>
                <c:pt idx="1080">
                  <c:v>43938</c:v>
                </c:pt>
                <c:pt idx="1081">
                  <c:v>43941</c:v>
                </c:pt>
                <c:pt idx="1082">
                  <c:v>43942</c:v>
                </c:pt>
                <c:pt idx="1083">
                  <c:v>43943</c:v>
                </c:pt>
                <c:pt idx="1084">
                  <c:v>43944</c:v>
                </c:pt>
                <c:pt idx="1085">
                  <c:v>43945</c:v>
                </c:pt>
                <c:pt idx="1086">
                  <c:v>43948</c:v>
                </c:pt>
                <c:pt idx="1087">
                  <c:v>43949</c:v>
                </c:pt>
                <c:pt idx="1088">
                  <c:v>43950</c:v>
                </c:pt>
                <c:pt idx="1089">
                  <c:v>43951</c:v>
                </c:pt>
                <c:pt idx="1090">
                  <c:v>43952</c:v>
                </c:pt>
                <c:pt idx="1091">
                  <c:v>43955</c:v>
                </c:pt>
                <c:pt idx="1092">
                  <c:v>43956</c:v>
                </c:pt>
                <c:pt idx="1093">
                  <c:v>43957</c:v>
                </c:pt>
                <c:pt idx="1094">
                  <c:v>43958</c:v>
                </c:pt>
                <c:pt idx="1095">
                  <c:v>43959</c:v>
                </c:pt>
                <c:pt idx="1096">
                  <c:v>43962</c:v>
                </c:pt>
                <c:pt idx="1097">
                  <c:v>43963</c:v>
                </c:pt>
                <c:pt idx="1098">
                  <c:v>43964</c:v>
                </c:pt>
                <c:pt idx="1099">
                  <c:v>43965</c:v>
                </c:pt>
                <c:pt idx="1100">
                  <c:v>43966</c:v>
                </c:pt>
                <c:pt idx="1101">
                  <c:v>43969</c:v>
                </c:pt>
                <c:pt idx="1102">
                  <c:v>43970</c:v>
                </c:pt>
                <c:pt idx="1103">
                  <c:v>43971</c:v>
                </c:pt>
                <c:pt idx="1104">
                  <c:v>43972</c:v>
                </c:pt>
                <c:pt idx="1105">
                  <c:v>43973</c:v>
                </c:pt>
                <c:pt idx="1106">
                  <c:v>43977</c:v>
                </c:pt>
                <c:pt idx="1107">
                  <c:v>43978</c:v>
                </c:pt>
                <c:pt idx="1108">
                  <c:v>43979</c:v>
                </c:pt>
                <c:pt idx="1109">
                  <c:v>43980</c:v>
                </c:pt>
                <c:pt idx="1110">
                  <c:v>43983</c:v>
                </c:pt>
                <c:pt idx="1111">
                  <c:v>43984</c:v>
                </c:pt>
                <c:pt idx="1112">
                  <c:v>43985</c:v>
                </c:pt>
                <c:pt idx="1113">
                  <c:v>43986</c:v>
                </c:pt>
                <c:pt idx="1114">
                  <c:v>43987</c:v>
                </c:pt>
                <c:pt idx="1115">
                  <c:v>43990</c:v>
                </c:pt>
                <c:pt idx="1116">
                  <c:v>43991</c:v>
                </c:pt>
                <c:pt idx="1117">
                  <c:v>43992</c:v>
                </c:pt>
                <c:pt idx="1118">
                  <c:v>43993</c:v>
                </c:pt>
                <c:pt idx="1119">
                  <c:v>43994</c:v>
                </c:pt>
                <c:pt idx="1120">
                  <c:v>43997</c:v>
                </c:pt>
                <c:pt idx="1121">
                  <c:v>43998</c:v>
                </c:pt>
                <c:pt idx="1122">
                  <c:v>43999</c:v>
                </c:pt>
                <c:pt idx="1123">
                  <c:v>44000</c:v>
                </c:pt>
                <c:pt idx="1124">
                  <c:v>44001</c:v>
                </c:pt>
                <c:pt idx="1125">
                  <c:v>44004</c:v>
                </c:pt>
                <c:pt idx="1126">
                  <c:v>44005</c:v>
                </c:pt>
                <c:pt idx="1127">
                  <c:v>44006</c:v>
                </c:pt>
                <c:pt idx="1128">
                  <c:v>44007</c:v>
                </c:pt>
                <c:pt idx="1129">
                  <c:v>44008</c:v>
                </c:pt>
                <c:pt idx="1130">
                  <c:v>44011</c:v>
                </c:pt>
                <c:pt idx="1131">
                  <c:v>44012</c:v>
                </c:pt>
                <c:pt idx="1132">
                  <c:v>44013</c:v>
                </c:pt>
                <c:pt idx="1133">
                  <c:v>44014</c:v>
                </c:pt>
                <c:pt idx="1134">
                  <c:v>44018</c:v>
                </c:pt>
                <c:pt idx="1135">
                  <c:v>44019</c:v>
                </c:pt>
                <c:pt idx="1136">
                  <c:v>44020</c:v>
                </c:pt>
                <c:pt idx="1137">
                  <c:v>44021</c:v>
                </c:pt>
                <c:pt idx="1138">
                  <c:v>44022</c:v>
                </c:pt>
                <c:pt idx="1139">
                  <c:v>44025</c:v>
                </c:pt>
                <c:pt idx="1140">
                  <c:v>44026</c:v>
                </c:pt>
                <c:pt idx="1141">
                  <c:v>44027</c:v>
                </c:pt>
                <c:pt idx="1142">
                  <c:v>44028</c:v>
                </c:pt>
                <c:pt idx="1143">
                  <c:v>44029</c:v>
                </c:pt>
                <c:pt idx="1144">
                  <c:v>44032</c:v>
                </c:pt>
                <c:pt idx="1145">
                  <c:v>44033</c:v>
                </c:pt>
                <c:pt idx="1146">
                  <c:v>44034</c:v>
                </c:pt>
                <c:pt idx="1147">
                  <c:v>44035</c:v>
                </c:pt>
                <c:pt idx="1148">
                  <c:v>44036</c:v>
                </c:pt>
                <c:pt idx="1149">
                  <c:v>44039</c:v>
                </c:pt>
                <c:pt idx="1150">
                  <c:v>44040</c:v>
                </c:pt>
                <c:pt idx="1151">
                  <c:v>44041</c:v>
                </c:pt>
                <c:pt idx="1152">
                  <c:v>44042</c:v>
                </c:pt>
                <c:pt idx="1153">
                  <c:v>44043</c:v>
                </c:pt>
                <c:pt idx="1154">
                  <c:v>44046</c:v>
                </c:pt>
                <c:pt idx="1155">
                  <c:v>44047</c:v>
                </c:pt>
                <c:pt idx="1156">
                  <c:v>44048</c:v>
                </c:pt>
                <c:pt idx="1157">
                  <c:v>44049</c:v>
                </c:pt>
                <c:pt idx="1158">
                  <c:v>44050</c:v>
                </c:pt>
                <c:pt idx="1159">
                  <c:v>44053</c:v>
                </c:pt>
                <c:pt idx="1160">
                  <c:v>44054</c:v>
                </c:pt>
                <c:pt idx="1161">
                  <c:v>44055</c:v>
                </c:pt>
                <c:pt idx="1162">
                  <c:v>44056</c:v>
                </c:pt>
                <c:pt idx="1163">
                  <c:v>44057</c:v>
                </c:pt>
                <c:pt idx="1164">
                  <c:v>44060</c:v>
                </c:pt>
                <c:pt idx="1165">
                  <c:v>44061</c:v>
                </c:pt>
                <c:pt idx="1166">
                  <c:v>44062</c:v>
                </c:pt>
                <c:pt idx="1167">
                  <c:v>44063</c:v>
                </c:pt>
                <c:pt idx="1168">
                  <c:v>44064</c:v>
                </c:pt>
                <c:pt idx="1169">
                  <c:v>44067</c:v>
                </c:pt>
                <c:pt idx="1170">
                  <c:v>44068</c:v>
                </c:pt>
                <c:pt idx="1171">
                  <c:v>44069</c:v>
                </c:pt>
                <c:pt idx="1172">
                  <c:v>44070</c:v>
                </c:pt>
                <c:pt idx="1173">
                  <c:v>44071</c:v>
                </c:pt>
                <c:pt idx="1174">
                  <c:v>44074</c:v>
                </c:pt>
                <c:pt idx="1175">
                  <c:v>44075</c:v>
                </c:pt>
                <c:pt idx="1176">
                  <c:v>44076</c:v>
                </c:pt>
                <c:pt idx="1177">
                  <c:v>44077</c:v>
                </c:pt>
                <c:pt idx="1178">
                  <c:v>44078</c:v>
                </c:pt>
                <c:pt idx="1179">
                  <c:v>44082</c:v>
                </c:pt>
                <c:pt idx="1180">
                  <c:v>44083</c:v>
                </c:pt>
                <c:pt idx="1181">
                  <c:v>44084</c:v>
                </c:pt>
                <c:pt idx="1182">
                  <c:v>44085</c:v>
                </c:pt>
                <c:pt idx="1183">
                  <c:v>44088</c:v>
                </c:pt>
                <c:pt idx="1184">
                  <c:v>44089</c:v>
                </c:pt>
                <c:pt idx="1185">
                  <c:v>44090</c:v>
                </c:pt>
                <c:pt idx="1186">
                  <c:v>44091</c:v>
                </c:pt>
                <c:pt idx="1187">
                  <c:v>44092</c:v>
                </c:pt>
                <c:pt idx="1188">
                  <c:v>44095</c:v>
                </c:pt>
                <c:pt idx="1189">
                  <c:v>44096</c:v>
                </c:pt>
                <c:pt idx="1190">
                  <c:v>44097</c:v>
                </c:pt>
                <c:pt idx="1191">
                  <c:v>44098</c:v>
                </c:pt>
                <c:pt idx="1192">
                  <c:v>44099</c:v>
                </c:pt>
                <c:pt idx="1193">
                  <c:v>44102</c:v>
                </c:pt>
                <c:pt idx="1194">
                  <c:v>44103</c:v>
                </c:pt>
                <c:pt idx="1195">
                  <c:v>44104</c:v>
                </c:pt>
                <c:pt idx="1196">
                  <c:v>44105</c:v>
                </c:pt>
                <c:pt idx="1197">
                  <c:v>44106</c:v>
                </c:pt>
                <c:pt idx="1198">
                  <c:v>44109</c:v>
                </c:pt>
                <c:pt idx="1199">
                  <c:v>44110</c:v>
                </c:pt>
                <c:pt idx="1200">
                  <c:v>44111</c:v>
                </c:pt>
                <c:pt idx="1201">
                  <c:v>44112</c:v>
                </c:pt>
                <c:pt idx="1202">
                  <c:v>44113</c:v>
                </c:pt>
                <c:pt idx="1203">
                  <c:v>44116</c:v>
                </c:pt>
                <c:pt idx="1204">
                  <c:v>44117</c:v>
                </c:pt>
                <c:pt idx="1205">
                  <c:v>44118</c:v>
                </c:pt>
                <c:pt idx="1206">
                  <c:v>44119</c:v>
                </c:pt>
                <c:pt idx="1207">
                  <c:v>44120</c:v>
                </c:pt>
                <c:pt idx="1208">
                  <c:v>44123</c:v>
                </c:pt>
                <c:pt idx="1209">
                  <c:v>44124</c:v>
                </c:pt>
                <c:pt idx="1210">
                  <c:v>44125</c:v>
                </c:pt>
                <c:pt idx="1211">
                  <c:v>44126</c:v>
                </c:pt>
                <c:pt idx="1212">
                  <c:v>44127</c:v>
                </c:pt>
                <c:pt idx="1213">
                  <c:v>44130</c:v>
                </c:pt>
                <c:pt idx="1214">
                  <c:v>44131</c:v>
                </c:pt>
                <c:pt idx="1215">
                  <c:v>44132</c:v>
                </c:pt>
                <c:pt idx="1216">
                  <c:v>44133</c:v>
                </c:pt>
                <c:pt idx="1217">
                  <c:v>44134</c:v>
                </c:pt>
                <c:pt idx="1218">
                  <c:v>44137</c:v>
                </c:pt>
                <c:pt idx="1219">
                  <c:v>44138</c:v>
                </c:pt>
                <c:pt idx="1220">
                  <c:v>44139</c:v>
                </c:pt>
                <c:pt idx="1221">
                  <c:v>44140</c:v>
                </c:pt>
                <c:pt idx="1222">
                  <c:v>44141</c:v>
                </c:pt>
                <c:pt idx="1223">
                  <c:v>44144</c:v>
                </c:pt>
                <c:pt idx="1224">
                  <c:v>44145</c:v>
                </c:pt>
                <c:pt idx="1225">
                  <c:v>44146</c:v>
                </c:pt>
                <c:pt idx="1226">
                  <c:v>44147</c:v>
                </c:pt>
                <c:pt idx="1227">
                  <c:v>44148</c:v>
                </c:pt>
                <c:pt idx="1228">
                  <c:v>44151</c:v>
                </c:pt>
                <c:pt idx="1229">
                  <c:v>44152</c:v>
                </c:pt>
                <c:pt idx="1230">
                  <c:v>44153</c:v>
                </c:pt>
                <c:pt idx="1231">
                  <c:v>44154</c:v>
                </c:pt>
                <c:pt idx="1232">
                  <c:v>44155</c:v>
                </c:pt>
                <c:pt idx="1233">
                  <c:v>44158</c:v>
                </c:pt>
                <c:pt idx="1234">
                  <c:v>44159</c:v>
                </c:pt>
                <c:pt idx="1235">
                  <c:v>44160</c:v>
                </c:pt>
                <c:pt idx="1236">
                  <c:v>44162</c:v>
                </c:pt>
                <c:pt idx="1237">
                  <c:v>44165</c:v>
                </c:pt>
                <c:pt idx="1238">
                  <c:v>44166</c:v>
                </c:pt>
                <c:pt idx="1239">
                  <c:v>44167</c:v>
                </c:pt>
                <c:pt idx="1240">
                  <c:v>44168</c:v>
                </c:pt>
                <c:pt idx="1241">
                  <c:v>44169</c:v>
                </c:pt>
                <c:pt idx="1242">
                  <c:v>44172</c:v>
                </c:pt>
                <c:pt idx="1243">
                  <c:v>44173</c:v>
                </c:pt>
                <c:pt idx="1244">
                  <c:v>44174</c:v>
                </c:pt>
                <c:pt idx="1245">
                  <c:v>44175</c:v>
                </c:pt>
                <c:pt idx="1246">
                  <c:v>44176</c:v>
                </c:pt>
                <c:pt idx="1247">
                  <c:v>44179</c:v>
                </c:pt>
                <c:pt idx="1248">
                  <c:v>44180</c:v>
                </c:pt>
                <c:pt idx="1249">
                  <c:v>44181</c:v>
                </c:pt>
                <c:pt idx="1250">
                  <c:v>44182</c:v>
                </c:pt>
                <c:pt idx="1251">
                  <c:v>44183</c:v>
                </c:pt>
                <c:pt idx="1252">
                  <c:v>44186</c:v>
                </c:pt>
                <c:pt idx="1253">
                  <c:v>44187</c:v>
                </c:pt>
                <c:pt idx="1254">
                  <c:v>44188</c:v>
                </c:pt>
                <c:pt idx="1255">
                  <c:v>44189</c:v>
                </c:pt>
                <c:pt idx="1256">
                  <c:v>44193</c:v>
                </c:pt>
                <c:pt idx="1257">
                  <c:v>44194</c:v>
                </c:pt>
                <c:pt idx="1258">
                  <c:v>44195</c:v>
                </c:pt>
                <c:pt idx="1259">
                  <c:v>44196</c:v>
                </c:pt>
              </c:numCache>
            </c:numRef>
          </c:cat>
          <c:val>
            <c:numRef>
              <c:f>'experiment 1 - LSTM'!$G$2:$G$1261</c:f>
              <c:numCache>
                <c:formatCode>General</c:formatCode>
                <c:ptCount val="1260"/>
                <c:pt idx="0">
                  <c:v>1.1832484022347681E-3</c:v>
                </c:pt>
                <c:pt idx="1">
                  <c:v>-9.9988786290810538E-3</c:v>
                </c:pt>
                <c:pt idx="2">
                  <c:v>-3.3339665033308888E-2</c:v>
                </c:pt>
                <c:pt idx="3">
                  <c:v>-4.243114410900424E-2</c:v>
                </c:pt>
                <c:pt idx="4">
                  <c:v>-4.1251136561548274E-2</c:v>
                </c:pt>
                <c:pt idx="5">
                  <c:v>-3.6588619929638862E-2</c:v>
                </c:pt>
                <c:pt idx="6">
                  <c:v>-5.5494953615511558E-2</c:v>
                </c:pt>
                <c:pt idx="7">
                  <c:v>-4.1284793125526645E-2</c:v>
                </c:pt>
                <c:pt idx="8">
                  <c:v>-5.7312322923864248E-2</c:v>
                </c:pt>
                <c:pt idx="9">
                  <c:v>-5.812909969390307E-2</c:v>
                </c:pt>
                <c:pt idx="10">
                  <c:v>-6.5551006853551905E-2</c:v>
                </c:pt>
                <c:pt idx="11">
                  <c:v>-6.301893944122175E-2</c:v>
                </c:pt>
                <c:pt idx="12">
                  <c:v>-4.6801417714657984E-2</c:v>
                </c:pt>
                <c:pt idx="13">
                  <c:v>-5.8231663398135465E-2</c:v>
                </c:pt>
                <c:pt idx="14">
                  <c:v>-4.7778782751095511E-2</c:v>
                </c:pt>
                <c:pt idx="15">
                  <c:v>-5.5989246874284311E-2</c:v>
                </c:pt>
                <c:pt idx="16">
                  <c:v>-5.3672143092473534E-2</c:v>
                </c:pt>
                <c:pt idx="17">
                  <c:v>-3.3722010703711239E-2</c:v>
                </c:pt>
                <c:pt idx="18">
                  <c:v>-3.3264609430126699E-2</c:v>
                </c:pt>
                <c:pt idx="19">
                  <c:v>-4.5982357474615022E-2</c:v>
                </c:pt>
                <c:pt idx="20">
                  <c:v>-4.1784610926510472E-2</c:v>
                </c:pt>
                <c:pt idx="21">
                  <c:v>-4.2069851365134539E-2</c:v>
                </c:pt>
                <c:pt idx="22">
                  <c:v>-5.4689785432454036E-2</c:v>
                </c:pt>
                <c:pt idx="23">
                  <c:v>-6.3840750889853762E-2</c:v>
                </c:pt>
                <c:pt idx="24">
                  <c:v>-6.534019859737869E-2</c:v>
                </c:pt>
                <c:pt idx="25">
                  <c:v>-6.5949656866903295E-2</c:v>
                </c:pt>
                <c:pt idx="26">
                  <c:v>-7.5149690623216359E-2</c:v>
                </c:pt>
                <c:pt idx="27">
                  <c:v>-6.0890697139040759E-2</c:v>
                </c:pt>
                <c:pt idx="28">
                  <c:v>-4.8745209866411121E-2</c:v>
                </c:pt>
                <c:pt idx="29">
                  <c:v>-3.5588641044038326E-2</c:v>
                </c:pt>
                <c:pt idx="30">
                  <c:v>-3.7920677872705165E-2</c:v>
                </c:pt>
                <c:pt idx="31">
                  <c:v>-3.8685810991562805E-2</c:v>
                </c:pt>
                <c:pt idx="32">
                  <c:v>-3.0225963730051229E-2</c:v>
                </c:pt>
                <c:pt idx="33">
                  <c:v>-3.7992600579388094E-2</c:v>
                </c:pt>
                <c:pt idx="34">
                  <c:v>-3.2400270276369686E-2</c:v>
                </c:pt>
                <c:pt idx="35">
                  <c:v>-2.4492175875997127E-2</c:v>
                </c:pt>
                <c:pt idx="36">
                  <c:v>-2.7496177107255017E-2</c:v>
                </c:pt>
                <c:pt idx="37">
                  <c:v>-3.2763477194797767E-2</c:v>
                </c:pt>
                <c:pt idx="38">
                  <c:v>-1.3100537682424623E-2</c:v>
                </c:pt>
                <c:pt idx="39">
                  <c:v>-1.1068381984198131E-2</c:v>
                </c:pt>
                <c:pt idx="40">
                  <c:v>-8.4183544444677363E-3</c:v>
                </c:pt>
                <c:pt idx="41">
                  <c:v>-6.6959872098363848E-3</c:v>
                </c:pt>
                <c:pt idx="42">
                  <c:v>-5.1419363393992801E-3</c:v>
                </c:pt>
                <c:pt idx="43">
                  <c:v>-1.225292392093706E-2</c:v>
                </c:pt>
                <c:pt idx="44">
                  <c:v>-9.0379119691157816E-3</c:v>
                </c:pt>
                <c:pt idx="45">
                  <c:v>-9.1390133515857896E-3</c:v>
                </c:pt>
                <c:pt idx="46">
                  <c:v>3.7422144635966235E-3</c:v>
                </c:pt>
                <c:pt idx="47">
                  <c:v>3.2451503579633981E-3</c:v>
                </c:pt>
                <c:pt idx="48">
                  <c:v>2.021823629210313E-3</c:v>
                </c:pt>
                <c:pt idx="49">
                  <c:v>6.7266011327913921E-3</c:v>
                </c:pt>
                <c:pt idx="50">
                  <c:v>1.2102061198082503E-2</c:v>
                </c:pt>
                <c:pt idx="51">
                  <c:v>1.1157482865297394E-2</c:v>
                </c:pt>
                <c:pt idx="52">
                  <c:v>1.3405768339437801E-2</c:v>
                </c:pt>
                <c:pt idx="53">
                  <c:v>1.3297517146961849E-2</c:v>
                </c:pt>
                <c:pt idx="54">
                  <c:v>7.1904573345331103E-3</c:v>
                </c:pt>
                <c:pt idx="55">
                  <c:v>7.077488441410892E-3</c:v>
                </c:pt>
                <c:pt idx="56">
                  <c:v>6.8477812317000513E-3</c:v>
                </c:pt>
                <c:pt idx="57">
                  <c:v>1.5840823723732904E-2</c:v>
                </c:pt>
                <c:pt idx="58">
                  <c:v>1.9344877693417115E-2</c:v>
                </c:pt>
                <c:pt idx="59">
                  <c:v>1.7612448122400245E-2</c:v>
                </c:pt>
                <c:pt idx="60">
                  <c:v>2.3942590616276464E-2</c:v>
                </c:pt>
                <c:pt idx="61">
                  <c:v>2.0445264334186419E-2</c:v>
                </c:pt>
                <c:pt idx="62">
                  <c:v>1.1319473714971421E-2</c:v>
                </c:pt>
                <c:pt idx="63">
                  <c:v>2.1871431351171963E-2</c:v>
                </c:pt>
                <c:pt idx="64">
                  <c:v>9.6876293847619407E-3</c:v>
                </c:pt>
                <c:pt idx="65">
                  <c:v>1.2467068394084822E-2</c:v>
                </c:pt>
                <c:pt idx="66">
                  <c:v>9.4193771624359601E-3</c:v>
                </c:pt>
                <c:pt idx="67">
                  <c:v>1.9971547019401847E-2</c:v>
                </c:pt>
                <c:pt idx="68">
                  <c:v>2.9834406486620037E-2</c:v>
                </c:pt>
                <c:pt idx="69">
                  <c:v>3.0074802544503804E-2</c:v>
                </c:pt>
                <c:pt idx="70">
                  <c:v>2.9337959491394949E-2</c:v>
                </c:pt>
                <c:pt idx="71">
                  <c:v>3.5217014328628816E-2</c:v>
                </c:pt>
                <c:pt idx="72">
                  <c:v>3.8714399580305897E-2</c:v>
                </c:pt>
                <c:pt idx="73">
                  <c:v>4.0859680464215939E-2</c:v>
                </c:pt>
                <c:pt idx="74">
                  <c:v>3.3083863314044427E-2</c:v>
                </c:pt>
                <c:pt idx="75">
                  <c:v>3.4773133457375024E-2</c:v>
                </c:pt>
                <c:pt idx="76">
                  <c:v>3.3336259895619828E-2</c:v>
                </c:pt>
                <c:pt idx="77">
                  <c:v>3.6124234219210488E-2</c:v>
                </c:pt>
                <c:pt idx="78">
                  <c:v>3.7322645206038028E-2</c:v>
                </c:pt>
                <c:pt idx="79">
                  <c:v>2.7491028136689015E-2</c:v>
                </c:pt>
                <c:pt idx="80">
                  <c:v>2.0053634500375464E-2</c:v>
                </c:pt>
                <c:pt idx="81">
                  <c:v>2.8570963225483317E-2</c:v>
                </c:pt>
                <c:pt idx="82">
                  <c:v>1.918134630183323E-2</c:v>
                </c:pt>
                <c:pt idx="83">
                  <c:v>1.3595659433719003E-2</c:v>
                </c:pt>
                <c:pt idx="84">
                  <c:v>1.1893593194650234E-2</c:v>
                </c:pt>
                <c:pt idx="85">
                  <c:v>1.6931181222600809E-2</c:v>
                </c:pt>
                <c:pt idx="86">
                  <c:v>1.7788840970779093E-2</c:v>
                </c:pt>
                <c:pt idx="87">
                  <c:v>3.1297220339518747E-2</c:v>
                </c:pt>
                <c:pt idx="88">
                  <c:v>2.0972553216195663E-2</c:v>
                </c:pt>
                <c:pt idx="89">
                  <c:v>2.1398299106709165E-2</c:v>
                </c:pt>
                <c:pt idx="90">
                  <c:v>1.2736049347215896E-2</c:v>
                </c:pt>
                <c:pt idx="91">
                  <c:v>2.3961853837113797E-2</c:v>
                </c:pt>
                <c:pt idx="92">
                  <c:v>1.3515162151020501E-2</c:v>
                </c:pt>
                <c:pt idx="93">
                  <c:v>1.2369441601076973E-2</c:v>
                </c:pt>
                <c:pt idx="94">
                  <c:v>1.0776473228067065E-2</c:v>
                </c:pt>
                <c:pt idx="95">
                  <c:v>1.7394477571822681E-2</c:v>
                </c:pt>
                <c:pt idx="96">
                  <c:v>1.4655695722198506E-2</c:v>
                </c:pt>
                <c:pt idx="97">
                  <c:v>3.2400814735805805E-2</c:v>
                </c:pt>
                <c:pt idx="98">
                  <c:v>3.8553019952686861E-2</c:v>
                </c:pt>
                <c:pt idx="99">
                  <c:v>3.978932077939467E-2</c:v>
                </c:pt>
                <c:pt idx="100">
                  <c:v>4.3660285989325455E-2</c:v>
                </c:pt>
                <c:pt idx="101">
                  <c:v>4.257231368776801E-2</c:v>
                </c:pt>
                <c:pt idx="102">
                  <c:v>4.4135487251594462E-2</c:v>
                </c:pt>
                <c:pt idx="103">
                  <c:v>4.7080350658294627E-2</c:v>
                </c:pt>
                <c:pt idx="104">
                  <c:v>4.4189385019294231E-2</c:v>
                </c:pt>
                <c:pt idx="105">
                  <c:v>4.9827463998768619E-2</c:v>
                </c:pt>
                <c:pt idx="106">
                  <c:v>5.0659359076721734E-2</c:v>
                </c:pt>
                <c:pt idx="107">
                  <c:v>5.3911847491480994E-2</c:v>
                </c:pt>
                <c:pt idx="108">
                  <c:v>5.277564266500364E-2</c:v>
                </c:pt>
                <c:pt idx="109">
                  <c:v>4.5455034534911468E-2</c:v>
                </c:pt>
                <c:pt idx="110">
                  <c:v>3.5517586775931517E-2</c:v>
                </c:pt>
                <c:pt idx="111">
                  <c:v>3.291870628443383E-2</c:v>
                </c:pt>
                <c:pt idx="112">
                  <c:v>3.1299492309192475E-2</c:v>
                </c:pt>
                <c:pt idx="113">
                  <c:v>3.5699236279432223E-2</c:v>
                </c:pt>
                <c:pt idx="114">
                  <c:v>3.5634451405078968E-2</c:v>
                </c:pt>
                <c:pt idx="115">
                  <c:v>3.3043790152803169E-2</c:v>
                </c:pt>
                <c:pt idx="116">
                  <c:v>3.6674757468945017E-2</c:v>
                </c:pt>
                <c:pt idx="117">
                  <c:v>3.4911210870154627E-2</c:v>
                </c:pt>
                <c:pt idx="118">
                  <c:v>5.0043382236422143E-2</c:v>
                </c:pt>
                <c:pt idx="119">
                  <c:v>5.6256564357083913E-2</c:v>
                </c:pt>
                <c:pt idx="120">
                  <c:v>4.1075172507177835E-2</c:v>
                </c:pt>
                <c:pt idx="121">
                  <c:v>6.0737585418572632E-2</c:v>
                </c:pt>
                <c:pt idx="122">
                  <c:v>7.2713039100335219E-2</c:v>
                </c:pt>
                <c:pt idx="123">
                  <c:v>7.7023489676912499E-2</c:v>
                </c:pt>
                <c:pt idx="124">
                  <c:v>7.7662462672722268E-2</c:v>
                </c:pt>
                <c:pt idx="125">
                  <c:v>7.6095916630512975E-2</c:v>
                </c:pt>
                <c:pt idx="126">
                  <c:v>7.8353807633105121E-2</c:v>
                </c:pt>
                <c:pt idx="127">
                  <c:v>7.8143189183203843E-2</c:v>
                </c:pt>
                <c:pt idx="128">
                  <c:v>8.1898280186686892E-2</c:v>
                </c:pt>
                <c:pt idx="129">
                  <c:v>8.1021675849940314E-2</c:v>
                </c:pt>
                <c:pt idx="130">
                  <c:v>7.984972760621406E-2</c:v>
                </c:pt>
                <c:pt idx="131">
                  <c:v>7.9817242499975058E-2</c:v>
                </c:pt>
                <c:pt idx="132">
                  <c:v>7.9296893306986416E-2</c:v>
                </c:pt>
                <c:pt idx="133">
                  <c:v>7.9823731969297568E-2</c:v>
                </c:pt>
                <c:pt idx="134">
                  <c:v>7.9797891119573014E-2</c:v>
                </c:pt>
                <c:pt idx="135">
                  <c:v>7.9890003561119485E-2</c:v>
                </c:pt>
                <c:pt idx="136">
                  <c:v>7.9756898432241971E-2</c:v>
                </c:pt>
                <c:pt idx="137">
                  <c:v>8.0715010925083749E-2</c:v>
                </c:pt>
                <c:pt idx="138">
                  <c:v>8.1261318396068594E-2</c:v>
                </c:pt>
                <c:pt idx="139">
                  <c:v>8.1682125036881909E-2</c:v>
                </c:pt>
                <c:pt idx="140">
                  <c:v>8.1723201927817596E-2</c:v>
                </c:pt>
                <c:pt idx="141">
                  <c:v>8.1787190697357293E-2</c:v>
                </c:pt>
                <c:pt idx="142">
                  <c:v>8.1868439723902425E-2</c:v>
                </c:pt>
                <c:pt idx="143">
                  <c:v>8.1755859497038147E-2</c:v>
                </c:pt>
                <c:pt idx="144">
                  <c:v>8.1835368648297394E-2</c:v>
                </c:pt>
                <c:pt idx="145">
                  <c:v>8.0896221982091412E-2</c:v>
                </c:pt>
                <c:pt idx="146">
                  <c:v>8.1706034378599773E-2</c:v>
                </c:pt>
                <c:pt idx="147">
                  <c:v>8.1711963469050589E-2</c:v>
                </c:pt>
                <c:pt idx="148">
                  <c:v>8.1218966219886057E-2</c:v>
                </c:pt>
                <c:pt idx="149">
                  <c:v>8.1545918123322028E-2</c:v>
                </c:pt>
                <c:pt idx="150">
                  <c:v>8.1325759096091105E-2</c:v>
                </c:pt>
                <c:pt idx="151">
                  <c:v>8.192377345237567E-2</c:v>
                </c:pt>
                <c:pt idx="152">
                  <c:v>8.1506822884680613E-2</c:v>
                </c:pt>
                <c:pt idx="153">
                  <c:v>8.1861037046634E-2</c:v>
                </c:pt>
                <c:pt idx="154">
                  <c:v>7.9446671097903349E-2</c:v>
                </c:pt>
                <c:pt idx="155">
                  <c:v>8.1530206611848663E-2</c:v>
                </c:pt>
                <c:pt idx="156">
                  <c:v>8.0458556577515064E-2</c:v>
                </c:pt>
                <c:pt idx="157">
                  <c:v>7.8791571475879993E-2</c:v>
                </c:pt>
                <c:pt idx="158">
                  <c:v>7.9607931078257005E-2</c:v>
                </c:pt>
                <c:pt idx="159">
                  <c:v>7.9717029994020347E-2</c:v>
                </c:pt>
                <c:pt idx="160">
                  <c:v>7.8033734989424064E-2</c:v>
                </c:pt>
                <c:pt idx="161">
                  <c:v>8.0024497574430045E-2</c:v>
                </c:pt>
                <c:pt idx="162">
                  <c:v>7.9862145178706739E-2</c:v>
                </c:pt>
                <c:pt idx="163">
                  <c:v>7.9707587680231756E-2</c:v>
                </c:pt>
                <c:pt idx="164">
                  <c:v>8.0696690894547979E-2</c:v>
                </c:pt>
                <c:pt idx="165">
                  <c:v>8.1474735852134481E-2</c:v>
                </c:pt>
                <c:pt idx="166">
                  <c:v>8.1434311270931717E-2</c:v>
                </c:pt>
                <c:pt idx="167">
                  <c:v>8.1181508617911124E-2</c:v>
                </c:pt>
                <c:pt idx="168">
                  <c:v>8.2156893973046791E-2</c:v>
                </c:pt>
                <c:pt idx="169">
                  <c:v>8.0874005940865121E-2</c:v>
                </c:pt>
                <c:pt idx="170">
                  <c:v>8.0874005940865121E-2</c:v>
                </c:pt>
                <c:pt idx="171">
                  <c:v>8.1637910562392807E-2</c:v>
                </c:pt>
                <c:pt idx="172">
                  <c:v>7.6688114324470341E-2</c:v>
                </c:pt>
                <c:pt idx="173">
                  <c:v>9.6125004511241008E-2</c:v>
                </c:pt>
                <c:pt idx="174">
                  <c:v>9.7393128507140408E-2</c:v>
                </c:pt>
                <c:pt idx="175">
                  <c:v>9.762412621433747E-2</c:v>
                </c:pt>
                <c:pt idx="176">
                  <c:v>9.4592163213542635E-2</c:v>
                </c:pt>
                <c:pt idx="177">
                  <c:v>9.4867152653725861E-2</c:v>
                </c:pt>
                <c:pt idx="178">
                  <c:v>9.7094672025807613E-2</c:v>
                </c:pt>
                <c:pt idx="179">
                  <c:v>9.7661393732941179E-2</c:v>
                </c:pt>
                <c:pt idx="180">
                  <c:v>8.9753322053967743E-2</c:v>
                </c:pt>
                <c:pt idx="181">
                  <c:v>8.8919845412055817E-2</c:v>
                </c:pt>
                <c:pt idx="182">
                  <c:v>9.0051750998793575E-2</c:v>
                </c:pt>
                <c:pt idx="183">
                  <c:v>8.7859643342061519E-2</c:v>
                </c:pt>
                <c:pt idx="184">
                  <c:v>9.1283684743601226E-2</c:v>
                </c:pt>
                <c:pt idx="185">
                  <c:v>9.0725077845157528E-2</c:v>
                </c:pt>
                <c:pt idx="186">
                  <c:v>9.2750364570279117E-2</c:v>
                </c:pt>
                <c:pt idx="187">
                  <c:v>9.4657678016364682E-2</c:v>
                </c:pt>
                <c:pt idx="188">
                  <c:v>9.5633002171146606E-2</c:v>
                </c:pt>
                <c:pt idx="189">
                  <c:v>9.5071817474038714E-2</c:v>
                </c:pt>
                <c:pt idx="190">
                  <c:v>9.6318485191719164E-2</c:v>
                </c:pt>
                <c:pt idx="191">
                  <c:v>9.6001930549942466E-2</c:v>
                </c:pt>
                <c:pt idx="192">
                  <c:v>9.6904110875792718E-2</c:v>
                </c:pt>
                <c:pt idx="193">
                  <c:v>9.8323773895339334E-2</c:v>
                </c:pt>
                <c:pt idx="194">
                  <c:v>0.10224827666367918</c:v>
                </c:pt>
                <c:pt idx="195">
                  <c:v>0.10128662267235429</c:v>
                </c:pt>
                <c:pt idx="196">
                  <c:v>0.10015048543116242</c:v>
                </c:pt>
                <c:pt idx="197">
                  <c:v>0.10032886541720636</c:v>
                </c:pt>
                <c:pt idx="198">
                  <c:v>9.9523163967434394E-2</c:v>
                </c:pt>
                <c:pt idx="199">
                  <c:v>0.10201112872084113</c:v>
                </c:pt>
                <c:pt idx="200">
                  <c:v>0.10275975122076754</c:v>
                </c:pt>
                <c:pt idx="201">
                  <c:v>0.10266528245295826</c:v>
                </c:pt>
                <c:pt idx="202">
                  <c:v>0.10218842555524965</c:v>
                </c:pt>
                <c:pt idx="203">
                  <c:v>0.10489792154616835</c:v>
                </c:pt>
                <c:pt idx="204">
                  <c:v>0.10413850155519228</c:v>
                </c:pt>
                <c:pt idx="205">
                  <c:v>0.10283334939095881</c:v>
                </c:pt>
                <c:pt idx="206">
                  <c:v>9.8820469321860727E-2</c:v>
                </c:pt>
                <c:pt idx="207">
                  <c:v>9.8946816860196435E-2</c:v>
                </c:pt>
                <c:pt idx="208">
                  <c:v>9.7178242735217399E-2</c:v>
                </c:pt>
                <c:pt idx="209">
                  <c:v>8.8821675647883291E-2</c:v>
                </c:pt>
                <c:pt idx="210">
                  <c:v>8.1512156261161678E-2</c:v>
                </c:pt>
                <c:pt idx="211">
                  <c:v>7.5661763174289312E-2</c:v>
                </c:pt>
                <c:pt idx="212">
                  <c:v>7.3204484909937348E-2</c:v>
                </c:pt>
                <c:pt idx="213">
                  <c:v>0.10847130970209855</c:v>
                </c:pt>
                <c:pt idx="214">
                  <c:v>0.11140570569533115</c:v>
                </c:pt>
                <c:pt idx="215">
                  <c:v>0.10707469987853045</c:v>
                </c:pt>
                <c:pt idx="216">
                  <c:v>0.10981913936914689</c:v>
                </c:pt>
                <c:pt idx="217">
                  <c:v>0.10763597834939721</c:v>
                </c:pt>
                <c:pt idx="218">
                  <c:v>0.10717595192802443</c:v>
                </c:pt>
                <c:pt idx="219">
                  <c:v>0.10194303949467125</c:v>
                </c:pt>
                <c:pt idx="220">
                  <c:v>0.10479961673444044</c:v>
                </c:pt>
                <c:pt idx="221">
                  <c:v>0.10923067260438557</c:v>
                </c:pt>
                <c:pt idx="222">
                  <c:v>0.10869674676861599</c:v>
                </c:pt>
                <c:pt idx="223">
                  <c:v>0.11177078810435091</c:v>
                </c:pt>
                <c:pt idx="224">
                  <c:v>0.1127253388017551</c:v>
                </c:pt>
                <c:pt idx="225">
                  <c:v>0.11249838483401228</c:v>
                </c:pt>
                <c:pt idx="226">
                  <c:v>0.10822087432599573</c:v>
                </c:pt>
                <c:pt idx="227">
                  <c:v>0.11340675306244552</c:v>
                </c:pt>
                <c:pt idx="228">
                  <c:v>0.11265449010661913</c:v>
                </c:pt>
                <c:pt idx="229">
                  <c:v>0.11456278225765303</c:v>
                </c:pt>
                <c:pt idx="230">
                  <c:v>0.11527242944307239</c:v>
                </c:pt>
                <c:pt idx="231">
                  <c:v>0.11527242944307239</c:v>
                </c:pt>
                <c:pt idx="232">
                  <c:v>0.1216741929591495</c:v>
                </c:pt>
                <c:pt idx="233">
                  <c:v>0.11884943697479003</c:v>
                </c:pt>
                <c:pt idx="234">
                  <c:v>0.10659446710114105</c:v>
                </c:pt>
                <c:pt idx="235">
                  <c:v>9.9963289412464934E-2</c:v>
                </c:pt>
                <c:pt idx="236">
                  <c:v>9.2458563158462931E-2</c:v>
                </c:pt>
                <c:pt idx="237">
                  <c:v>9.3226926185724382E-2</c:v>
                </c:pt>
                <c:pt idx="238">
                  <c:v>8.7433137334233649E-2</c:v>
                </c:pt>
                <c:pt idx="239">
                  <c:v>9.7100808402527355E-2</c:v>
                </c:pt>
                <c:pt idx="240">
                  <c:v>9.8313156689414011E-2</c:v>
                </c:pt>
                <c:pt idx="241">
                  <c:v>9.7107784886678802E-2</c:v>
                </c:pt>
                <c:pt idx="242">
                  <c:v>9.9696545642834949E-2</c:v>
                </c:pt>
                <c:pt idx="243">
                  <c:v>0.10067718103105358</c:v>
                </c:pt>
                <c:pt idx="244">
                  <c:v>0.10195055826546841</c:v>
                </c:pt>
                <c:pt idx="245">
                  <c:v>0.10150254937447344</c:v>
                </c:pt>
                <c:pt idx="246">
                  <c:v>0.10169162752444129</c:v>
                </c:pt>
                <c:pt idx="247">
                  <c:v>0.10164823103557565</c:v>
                </c:pt>
                <c:pt idx="248">
                  <c:v>0.10179308700493997</c:v>
                </c:pt>
                <c:pt idx="249">
                  <c:v>0.10166008354644272</c:v>
                </c:pt>
                <c:pt idx="250">
                  <c:v>9.7909507565178786E-2</c:v>
                </c:pt>
                <c:pt idx="251">
                  <c:v>0.10742296428476786</c:v>
                </c:pt>
                <c:pt idx="252">
                  <c:v>0.1014070390475392</c:v>
                </c:pt>
                <c:pt idx="253">
                  <c:v>0.1014070390475392</c:v>
                </c:pt>
                <c:pt idx="254">
                  <c:v>0.10138189523156046</c:v>
                </c:pt>
                <c:pt idx="255">
                  <c:v>0.10428052842456571</c:v>
                </c:pt>
                <c:pt idx="256">
                  <c:v>0.10388877677927889</c:v>
                </c:pt>
                <c:pt idx="257">
                  <c:v>0.10212589723300958</c:v>
                </c:pt>
                <c:pt idx="258">
                  <c:v>0.10390123597023045</c:v>
                </c:pt>
                <c:pt idx="259">
                  <c:v>0.10596522125985949</c:v>
                </c:pt>
                <c:pt idx="260">
                  <c:v>0.11076468213230414</c:v>
                </c:pt>
                <c:pt idx="261">
                  <c:v>0.11203337183807348</c:v>
                </c:pt>
                <c:pt idx="262">
                  <c:v>0.11401136514138599</c:v>
                </c:pt>
                <c:pt idx="263">
                  <c:v>0.11492257029672991</c:v>
                </c:pt>
                <c:pt idx="264">
                  <c:v>0.11684187329377096</c:v>
                </c:pt>
                <c:pt idx="265">
                  <c:v>0.11958955088960228</c:v>
                </c:pt>
                <c:pt idx="266">
                  <c:v>0.10734215602067218</c:v>
                </c:pt>
                <c:pt idx="267">
                  <c:v>0.10734215602067218</c:v>
                </c:pt>
                <c:pt idx="268">
                  <c:v>0.10725658156967352</c:v>
                </c:pt>
                <c:pt idx="269">
                  <c:v>0.10977321833674999</c:v>
                </c:pt>
                <c:pt idx="270">
                  <c:v>0.10941815164520444</c:v>
                </c:pt>
                <c:pt idx="271">
                  <c:v>0.10941815164520444</c:v>
                </c:pt>
                <c:pt idx="272">
                  <c:v>0.10920174537859463</c:v>
                </c:pt>
                <c:pt idx="273">
                  <c:v>0.10571424542317694</c:v>
                </c:pt>
                <c:pt idx="274">
                  <c:v>0.10856328199708462</c:v>
                </c:pt>
                <c:pt idx="275">
                  <c:v>0.10893318023639163</c:v>
                </c:pt>
                <c:pt idx="276">
                  <c:v>0.1080600335031487</c:v>
                </c:pt>
                <c:pt idx="277">
                  <c:v>0.10397292664951806</c:v>
                </c:pt>
                <c:pt idx="278">
                  <c:v>9.8027877231345067E-2</c:v>
                </c:pt>
                <c:pt idx="279">
                  <c:v>9.0455942763495237E-2</c:v>
                </c:pt>
                <c:pt idx="280">
                  <c:v>8.2935024512696437E-2</c:v>
                </c:pt>
                <c:pt idx="281">
                  <c:v>7.3877363359438911E-2</c:v>
                </c:pt>
                <c:pt idx="282">
                  <c:v>7.7330396518719396E-2</c:v>
                </c:pt>
                <c:pt idx="283">
                  <c:v>7.625582025399652E-2</c:v>
                </c:pt>
                <c:pt idx="284">
                  <c:v>6.7983643352579573E-2</c:v>
                </c:pt>
                <c:pt idx="285">
                  <c:v>6.7281992899521387E-2</c:v>
                </c:pt>
                <c:pt idx="286">
                  <c:v>6.6095599162529703E-2</c:v>
                </c:pt>
                <c:pt idx="287">
                  <c:v>6.4532461875004485E-2</c:v>
                </c:pt>
                <c:pt idx="288">
                  <c:v>6.2275121954175144E-2</c:v>
                </c:pt>
                <c:pt idx="289">
                  <c:v>6.6247986816062379E-2</c:v>
                </c:pt>
                <c:pt idx="290">
                  <c:v>4.8234610066575534E-2</c:v>
                </c:pt>
                <c:pt idx="291">
                  <c:v>5.6013502187545396E-2</c:v>
                </c:pt>
                <c:pt idx="292">
                  <c:v>5.634170635868474E-2</c:v>
                </c:pt>
                <c:pt idx="293">
                  <c:v>6.0140401655992937E-2</c:v>
                </c:pt>
                <c:pt idx="294">
                  <c:v>6.5273736713743466E-2</c:v>
                </c:pt>
                <c:pt idx="295">
                  <c:v>6.6302465224362256E-2</c:v>
                </c:pt>
                <c:pt idx="296">
                  <c:v>6.4867644144036743E-2</c:v>
                </c:pt>
                <c:pt idx="297">
                  <c:v>6.1283780301168593E-2</c:v>
                </c:pt>
                <c:pt idx="298">
                  <c:v>5.9035751421720684E-2</c:v>
                </c:pt>
                <c:pt idx="299">
                  <c:v>6.4898678056009823E-2</c:v>
                </c:pt>
                <c:pt idx="300">
                  <c:v>6.0336396874819731E-2</c:v>
                </c:pt>
                <c:pt idx="301">
                  <c:v>6.1043969723380762E-2</c:v>
                </c:pt>
                <c:pt idx="302">
                  <c:v>5.9414591740583798E-2</c:v>
                </c:pt>
                <c:pt idx="303">
                  <c:v>6.9593911258229044E-2</c:v>
                </c:pt>
                <c:pt idx="304">
                  <c:v>6.632811003701522E-2</c:v>
                </c:pt>
                <c:pt idx="305">
                  <c:v>6.6389546959453052E-2</c:v>
                </c:pt>
                <c:pt idx="306">
                  <c:v>6.7554446422187137E-2</c:v>
                </c:pt>
                <c:pt idx="307">
                  <c:v>6.7796024366436072E-2</c:v>
                </c:pt>
                <c:pt idx="308">
                  <c:v>7.0847325421015961E-2</c:v>
                </c:pt>
                <c:pt idx="309">
                  <c:v>7.2845487291379463E-2</c:v>
                </c:pt>
                <c:pt idx="310">
                  <c:v>6.9342452926860795E-2</c:v>
                </c:pt>
                <c:pt idx="311">
                  <c:v>6.8405252837679273E-2</c:v>
                </c:pt>
                <c:pt idx="312">
                  <c:v>7.0635341130685064E-2</c:v>
                </c:pt>
                <c:pt idx="313">
                  <c:v>7.0384335412923535E-2</c:v>
                </c:pt>
                <c:pt idx="314">
                  <c:v>7.031723471146821E-2</c:v>
                </c:pt>
                <c:pt idx="315">
                  <c:v>7.3016233173644737E-2</c:v>
                </c:pt>
                <c:pt idx="316">
                  <c:v>7.3815992532357835E-2</c:v>
                </c:pt>
                <c:pt idx="317">
                  <c:v>7.4753788728586401E-2</c:v>
                </c:pt>
                <c:pt idx="318">
                  <c:v>7.4765777841424561E-2</c:v>
                </c:pt>
                <c:pt idx="319">
                  <c:v>7.5265488489323878E-2</c:v>
                </c:pt>
                <c:pt idx="320">
                  <c:v>7.5739969121014633E-2</c:v>
                </c:pt>
                <c:pt idx="321">
                  <c:v>7.3833695879838207E-2</c:v>
                </c:pt>
                <c:pt idx="322">
                  <c:v>8.0301290453662133E-2</c:v>
                </c:pt>
                <c:pt idx="323">
                  <c:v>8.483659650609858E-2</c:v>
                </c:pt>
                <c:pt idx="324">
                  <c:v>8.3201451804819609E-2</c:v>
                </c:pt>
                <c:pt idx="325">
                  <c:v>8.9761883016836783E-2</c:v>
                </c:pt>
                <c:pt idx="326">
                  <c:v>9.2059810312289797E-2</c:v>
                </c:pt>
                <c:pt idx="327">
                  <c:v>0.10273099835555395</c:v>
                </c:pt>
                <c:pt idx="328">
                  <c:v>9.5341618947913889E-2</c:v>
                </c:pt>
                <c:pt idx="329">
                  <c:v>9.6157111764988548E-2</c:v>
                </c:pt>
                <c:pt idx="330">
                  <c:v>9.6872611827946944E-2</c:v>
                </c:pt>
                <c:pt idx="331">
                  <c:v>9.8865398762655959E-2</c:v>
                </c:pt>
                <c:pt idx="332">
                  <c:v>0.10105734970104338</c:v>
                </c:pt>
                <c:pt idx="333">
                  <c:v>0.10161726664963214</c:v>
                </c:pt>
                <c:pt idx="334">
                  <c:v>0.10110590568855307</c:v>
                </c:pt>
                <c:pt idx="335">
                  <c:v>0.10061767468286058</c:v>
                </c:pt>
                <c:pt idx="336">
                  <c:v>9.7447339422440063E-2</c:v>
                </c:pt>
                <c:pt idx="337">
                  <c:v>9.8920227355111606E-2</c:v>
                </c:pt>
                <c:pt idx="338">
                  <c:v>9.8946888326854429E-2</c:v>
                </c:pt>
                <c:pt idx="339">
                  <c:v>9.8080610190551282E-2</c:v>
                </c:pt>
                <c:pt idx="340">
                  <c:v>9.9673839382088417E-2</c:v>
                </c:pt>
                <c:pt idx="341">
                  <c:v>9.9966707416424314E-2</c:v>
                </c:pt>
                <c:pt idx="342">
                  <c:v>9.5838630385601906E-2</c:v>
                </c:pt>
                <c:pt idx="343">
                  <c:v>9.6728888537518168E-2</c:v>
                </c:pt>
                <c:pt idx="344">
                  <c:v>0.10961087076451202</c:v>
                </c:pt>
                <c:pt idx="345">
                  <c:v>0.11273607944442961</c:v>
                </c:pt>
                <c:pt idx="346">
                  <c:v>0.10527065930194213</c:v>
                </c:pt>
                <c:pt idx="347">
                  <c:v>0.10098837994039002</c:v>
                </c:pt>
                <c:pt idx="348">
                  <c:v>9.9196413940958114E-2</c:v>
                </c:pt>
                <c:pt idx="349">
                  <c:v>9.8494097642740724E-2</c:v>
                </c:pt>
                <c:pt idx="350">
                  <c:v>9.6068658140108829E-2</c:v>
                </c:pt>
                <c:pt idx="351">
                  <c:v>9.5965821254296299E-2</c:v>
                </c:pt>
                <c:pt idx="352">
                  <c:v>9.6149625898487037E-2</c:v>
                </c:pt>
                <c:pt idx="353">
                  <c:v>9.6099769788447684E-2</c:v>
                </c:pt>
                <c:pt idx="354">
                  <c:v>9.0956654742188545E-2</c:v>
                </c:pt>
                <c:pt idx="355">
                  <c:v>8.7074980289516865E-2</c:v>
                </c:pt>
                <c:pt idx="356">
                  <c:v>8.8502848218014546E-2</c:v>
                </c:pt>
                <c:pt idx="357">
                  <c:v>8.9392076718915067E-2</c:v>
                </c:pt>
                <c:pt idx="358">
                  <c:v>8.9057797649227111E-2</c:v>
                </c:pt>
                <c:pt idx="359">
                  <c:v>8.8852479822598585E-2</c:v>
                </c:pt>
                <c:pt idx="360">
                  <c:v>8.9584842148223848E-2</c:v>
                </c:pt>
                <c:pt idx="361">
                  <c:v>9.0132244496597305E-2</c:v>
                </c:pt>
                <c:pt idx="362">
                  <c:v>8.6267499612053822E-2</c:v>
                </c:pt>
                <c:pt idx="363">
                  <c:v>8.7773390473362439E-2</c:v>
                </c:pt>
                <c:pt idx="364">
                  <c:v>8.8158415123496842E-2</c:v>
                </c:pt>
                <c:pt idx="365">
                  <c:v>8.7925475623396337E-2</c:v>
                </c:pt>
                <c:pt idx="366">
                  <c:v>8.0950307372369329E-2</c:v>
                </c:pt>
                <c:pt idx="367">
                  <c:v>8.7224510664250271E-2</c:v>
                </c:pt>
                <c:pt idx="368">
                  <c:v>8.6749064547728905E-2</c:v>
                </c:pt>
                <c:pt idx="369">
                  <c:v>8.7677356100829371E-2</c:v>
                </c:pt>
                <c:pt idx="370">
                  <c:v>8.6998257891108891E-2</c:v>
                </c:pt>
                <c:pt idx="371">
                  <c:v>8.64074730088044E-2</c:v>
                </c:pt>
                <c:pt idx="372">
                  <c:v>8.9500983102532503E-2</c:v>
                </c:pt>
                <c:pt idx="373">
                  <c:v>9.5013722327444664E-2</c:v>
                </c:pt>
                <c:pt idx="374">
                  <c:v>0.10689239714750036</c:v>
                </c:pt>
                <c:pt idx="375">
                  <c:v>0.10732398181861665</c:v>
                </c:pt>
                <c:pt idx="376">
                  <c:v>0.10580151585782421</c:v>
                </c:pt>
                <c:pt idx="377">
                  <c:v>0.10572073854991745</c:v>
                </c:pt>
                <c:pt idx="378">
                  <c:v>0.11035600642622644</c:v>
                </c:pt>
                <c:pt idx="379">
                  <c:v>0.11724881901975495</c:v>
                </c:pt>
                <c:pt idx="380">
                  <c:v>0.11623691889629471</c:v>
                </c:pt>
                <c:pt idx="381">
                  <c:v>0.11623691889629471</c:v>
                </c:pt>
                <c:pt idx="382">
                  <c:v>0.11475666700118894</c:v>
                </c:pt>
                <c:pt idx="383">
                  <c:v>0.11198857197292722</c:v>
                </c:pt>
                <c:pt idx="384">
                  <c:v>0.1125712242613339</c:v>
                </c:pt>
                <c:pt idx="385">
                  <c:v>0.11107844294579654</c:v>
                </c:pt>
                <c:pt idx="386">
                  <c:v>0.11118493284212284</c:v>
                </c:pt>
                <c:pt idx="387">
                  <c:v>0.10530851399820615</c:v>
                </c:pt>
                <c:pt idx="388">
                  <c:v>0.10547978131934063</c:v>
                </c:pt>
                <c:pt idx="389">
                  <c:v>0.10604214968690688</c:v>
                </c:pt>
                <c:pt idx="390">
                  <c:v>0.10662228518915023</c:v>
                </c:pt>
                <c:pt idx="391">
                  <c:v>0.10356318305092925</c:v>
                </c:pt>
                <c:pt idx="392">
                  <c:v>0.10410449069380584</c:v>
                </c:pt>
                <c:pt idx="393">
                  <c:v>0.10471011243345302</c:v>
                </c:pt>
                <c:pt idx="394">
                  <c:v>0.10593264237351833</c:v>
                </c:pt>
                <c:pt idx="395">
                  <c:v>0.10699628111091</c:v>
                </c:pt>
                <c:pt idx="396">
                  <c:v>0.1039477250530542</c:v>
                </c:pt>
                <c:pt idx="397">
                  <c:v>0.10296999255417827</c:v>
                </c:pt>
                <c:pt idx="398">
                  <c:v>0.10422447346819094</c:v>
                </c:pt>
                <c:pt idx="399">
                  <c:v>0.10406118301709483</c:v>
                </c:pt>
                <c:pt idx="400">
                  <c:v>9.956361366013336E-2</c:v>
                </c:pt>
                <c:pt idx="401">
                  <c:v>0.10356935166162314</c:v>
                </c:pt>
                <c:pt idx="402">
                  <c:v>0.1034604511029109</c:v>
                </c:pt>
                <c:pt idx="403">
                  <c:v>0.13370180626814077</c:v>
                </c:pt>
                <c:pt idx="404">
                  <c:v>0.13574382093602769</c:v>
                </c:pt>
                <c:pt idx="405">
                  <c:v>0.13206174646067886</c:v>
                </c:pt>
                <c:pt idx="406">
                  <c:v>0.1319173410357623</c:v>
                </c:pt>
                <c:pt idx="407">
                  <c:v>0.13276971377395927</c:v>
                </c:pt>
                <c:pt idx="408">
                  <c:v>0.14793853022666387</c:v>
                </c:pt>
                <c:pt idx="409">
                  <c:v>0.1460175028331574</c:v>
                </c:pt>
                <c:pt idx="410">
                  <c:v>0.14653590885149903</c:v>
                </c:pt>
                <c:pt idx="411">
                  <c:v>0.15429952375806799</c:v>
                </c:pt>
                <c:pt idx="412">
                  <c:v>0.15810396477306246</c:v>
                </c:pt>
                <c:pt idx="413">
                  <c:v>0.15769264393203478</c:v>
                </c:pt>
                <c:pt idx="414">
                  <c:v>0.15840324782198634</c:v>
                </c:pt>
                <c:pt idx="415">
                  <c:v>0.15889643538903866</c:v>
                </c:pt>
                <c:pt idx="416">
                  <c:v>0.16030133471234315</c:v>
                </c:pt>
                <c:pt idx="417">
                  <c:v>0.1639142582054807</c:v>
                </c:pt>
                <c:pt idx="418">
                  <c:v>0.1671034702087914</c:v>
                </c:pt>
                <c:pt idx="419">
                  <c:v>0.16717550508477919</c:v>
                </c:pt>
                <c:pt idx="420">
                  <c:v>0.16153211595059125</c:v>
                </c:pt>
                <c:pt idx="421">
                  <c:v>0.16471031711339545</c:v>
                </c:pt>
                <c:pt idx="422">
                  <c:v>0.16477495533288364</c:v>
                </c:pt>
                <c:pt idx="423">
                  <c:v>0.16285267736134626</c:v>
                </c:pt>
                <c:pt idx="424">
                  <c:v>0.17439735727244754</c:v>
                </c:pt>
                <c:pt idx="425">
                  <c:v>0.17224300740489995</c:v>
                </c:pt>
                <c:pt idx="426">
                  <c:v>0.17224330960513323</c:v>
                </c:pt>
                <c:pt idx="427">
                  <c:v>0.17224330960513323</c:v>
                </c:pt>
                <c:pt idx="428">
                  <c:v>0.17225942044906115</c:v>
                </c:pt>
                <c:pt idx="429">
                  <c:v>0.17301730029693824</c:v>
                </c:pt>
                <c:pt idx="430">
                  <c:v>0.17250983412315352</c:v>
                </c:pt>
                <c:pt idx="431">
                  <c:v>0.17241709622220222</c:v>
                </c:pt>
                <c:pt idx="432">
                  <c:v>0.17336706790420206</c:v>
                </c:pt>
                <c:pt idx="433">
                  <c:v>0.17323208069450272</c:v>
                </c:pt>
                <c:pt idx="434">
                  <c:v>0.17386122304704146</c:v>
                </c:pt>
                <c:pt idx="435">
                  <c:v>0.17399591967669803</c:v>
                </c:pt>
                <c:pt idx="436">
                  <c:v>0.1724159007238166</c:v>
                </c:pt>
                <c:pt idx="437">
                  <c:v>0.17110197126305057</c:v>
                </c:pt>
                <c:pt idx="438">
                  <c:v>0.16863133475882902</c:v>
                </c:pt>
                <c:pt idx="439">
                  <c:v>0.1640785901632115</c:v>
                </c:pt>
                <c:pt idx="440">
                  <c:v>0.16108799973565516</c:v>
                </c:pt>
                <c:pt idx="441">
                  <c:v>0.15947699549338426</c:v>
                </c:pt>
                <c:pt idx="442">
                  <c:v>0.15210348647756097</c:v>
                </c:pt>
                <c:pt idx="443">
                  <c:v>0.15524402260214204</c:v>
                </c:pt>
                <c:pt idx="444">
                  <c:v>0.15586449298627511</c:v>
                </c:pt>
                <c:pt idx="445">
                  <c:v>0.15272560302152985</c:v>
                </c:pt>
                <c:pt idx="446">
                  <c:v>0.14963369245179264</c:v>
                </c:pt>
                <c:pt idx="447">
                  <c:v>0.15208010251836321</c:v>
                </c:pt>
                <c:pt idx="448">
                  <c:v>0.15014631184090599</c:v>
                </c:pt>
                <c:pt idx="449">
                  <c:v>0.14758421102638108</c:v>
                </c:pt>
                <c:pt idx="450">
                  <c:v>0.1470286250285574</c:v>
                </c:pt>
                <c:pt idx="451">
                  <c:v>0.14483607183345798</c:v>
                </c:pt>
                <c:pt idx="452">
                  <c:v>0.1444523407887322</c:v>
                </c:pt>
                <c:pt idx="453">
                  <c:v>0.13425553075738131</c:v>
                </c:pt>
                <c:pt idx="454">
                  <c:v>0.14274884715146627</c:v>
                </c:pt>
                <c:pt idx="455">
                  <c:v>0.14163486586929253</c:v>
                </c:pt>
                <c:pt idx="456">
                  <c:v>0.14874348049156366</c:v>
                </c:pt>
                <c:pt idx="457">
                  <c:v>0.14758576541254265</c:v>
                </c:pt>
                <c:pt idx="458">
                  <c:v>0.13371973058684569</c:v>
                </c:pt>
                <c:pt idx="459">
                  <c:v>0.14191856728171387</c:v>
                </c:pt>
                <c:pt idx="460">
                  <c:v>0.14119594089291773</c:v>
                </c:pt>
                <c:pt idx="461">
                  <c:v>0.13960566332132324</c:v>
                </c:pt>
                <c:pt idx="462">
                  <c:v>0.13821511781474521</c:v>
                </c:pt>
                <c:pt idx="463">
                  <c:v>0.13375379224183734</c:v>
                </c:pt>
                <c:pt idx="464">
                  <c:v>0.12900126924157973</c:v>
                </c:pt>
                <c:pt idx="465">
                  <c:v>0.13063069351898307</c:v>
                </c:pt>
                <c:pt idx="466">
                  <c:v>0.12778444179194265</c:v>
                </c:pt>
                <c:pt idx="467">
                  <c:v>0.1337067142868219</c:v>
                </c:pt>
                <c:pt idx="468">
                  <c:v>0.13482864734570887</c:v>
                </c:pt>
                <c:pt idx="469">
                  <c:v>0.13287742985344306</c:v>
                </c:pt>
                <c:pt idx="470">
                  <c:v>0.13614088396676369</c:v>
                </c:pt>
                <c:pt idx="471">
                  <c:v>0.14332121523672803</c:v>
                </c:pt>
                <c:pt idx="472">
                  <c:v>0.14415091491592685</c:v>
                </c:pt>
                <c:pt idx="473">
                  <c:v>0.15139232217684553</c:v>
                </c:pt>
                <c:pt idx="474">
                  <c:v>0.1517120524024958</c:v>
                </c:pt>
                <c:pt idx="475">
                  <c:v>0.14008387036381692</c:v>
                </c:pt>
                <c:pt idx="476">
                  <c:v>0.14148855667511687</c:v>
                </c:pt>
                <c:pt idx="477">
                  <c:v>0.13888770394821176</c:v>
                </c:pt>
                <c:pt idx="478">
                  <c:v>0.1382693638890134</c:v>
                </c:pt>
                <c:pt idx="479">
                  <c:v>0.12168446595901193</c:v>
                </c:pt>
                <c:pt idx="480">
                  <c:v>0.12245988549372437</c:v>
                </c:pt>
                <c:pt idx="481">
                  <c:v>0.10692448459363499</c:v>
                </c:pt>
                <c:pt idx="482">
                  <c:v>0.10986375619711945</c:v>
                </c:pt>
                <c:pt idx="483">
                  <c:v>0.11365536549034205</c:v>
                </c:pt>
                <c:pt idx="484">
                  <c:v>0.12016896080996943</c:v>
                </c:pt>
                <c:pt idx="485">
                  <c:v>0.11970094200201881</c:v>
                </c:pt>
                <c:pt idx="486">
                  <c:v>0.11223009327389867</c:v>
                </c:pt>
                <c:pt idx="487">
                  <c:v>0.10363738960623316</c:v>
                </c:pt>
                <c:pt idx="488">
                  <c:v>9.5774071487237114E-2</c:v>
                </c:pt>
                <c:pt idx="489">
                  <c:v>9.314405738128427E-2</c:v>
                </c:pt>
                <c:pt idx="490">
                  <c:v>9.2005597660580266E-2</c:v>
                </c:pt>
                <c:pt idx="491">
                  <c:v>0.10219161379112052</c:v>
                </c:pt>
                <c:pt idx="492">
                  <c:v>9.3326519803011737E-2</c:v>
                </c:pt>
                <c:pt idx="493">
                  <c:v>7.4417026304590614E-2</c:v>
                </c:pt>
                <c:pt idx="494">
                  <c:v>8.1662820578692438E-2</c:v>
                </c:pt>
                <c:pt idx="495">
                  <c:v>8.3277896545022476E-2</c:v>
                </c:pt>
                <c:pt idx="496">
                  <c:v>7.9009699809364523E-2</c:v>
                </c:pt>
                <c:pt idx="497">
                  <c:v>8.0232725223481363E-2</c:v>
                </c:pt>
                <c:pt idx="498">
                  <c:v>7.9534918192947182E-2</c:v>
                </c:pt>
                <c:pt idx="499">
                  <c:v>8.060659838984037E-2</c:v>
                </c:pt>
                <c:pt idx="500">
                  <c:v>8.0427387889349305E-2</c:v>
                </c:pt>
                <c:pt idx="501">
                  <c:v>8.7476501795243217E-2</c:v>
                </c:pt>
                <c:pt idx="502">
                  <c:v>7.8065491620102928E-2</c:v>
                </c:pt>
                <c:pt idx="503">
                  <c:v>8.3864049937070737E-2</c:v>
                </c:pt>
                <c:pt idx="504">
                  <c:v>8.8085808942304028E-2</c:v>
                </c:pt>
                <c:pt idx="505">
                  <c:v>9.5458068532253984E-2</c:v>
                </c:pt>
                <c:pt idx="506">
                  <c:v>9.7079626286810244E-2</c:v>
                </c:pt>
                <c:pt idx="507">
                  <c:v>9.9802344140717383E-2</c:v>
                </c:pt>
                <c:pt idx="508">
                  <c:v>9.8940003134228779E-2</c:v>
                </c:pt>
                <c:pt idx="509">
                  <c:v>0.10920219219219553</c:v>
                </c:pt>
                <c:pt idx="510">
                  <c:v>0.11667573742882059</c:v>
                </c:pt>
                <c:pt idx="511">
                  <c:v>0.11425787945480329</c:v>
                </c:pt>
                <c:pt idx="512">
                  <c:v>0.12590680994078507</c:v>
                </c:pt>
                <c:pt idx="513">
                  <c:v>0.12292987683840143</c:v>
                </c:pt>
                <c:pt idx="514">
                  <c:v>0.13096221759643198</c:v>
                </c:pt>
                <c:pt idx="515">
                  <c:v>0.14073856041757005</c:v>
                </c:pt>
                <c:pt idx="516">
                  <c:v>0.14226816907577441</c:v>
                </c:pt>
                <c:pt idx="517">
                  <c:v>0.14299085306631279</c:v>
                </c:pt>
                <c:pt idx="518">
                  <c:v>0.1431167330999977</c:v>
                </c:pt>
                <c:pt idx="519">
                  <c:v>0.16051824251644264</c:v>
                </c:pt>
                <c:pt idx="520">
                  <c:v>0.15334338390491617</c:v>
                </c:pt>
                <c:pt idx="521">
                  <c:v>0.13806336692584462</c:v>
                </c:pt>
                <c:pt idx="522">
                  <c:v>0.1386765074393573</c:v>
                </c:pt>
                <c:pt idx="523">
                  <c:v>0.13734264971080651</c:v>
                </c:pt>
                <c:pt idx="524">
                  <c:v>0.10930475529658096</c:v>
                </c:pt>
                <c:pt idx="525">
                  <c:v>5.0916923737537041E-2</c:v>
                </c:pt>
                <c:pt idx="526">
                  <c:v>7.0633793369388548E-2</c:v>
                </c:pt>
                <c:pt idx="527">
                  <c:v>6.9041447063469319E-2</c:v>
                </c:pt>
                <c:pt idx="528">
                  <c:v>6.0663214141334229E-2</c:v>
                </c:pt>
                <c:pt idx="529">
                  <c:v>6.3662362703470962E-2</c:v>
                </c:pt>
                <c:pt idx="530">
                  <c:v>6.5403113576116556E-2</c:v>
                </c:pt>
                <c:pt idx="531">
                  <c:v>6.560502813176107E-2</c:v>
                </c:pt>
                <c:pt idx="532">
                  <c:v>6.6625599263131066E-2</c:v>
                </c:pt>
                <c:pt idx="533">
                  <c:v>6.6568593665994713E-2</c:v>
                </c:pt>
                <c:pt idx="534">
                  <c:v>6.6557571748677921E-2</c:v>
                </c:pt>
                <c:pt idx="535">
                  <c:v>6.6603526952467226E-2</c:v>
                </c:pt>
                <c:pt idx="536">
                  <c:v>6.6730544325738314E-2</c:v>
                </c:pt>
                <c:pt idx="537">
                  <c:v>6.6319959666725048E-2</c:v>
                </c:pt>
                <c:pt idx="538">
                  <c:v>6.4023004981261386E-2</c:v>
                </c:pt>
                <c:pt idx="539">
                  <c:v>6.1440098004654602E-2</c:v>
                </c:pt>
                <c:pt idx="540">
                  <c:v>6.372147909687835E-2</c:v>
                </c:pt>
                <c:pt idx="541">
                  <c:v>6.4628648103134567E-2</c:v>
                </c:pt>
                <c:pt idx="542">
                  <c:v>6.6024699878482626E-2</c:v>
                </c:pt>
                <c:pt idx="543">
                  <c:v>6.5696044499131759E-2</c:v>
                </c:pt>
                <c:pt idx="544">
                  <c:v>6.3561983116732404E-2</c:v>
                </c:pt>
                <c:pt idx="545">
                  <c:v>6.3091902103611666E-2</c:v>
                </c:pt>
                <c:pt idx="546">
                  <c:v>6.3127435280952562E-2</c:v>
                </c:pt>
                <c:pt idx="547">
                  <c:v>6.3312282052908106E-2</c:v>
                </c:pt>
                <c:pt idx="548">
                  <c:v>6.3026848287978637E-2</c:v>
                </c:pt>
                <c:pt idx="549">
                  <c:v>6.3026848287978637E-2</c:v>
                </c:pt>
                <c:pt idx="550">
                  <c:v>6.1859665750975151E-2</c:v>
                </c:pt>
                <c:pt idx="551">
                  <c:v>6.0016349535022835E-2</c:v>
                </c:pt>
                <c:pt idx="552">
                  <c:v>6.018584603696249E-2</c:v>
                </c:pt>
                <c:pt idx="553">
                  <c:v>6.020914226276191E-2</c:v>
                </c:pt>
                <c:pt idx="554">
                  <c:v>5.8406815546349564E-2</c:v>
                </c:pt>
                <c:pt idx="555">
                  <c:v>5.8476921426169837E-2</c:v>
                </c:pt>
                <c:pt idx="556">
                  <c:v>5.8210853556764273E-2</c:v>
                </c:pt>
                <c:pt idx="557">
                  <c:v>5.3053949450109501E-2</c:v>
                </c:pt>
                <c:pt idx="558">
                  <c:v>4.4772881861697582E-2</c:v>
                </c:pt>
                <c:pt idx="559">
                  <c:v>5.642457445840502E-2</c:v>
                </c:pt>
                <c:pt idx="560">
                  <c:v>5.3840461096055711E-2</c:v>
                </c:pt>
                <c:pt idx="561">
                  <c:v>5.2461602475431197E-2</c:v>
                </c:pt>
                <c:pt idx="562">
                  <c:v>5.8441114527733144E-2</c:v>
                </c:pt>
                <c:pt idx="563">
                  <c:v>4.9180778435909157E-2</c:v>
                </c:pt>
                <c:pt idx="564">
                  <c:v>5.6329136161537653E-2</c:v>
                </c:pt>
                <c:pt idx="565">
                  <c:v>6.1841591134658543E-2</c:v>
                </c:pt>
                <c:pt idx="566">
                  <c:v>6.4132926846203989E-2</c:v>
                </c:pt>
                <c:pt idx="567">
                  <c:v>5.5123545725027687E-2</c:v>
                </c:pt>
                <c:pt idx="568">
                  <c:v>5.751835262064231E-2</c:v>
                </c:pt>
                <c:pt idx="569">
                  <c:v>6.3953656695193262E-2</c:v>
                </c:pt>
                <c:pt idx="570">
                  <c:v>6.1661054069439905E-2</c:v>
                </c:pt>
                <c:pt idx="571">
                  <c:v>6.5574885032237143E-2</c:v>
                </c:pt>
                <c:pt idx="572">
                  <c:v>6.4480301948478355E-2</c:v>
                </c:pt>
                <c:pt idx="573">
                  <c:v>6.857271809485789E-2</c:v>
                </c:pt>
                <c:pt idx="574">
                  <c:v>7.2501279733214602E-2</c:v>
                </c:pt>
                <c:pt idx="575">
                  <c:v>7.2982460014400868E-2</c:v>
                </c:pt>
                <c:pt idx="576">
                  <c:v>7.0401576716391995E-2</c:v>
                </c:pt>
                <c:pt idx="577">
                  <c:v>6.6779461639420667E-2</c:v>
                </c:pt>
                <c:pt idx="578">
                  <c:v>6.6734327083386696E-2</c:v>
                </c:pt>
                <c:pt idx="579">
                  <c:v>6.0041268177808339E-2</c:v>
                </c:pt>
                <c:pt idx="580">
                  <c:v>6.1835151835068811E-2</c:v>
                </c:pt>
                <c:pt idx="581">
                  <c:v>6.7802697516764127E-2</c:v>
                </c:pt>
                <c:pt idx="582">
                  <c:v>6.7238380332820688E-2</c:v>
                </c:pt>
                <c:pt idx="583">
                  <c:v>6.2469715876346789E-2</c:v>
                </c:pt>
                <c:pt idx="584">
                  <c:v>6.3549846172903865E-2</c:v>
                </c:pt>
                <c:pt idx="585">
                  <c:v>5.8353411189480002E-2</c:v>
                </c:pt>
                <c:pt idx="586">
                  <c:v>5.9282413679160803E-2</c:v>
                </c:pt>
                <c:pt idx="587">
                  <c:v>6.6291121094716063E-2</c:v>
                </c:pt>
                <c:pt idx="588">
                  <c:v>6.77594452034289E-2</c:v>
                </c:pt>
                <c:pt idx="589">
                  <c:v>6.7811009284271473E-2</c:v>
                </c:pt>
                <c:pt idx="590">
                  <c:v>7.3310239597748517E-2</c:v>
                </c:pt>
                <c:pt idx="591">
                  <c:v>7.7805284441499242E-2</c:v>
                </c:pt>
                <c:pt idx="592">
                  <c:v>7.9749918125081712E-2</c:v>
                </c:pt>
                <c:pt idx="593">
                  <c:v>8.0014201736082147E-2</c:v>
                </c:pt>
                <c:pt idx="594">
                  <c:v>7.6006969635029897E-2</c:v>
                </c:pt>
                <c:pt idx="595">
                  <c:v>7.8843864261686575E-2</c:v>
                </c:pt>
                <c:pt idx="596">
                  <c:v>7.8097058917818957E-2</c:v>
                </c:pt>
                <c:pt idx="597">
                  <c:v>7.706104560331993E-2</c:v>
                </c:pt>
                <c:pt idx="598">
                  <c:v>8.0752486488245734E-2</c:v>
                </c:pt>
                <c:pt idx="599">
                  <c:v>7.9637495943507997E-2</c:v>
                </c:pt>
                <c:pt idx="600">
                  <c:v>8.0488344820019819E-2</c:v>
                </c:pt>
                <c:pt idx="601">
                  <c:v>7.9902537182067523E-2</c:v>
                </c:pt>
                <c:pt idx="602">
                  <c:v>7.8112417607609508E-2</c:v>
                </c:pt>
                <c:pt idx="603">
                  <c:v>7.2714787706445003E-2</c:v>
                </c:pt>
                <c:pt idx="604">
                  <c:v>8.0248671727526755E-2</c:v>
                </c:pt>
                <c:pt idx="605">
                  <c:v>7.6858712169994459E-2</c:v>
                </c:pt>
                <c:pt idx="606">
                  <c:v>8.2921913052010729E-2</c:v>
                </c:pt>
                <c:pt idx="607">
                  <c:v>8.5012921501898611E-2</c:v>
                </c:pt>
                <c:pt idx="608">
                  <c:v>8.6127259686565413E-2</c:v>
                </c:pt>
                <c:pt idx="609">
                  <c:v>9.0032604651094444E-2</c:v>
                </c:pt>
                <c:pt idx="610">
                  <c:v>9.0032604651094444E-2</c:v>
                </c:pt>
                <c:pt idx="611">
                  <c:v>9.1265066530947347E-2</c:v>
                </c:pt>
                <c:pt idx="612">
                  <c:v>9.2038900534727394E-2</c:v>
                </c:pt>
                <c:pt idx="613">
                  <c:v>9.2216298743503955E-2</c:v>
                </c:pt>
                <c:pt idx="614">
                  <c:v>9.0504898018880564E-2</c:v>
                </c:pt>
                <c:pt idx="615">
                  <c:v>9.219028914550087E-2</c:v>
                </c:pt>
                <c:pt idx="616">
                  <c:v>9.1097418472891295E-2</c:v>
                </c:pt>
                <c:pt idx="617">
                  <c:v>9.1639330105069958E-2</c:v>
                </c:pt>
                <c:pt idx="618">
                  <c:v>8.9251103917745184E-2</c:v>
                </c:pt>
                <c:pt idx="619">
                  <c:v>9.041652964346418E-2</c:v>
                </c:pt>
                <c:pt idx="620">
                  <c:v>8.6996302396673358E-2</c:v>
                </c:pt>
                <c:pt idx="621">
                  <c:v>8.8431790021023415E-2</c:v>
                </c:pt>
                <c:pt idx="622">
                  <c:v>8.2107460960506404E-2</c:v>
                </c:pt>
                <c:pt idx="623">
                  <c:v>8.3544881352756034E-2</c:v>
                </c:pt>
                <c:pt idx="624">
                  <c:v>7.9104487294212225E-2</c:v>
                </c:pt>
                <c:pt idx="625">
                  <c:v>8.2448096238164764E-2</c:v>
                </c:pt>
                <c:pt idx="626">
                  <c:v>8.2824288335604082E-2</c:v>
                </c:pt>
                <c:pt idx="627">
                  <c:v>8.3982320264122431E-2</c:v>
                </c:pt>
                <c:pt idx="628">
                  <c:v>8.1262429124169935E-2</c:v>
                </c:pt>
                <c:pt idx="629">
                  <c:v>8.7066744332513754E-2</c:v>
                </c:pt>
                <c:pt idx="630">
                  <c:v>9.1109090979918303E-2</c:v>
                </c:pt>
                <c:pt idx="631">
                  <c:v>9.4426374117444298E-2</c:v>
                </c:pt>
                <c:pt idx="632">
                  <c:v>9.5592571750537508E-2</c:v>
                </c:pt>
                <c:pt idx="633">
                  <c:v>9.217711287055784E-2</c:v>
                </c:pt>
                <c:pt idx="634">
                  <c:v>9.7275127587491475E-2</c:v>
                </c:pt>
                <c:pt idx="635">
                  <c:v>9.7926254757128212E-2</c:v>
                </c:pt>
                <c:pt idx="636">
                  <c:v>9.6807346867524957E-2</c:v>
                </c:pt>
                <c:pt idx="637">
                  <c:v>9.9573749045677604E-2</c:v>
                </c:pt>
                <c:pt idx="638">
                  <c:v>0.1003244298024711</c:v>
                </c:pt>
                <c:pt idx="639">
                  <c:v>9.8462085903699231E-2</c:v>
                </c:pt>
                <c:pt idx="640">
                  <c:v>9.7523722985237024E-2</c:v>
                </c:pt>
                <c:pt idx="641">
                  <c:v>9.9795935239850059E-2</c:v>
                </c:pt>
                <c:pt idx="642">
                  <c:v>0.10147659321516843</c:v>
                </c:pt>
                <c:pt idx="643">
                  <c:v>0.1053035632397453</c:v>
                </c:pt>
                <c:pt idx="644">
                  <c:v>0.1055442806232673</c:v>
                </c:pt>
                <c:pt idx="645">
                  <c:v>9.9693225727386287E-2</c:v>
                </c:pt>
                <c:pt idx="646">
                  <c:v>9.5749726153612574E-2</c:v>
                </c:pt>
                <c:pt idx="647">
                  <c:v>9.9400729248903197E-2</c:v>
                </c:pt>
                <c:pt idx="648">
                  <c:v>9.7926074470159871E-2</c:v>
                </c:pt>
                <c:pt idx="649">
                  <c:v>0.10247248761528528</c:v>
                </c:pt>
                <c:pt idx="650">
                  <c:v>0.10505312856138961</c:v>
                </c:pt>
                <c:pt idx="651">
                  <c:v>0.10760276598406744</c:v>
                </c:pt>
                <c:pt idx="652">
                  <c:v>0.10996497242736808</c:v>
                </c:pt>
                <c:pt idx="653">
                  <c:v>0.10895307420611028</c:v>
                </c:pt>
                <c:pt idx="654">
                  <c:v>0.10859045288433833</c:v>
                </c:pt>
                <c:pt idx="655">
                  <c:v>0.10443410029016889</c:v>
                </c:pt>
                <c:pt idx="656">
                  <c:v>0.10155775775387942</c:v>
                </c:pt>
                <c:pt idx="657">
                  <c:v>0.10528429178896966</c:v>
                </c:pt>
                <c:pt idx="658">
                  <c:v>0.10175663602031981</c:v>
                </c:pt>
                <c:pt idx="659">
                  <c:v>0.10753505584828819</c:v>
                </c:pt>
                <c:pt idx="660">
                  <c:v>0.10866495639632233</c:v>
                </c:pt>
                <c:pt idx="661">
                  <c:v>0.10978436733058712</c:v>
                </c:pt>
                <c:pt idx="662">
                  <c:v>0.11040781673815335</c:v>
                </c:pt>
                <c:pt idx="663">
                  <c:v>0.110309684685876</c:v>
                </c:pt>
                <c:pt idx="664">
                  <c:v>0.10963750824653851</c:v>
                </c:pt>
                <c:pt idx="665">
                  <c:v>0.11351184320001544</c:v>
                </c:pt>
                <c:pt idx="666">
                  <c:v>0.11663104335718712</c:v>
                </c:pt>
                <c:pt idx="667">
                  <c:v>0.11673946069049089</c:v>
                </c:pt>
                <c:pt idx="668">
                  <c:v>0.120183879590603</c:v>
                </c:pt>
                <c:pt idx="669">
                  <c:v>0.11779261220544168</c:v>
                </c:pt>
                <c:pt idx="670">
                  <c:v>0.11779261220544168</c:v>
                </c:pt>
                <c:pt idx="671">
                  <c:v>0.11688481176436664</c:v>
                </c:pt>
                <c:pt idx="672">
                  <c:v>0.11441519741197714</c:v>
                </c:pt>
                <c:pt idx="673">
                  <c:v>0.11199450178116541</c:v>
                </c:pt>
                <c:pt idx="674">
                  <c:v>0.1108909313789142</c:v>
                </c:pt>
                <c:pt idx="675">
                  <c:v>0.11229697585680155</c:v>
                </c:pt>
                <c:pt idx="676">
                  <c:v>0.11455791663562702</c:v>
                </c:pt>
                <c:pt idx="677">
                  <c:v>0.11425689931518165</c:v>
                </c:pt>
                <c:pt idx="678">
                  <c:v>0.11893870103880463</c:v>
                </c:pt>
                <c:pt idx="679">
                  <c:v>0.1191780821515121</c:v>
                </c:pt>
                <c:pt idx="680">
                  <c:v>0.11479831382293794</c:v>
                </c:pt>
                <c:pt idx="681">
                  <c:v>0.11988191461605562</c:v>
                </c:pt>
                <c:pt idx="682">
                  <c:v>0.12079849554306753</c:v>
                </c:pt>
                <c:pt idx="683">
                  <c:v>0.12747366416289121</c:v>
                </c:pt>
                <c:pt idx="684">
                  <c:v>0.12896247462099725</c:v>
                </c:pt>
                <c:pt idx="685">
                  <c:v>0.12506508449740095</c:v>
                </c:pt>
                <c:pt idx="686">
                  <c:v>0.12377755415192211</c:v>
                </c:pt>
                <c:pt idx="687">
                  <c:v>0.12104985790941207</c:v>
                </c:pt>
                <c:pt idx="688">
                  <c:v>0.12334373761963853</c:v>
                </c:pt>
                <c:pt idx="689">
                  <c:v>0.1231257933183585</c:v>
                </c:pt>
                <c:pt idx="690">
                  <c:v>0.12557885250152442</c:v>
                </c:pt>
                <c:pt idx="691">
                  <c:v>0.12529839083408842</c:v>
                </c:pt>
                <c:pt idx="692">
                  <c:v>0.1259343156133696</c:v>
                </c:pt>
                <c:pt idx="693">
                  <c:v>0.12082144787836632</c:v>
                </c:pt>
                <c:pt idx="694">
                  <c:v>0.11680287726645641</c:v>
                </c:pt>
                <c:pt idx="695">
                  <c:v>0.11672826041110732</c:v>
                </c:pt>
                <c:pt idx="696">
                  <c:v>0.1151717790422178</c:v>
                </c:pt>
                <c:pt idx="697">
                  <c:v>8.3885873135187639E-2</c:v>
                </c:pt>
                <c:pt idx="698">
                  <c:v>7.2061155248423645E-2</c:v>
                </c:pt>
                <c:pt idx="699">
                  <c:v>7.9753821025649374E-2</c:v>
                </c:pt>
                <c:pt idx="700">
                  <c:v>7.4037134557875764E-2</c:v>
                </c:pt>
                <c:pt idx="701">
                  <c:v>9.7170042182894129E-2</c:v>
                </c:pt>
                <c:pt idx="702">
                  <c:v>9.6826084740481863E-2</c:v>
                </c:pt>
                <c:pt idx="703">
                  <c:v>8.4725242309324253E-2</c:v>
                </c:pt>
                <c:pt idx="704">
                  <c:v>8.3330779032933011E-2</c:v>
                </c:pt>
                <c:pt idx="705">
                  <c:v>8.0030461813705933E-2</c:v>
                </c:pt>
                <c:pt idx="706">
                  <c:v>7.6829540834768978E-2</c:v>
                </c:pt>
                <c:pt idx="707">
                  <c:v>5.0599973736603202E-2</c:v>
                </c:pt>
                <c:pt idx="708">
                  <c:v>5.757881436463836E-2</c:v>
                </c:pt>
                <c:pt idx="709">
                  <c:v>5.2283543606926781E-2</c:v>
                </c:pt>
                <c:pt idx="710">
                  <c:v>4.4641558866319229E-2</c:v>
                </c:pt>
                <c:pt idx="711">
                  <c:v>5.7060947664936051E-2</c:v>
                </c:pt>
                <c:pt idx="712">
                  <c:v>6.4102033209376463E-2</c:v>
                </c:pt>
                <c:pt idx="713">
                  <c:v>7.1191467204346923E-2</c:v>
                </c:pt>
                <c:pt idx="714">
                  <c:v>6.7754743877615417E-2</c:v>
                </c:pt>
                <c:pt idx="715">
                  <c:v>7.1520642169587034E-2</c:v>
                </c:pt>
                <c:pt idx="716">
                  <c:v>7.6271532367975112E-2</c:v>
                </c:pt>
                <c:pt idx="717">
                  <c:v>8.9801329359698936E-2</c:v>
                </c:pt>
                <c:pt idx="718">
                  <c:v>8.8219163444396287E-2</c:v>
                </c:pt>
                <c:pt idx="719">
                  <c:v>8.2188388492172304E-2</c:v>
                </c:pt>
                <c:pt idx="720">
                  <c:v>7.1346043552510258E-2</c:v>
                </c:pt>
                <c:pt idx="721">
                  <c:v>7.1292567882919794E-2</c:v>
                </c:pt>
                <c:pt idx="722">
                  <c:v>6.4846717099066226E-2</c:v>
                </c:pt>
                <c:pt idx="723">
                  <c:v>7.272538109484733E-2</c:v>
                </c:pt>
                <c:pt idx="724">
                  <c:v>7.451369005745738E-2</c:v>
                </c:pt>
                <c:pt idx="725">
                  <c:v>6.52331348375223E-2</c:v>
                </c:pt>
                <c:pt idx="726">
                  <c:v>5.4889465543992502E-2</c:v>
                </c:pt>
                <c:pt idx="727">
                  <c:v>5.6421426146558339E-2</c:v>
                </c:pt>
                <c:pt idx="728">
                  <c:v>5.2726538942680402E-2</c:v>
                </c:pt>
                <c:pt idx="729">
                  <c:v>5.9785683556287071E-2</c:v>
                </c:pt>
                <c:pt idx="730">
                  <c:v>6.2348756402783749E-2</c:v>
                </c:pt>
                <c:pt idx="731">
                  <c:v>7.2446789162335962E-2</c:v>
                </c:pt>
                <c:pt idx="732">
                  <c:v>7.2908663441241348E-2</c:v>
                </c:pt>
                <c:pt idx="733">
                  <c:v>7.507012448401866E-2</c:v>
                </c:pt>
                <c:pt idx="734">
                  <c:v>8.0169979857609514E-2</c:v>
                </c:pt>
                <c:pt idx="735">
                  <c:v>6.682567726629024E-2</c:v>
                </c:pt>
                <c:pt idx="736">
                  <c:v>6.682567726629024E-2</c:v>
                </c:pt>
                <c:pt idx="737">
                  <c:v>6.5273972846649791E-2</c:v>
                </c:pt>
                <c:pt idx="738">
                  <c:v>5.7633456900625733E-2</c:v>
                </c:pt>
                <c:pt idx="739">
                  <c:v>5.8403262445280268E-2</c:v>
                </c:pt>
                <c:pt idx="740">
                  <c:v>5.8176386377854071E-2</c:v>
                </c:pt>
                <c:pt idx="741">
                  <c:v>5.9497489575621038E-2</c:v>
                </c:pt>
                <c:pt idx="742">
                  <c:v>5.865961172590612E-2</c:v>
                </c:pt>
                <c:pt idx="743">
                  <c:v>5.3950045992908834E-2</c:v>
                </c:pt>
                <c:pt idx="744">
                  <c:v>4.9966209514752578E-2</c:v>
                </c:pt>
                <c:pt idx="745">
                  <c:v>4.8894290627170024E-2</c:v>
                </c:pt>
                <c:pt idx="746">
                  <c:v>4.6303350694139198E-2</c:v>
                </c:pt>
                <c:pt idx="747">
                  <c:v>4.5401919180087451E-2</c:v>
                </c:pt>
                <c:pt idx="748">
                  <c:v>4.3880325168614238E-2</c:v>
                </c:pt>
                <c:pt idx="749">
                  <c:v>3.8845951748207916E-2</c:v>
                </c:pt>
                <c:pt idx="750">
                  <c:v>3.2083511484326158E-2</c:v>
                </c:pt>
                <c:pt idx="751">
                  <c:v>3.4977688586885283E-2</c:v>
                </c:pt>
                <c:pt idx="752">
                  <c:v>3.4315120964916471E-2</c:v>
                </c:pt>
                <c:pt idx="753">
                  <c:v>3.5303101504112075E-2</c:v>
                </c:pt>
                <c:pt idx="754">
                  <c:v>3.5632727396025646E-2</c:v>
                </c:pt>
                <c:pt idx="755">
                  <c:v>3.536248183628473E-2</c:v>
                </c:pt>
                <c:pt idx="756">
                  <c:v>3.4033022153870905E-2</c:v>
                </c:pt>
                <c:pt idx="757">
                  <c:v>3.4132842764845989E-2</c:v>
                </c:pt>
                <c:pt idx="758">
                  <c:v>3.398584295590696E-2</c:v>
                </c:pt>
                <c:pt idx="759">
                  <c:v>3.3848889308531367E-2</c:v>
                </c:pt>
                <c:pt idx="760">
                  <c:v>3.3555500489479216E-2</c:v>
                </c:pt>
                <c:pt idx="761">
                  <c:v>3.3521403516724994E-2</c:v>
                </c:pt>
                <c:pt idx="762">
                  <c:v>3.4152821101805203E-2</c:v>
                </c:pt>
                <c:pt idx="763">
                  <c:v>3.2846131029389172E-2</c:v>
                </c:pt>
                <c:pt idx="764">
                  <c:v>3.2483012980145706E-2</c:v>
                </c:pt>
                <c:pt idx="765">
                  <c:v>3.1341068799057167E-2</c:v>
                </c:pt>
                <c:pt idx="766">
                  <c:v>2.9433826714428325E-2</c:v>
                </c:pt>
                <c:pt idx="767">
                  <c:v>3.141066680129867E-2</c:v>
                </c:pt>
                <c:pt idx="768">
                  <c:v>3.0957437075737265E-2</c:v>
                </c:pt>
                <c:pt idx="769">
                  <c:v>3.1257935780640823E-2</c:v>
                </c:pt>
                <c:pt idx="770">
                  <c:v>2.9046943133624822E-2</c:v>
                </c:pt>
                <c:pt idx="771">
                  <c:v>3.0638718795613057E-2</c:v>
                </c:pt>
                <c:pt idx="772">
                  <c:v>3.0775646444842639E-2</c:v>
                </c:pt>
                <c:pt idx="773">
                  <c:v>2.769874211159715E-2</c:v>
                </c:pt>
                <c:pt idx="774">
                  <c:v>2.6445928143695001E-2</c:v>
                </c:pt>
                <c:pt idx="775">
                  <c:v>2.6459272861866286E-2</c:v>
                </c:pt>
                <c:pt idx="776">
                  <c:v>2.5492968794019022E-2</c:v>
                </c:pt>
                <c:pt idx="777">
                  <c:v>2.4946344689806308E-2</c:v>
                </c:pt>
                <c:pt idx="778">
                  <c:v>2.5022139424747559E-2</c:v>
                </c:pt>
                <c:pt idx="779">
                  <c:v>2.624462302478154E-2</c:v>
                </c:pt>
                <c:pt idx="780">
                  <c:v>2.613591854897165E-2</c:v>
                </c:pt>
                <c:pt idx="781">
                  <c:v>2.6065259553410547E-2</c:v>
                </c:pt>
                <c:pt idx="782">
                  <c:v>2.5151557942073542E-2</c:v>
                </c:pt>
                <c:pt idx="783">
                  <c:v>2.5113448439703461E-2</c:v>
                </c:pt>
                <c:pt idx="784">
                  <c:v>2.518408394703105E-2</c:v>
                </c:pt>
                <c:pt idx="785">
                  <c:v>2.4713002828788341E-2</c:v>
                </c:pt>
                <c:pt idx="786">
                  <c:v>2.4704839652438335E-2</c:v>
                </c:pt>
                <c:pt idx="787">
                  <c:v>2.4645236463472626E-2</c:v>
                </c:pt>
                <c:pt idx="788">
                  <c:v>2.4687055521438864E-2</c:v>
                </c:pt>
                <c:pt idx="789">
                  <c:v>2.4487174387793458E-2</c:v>
                </c:pt>
                <c:pt idx="790">
                  <c:v>2.4430940337477065E-2</c:v>
                </c:pt>
                <c:pt idx="791">
                  <c:v>2.4506743621487029E-2</c:v>
                </c:pt>
                <c:pt idx="792">
                  <c:v>2.4442050206148022E-2</c:v>
                </c:pt>
                <c:pt idx="793">
                  <c:v>2.4646254771506209E-2</c:v>
                </c:pt>
                <c:pt idx="794">
                  <c:v>2.4168091212085643E-2</c:v>
                </c:pt>
                <c:pt idx="795">
                  <c:v>2.4289496817695638E-2</c:v>
                </c:pt>
                <c:pt idx="796">
                  <c:v>2.4289496817695638E-2</c:v>
                </c:pt>
                <c:pt idx="797">
                  <c:v>2.4282441714072477E-2</c:v>
                </c:pt>
                <c:pt idx="798">
                  <c:v>2.4203334545416396E-2</c:v>
                </c:pt>
                <c:pt idx="799">
                  <c:v>2.4186237488607251E-2</c:v>
                </c:pt>
                <c:pt idx="800">
                  <c:v>2.4735128360511591E-2</c:v>
                </c:pt>
                <c:pt idx="801">
                  <c:v>2.4968761807824695E-2</c:v>
                </c:pt>
                <c:pt idx="802">
                  <c:v>2.5389022624163711E-2</c:v>
                </c:pt>
                <c:pt idx="803">
                  <c:v>2.5289585493793312E-2</c:v>
                </c:pt>
                <c:pt idx="804">
                  <c:v>2.5292832165012814E-2</c:v>
                </c:pt>
                <c:pt idx="805">
                  <c:v>2.5213889654236942E-2</c:v>
                </c:pt>
                <c:pt idx="806">
                  <c:v>2.5214994676027034E-2</c:v>
                </c:pt>
                <c:pt idx="807">
                  <c:v>2.5331632854113412E-2</c:v>
                </c:pt>
                <c:pt idx="808">
                  <c:v>2.4429085374279607E-2</c:v>
                </c:pt>
                <c:pt idx="809">
                  <c:v>2.5647327414351793E-2</c:v>
                </c:pt>
                <c:pt idx="810">
                  <c:v>2.5821451212581271E-2</c:v>
                </c:pt>
                <c:pt idx="811">
                  <c:v>2.505933276780678E-2</c:v>
                </c:pt>
                <c:pt idx="812">
                  <c:v>2.5622662413684303E-2</c:v>
                </c:pt>
                <c:pt idx="813">
                  <c:v>2.5018176982717053E-2</c:v>
                </c:pt>
                <c:pt idx="814">
                  <c:v>2.4020136497701648E-2</c:v>
                </c:pt>
                <c:pt idx="815">
                  <c:v>2.2063406709073891E-2</c:v>
                </c:pt>
                <c:pt idx="816">
                  <c:v>2.2261367618100925E-2</c:v>
                </c:pt>
                <c:pt idx="817">
                  <c:v>2.1422169766671408E-2</c:v>
                </c:pt>
                <c:pt idx="818">
                  <c:v>2.1214292709939991E-2</c:v>
                </c:pt>
                <c:pt idx="819">
                  <c:v>2.0166391515362918E-2</c:v>
                </c:pt>
                <c:pt idx="820">
                  <c:v>1.9973534814994139E-2</c:v>
                </c:pt>
                <c:pt idx="821">
                  <c:v>2.136033297696149E-2</c:v>
                </c:pt>
                <c:pt idx="822">
                  <c:v>2.0373703301280299E-2</c:v>
                </c:pt>
                <c:pt idx="823">
                  <c:v>2.0574172910017972E-2</c:v>
                </c:pt>
                <c:pt idx="824">
                  <c:v>1.9302991043815394E-2</c:v>
                </c:pt>
                <c:pt idx="825">
                  <c:v>1.9460341509899795E-2</c:v>
                </c:pt>
                <c:pt idx="826">
                  <c:v>1.9363369802923667E-2</c:v>
                </c:pt>
                <c:pt idx="827">
                  <c:v>1.9833996201723804E-2</c:v>
                </c:pt>
                <c:pt idx="828">
                  <c:v>1.9461502052145536E-2</c:v>
                </c:pt>
                <c:pt idx="829">
                  <c:v>1.9368659834503511E-2</c:v>
                </c:pt>
                <c:pt idx="830">
                  <c:v>1.872818128262951E-2</c:v>
                </c:pt>
                <c:pt idx="831">
                  <c:v>1.893277880741125E-2</c:v>
                </c:pt>
                <c:pt idx="832">
                  <c:v>1.9081478676643567E-2</c:v>
                </c:pt>
                <c:pt idx="833">
                  <c:v>1.8532630885150878E-2</c:v>
                </c:pt>
                <c:pt idx="834">
                  <c:v>1.8476121097066676E-2</c:v>
                </c:pt>
                <c:pt idx="835">
                  <c:v>1.829254997718752E-2</c:v>
                </c:pt>
                <c:pt idx="836">
                  <c:v>1.9139322006901986E-2</c:v>
                </c:pt>
                <c:pt idx="837">
                  <c:v>1.9249818870125224E-2</c:v>
                </c:pt>
                <c:pt idx="838">
                  <c:v>1.8843990083813794E-2</c:v>
                </c:pt>
                <c:pt idx="839">
                  <c:v>1.8897007470694744E-2</c:v>
                </c:pt>
                <c:pt idx="840">
                  <c:v>1.8407511552828461E-2</c:v>
                </c:pt>
                <c:pt idx="841">
                  <c:v>1.8354576059044073E-2</c:v>
                </c:pt>
                <c:pt idx="842">
                  <c:v>1.7986480474585911E-2</c:v>
                </c:pt>
                <c:pt idx="843">
                  <c:v>1.8536590798477755E-2</c:v>
                </c:pt>
                <c:pt idx="844">
                  <c:v>1.423405340291308E-2</c:v>
                </c:pt>
                <c:pt idx="845">
                  <c:v>1.5489892690066471E-2</c:v>
                </c:pt>
                <c:pt idx="846">
                  <c:v>1.6506238386040008E-2</c:v>
                </c:pt>
                <c:pt idx="847">
                  <c:v>1.8579692060433764E-2</c:v>
                </c:pt>
                <c:pt idx="848">
                  <c:v>1.693907251637803E-2</c:v>
                </c:pt>
                <c:pt idx="849">
                  <c:v>1.5248411742370889E-2</c:v>
                </c:pt>
                <c:pt idx="850">
                  <c:v>1.728150437886268E-2</c:v>
                </c:pt>
                <c:pt idx="851">
                  <c:v>1.6372766378726283E-2</c:v>
                </c:pt>
                <c:pt idx="852">
                  <c:v>1.2211822476702777E-2</c:v>
                </c:pt>
                <c:pt idx="853">
                  <c:v>1.3395731288372249E-2</c:v>
                </c:pt>
                <c:pt idx="854">
                  <c:v>1.0323769855083457E-2</c:v>
                </c:pt>
                <c:pt idx="855">
                  <c:v>7.4903511892865666E-3</c:v>
                </c:pt>
                <c:pt idx="856">
                  <c:v>8.7275794751257088E-3</c:v>
                </c:pt>
                <c:pt idx="857">
                  <c:v>3.3704600431850021E-3</c:v>
                </c:pt>
                <c:pt idx="858">
                  <c:v>2.9787730822778565E-3</c:v>
                </c:pt>
                <c:pt idx="859">
                  <c:v>1.112262480765145E-2</c:v>
                </c:pt>
                <c:pt idx="860">
                  <c:v>1.4877006582147259E-2</c:v>
                </c:pt>
                <c:pt idx="861">
                  <c:v>1.7723898867121765E-2</c:v>
                </c:pt>
                <c:pt idx="862">
                  <c:v>2.1794985494806164E-2</c:v>
                </c:pt>
                <c:pt idx="863">
                  <c:v>2.3535214990524272E-2</c:v>
                </c:pt>
                <c:pt idx="864">
                  <c:v>2.3309838144382561E-2</c:v>
                </c:pt>
                <c:pt idx="865">
                  <c:v>2.2838149244651378E-2</c:v>
                </c:pt>
                <c:pt idx="866">
                  <c:v>2.3557749041287213E-2</c:v>
                </c:pt>
                <c:pt idx="867">
                  <c:v>2.33590913606984E-2</c:v>
                </c:pt>
                <c:pt idx="868">
                  <c:v>2.342259465340497E-2</c:v>
                </c:pt>
                <c:pt idx="869">
                  <c:v>2.4780391906897115E-2</c:v>
                </c:pt>
                <c:pt idx="870">
                  <c:v>2.5187866818984009E-2</c:v>
                </c:pt>
                <c:pt idx="871">
                  <c:v>2.6538962411447809E-2</c:v>
                </c:pt>
                <c:pt idx="872">
                  <c:v>2.6441778163841554E-2</c:v>
                </c:pt>
                <c:pt idx="873">
                  <c:v>2.6360419848225125E-2</c:v>
                </c:pt>
                <c:pt idx="874">
                  <c:v>2.550713491573094E-2</c:v>
                </c:pt>
                <c:pt idx="875">
                  <c:v>2.5439513711268794E-2</c:v>
                </c:pt>
                <c:pt idx="876">
                  <c:v>2.5633619683782052E-2</c:v>
                </c:pt>
                <c:pt idx="877">
                  <c:v>2.5884340470979969E-2</c:v>
                </c:pt>
                <c:pt idx="878">
                  <c:v>2.6406763142272544E-2</c:v>
                </c:pt>
                <c:pt idx="879">
                  <c:v>2.6655257350017354E-2</c:v>
                </c:pt>
                <c:pt idx="880">
                  <c:v>2.7030774899787096E-2</c:v>
                </c:pt>
                <c:pt idx="881">
                  <c:v>2.684531135125074E-2</c:v>
                </c:pt>
                <c:pt idx="882">
                  <c:v>2.6554100908524378E-2</c:v>
                </c:pt>
                <c:pt idx="883">
                  <c:v>2.6653268578184834E-2</c:v>
                </c:pt>
                <c:pt idx="884">
                  <c:v>2.7224178122846384E-2</c:v>
                </c:pt>
                <c:pt idx="885">
                  <c:v>2.7532648936717256E-2</c:v>
                </c:pt>
                <c:pt idx="886">
                  <c:v>2.814527798977504E-2</c:v>
                </c:pt>
                <c:pt idx="887">
                  <c:v>2.8236533604614669E-2</c:v>
                </c:pt>
                <c:pt idx="888">
                  <c:v>2.7706500080985144E-2</c:v>
                </c:pt>
                <c:pt idx="889">
                  <c:v>2.6617392415204701E-2</c:v>
                </c:pt>
                <c:pt idx="890">
                  <c:v>2.7201353368640026E-2</c:v>
                </c:pt>
                <c:pt idx="891">
                  <c:v>2.6130692467370951E-2</c:v>
                </c:pt>
                <c:pt idx="892">
                  <c:v>2.6853386029108101E-2</c:v>
                </c:pt>
                <c:pt idx="893">
                  <c:v>2.8179382557846945E-2</c:v>
                </c:pt>
                <c:pt idx="894">
                  <c:v>2.9292553843621949E-2</c:v>
                </c:pt>
                <c:pt idx="895">
                  <c:v>2.797554908819315E-2</c:v>
                </c:pt>
                <c:pt idx="896">
                  <c:v>2.9368619461728578E-2</c:v>
                </c:pt>
                <c:pt idx="897">
                  <c:v>2.9175358795731451E-2</c:v>
                </c:pt>
                <c:pt idx="898">
                  <c:v>2.8511691857121876E-2</c:v>
                </c:pt>
                <c:pt idx="899">
                  <c:v>2.6465031532980701E-2</c:v>
                </c:pt>
                <c:pt idx="900">
                  <c:v>2.4530454902115664E-2</c:v>
                </c:pt>
                <c:pt idx="901">
                  <c:v>2.3345255556455072E-2</c:v>
                </c:pt>
                <c:pt idx="902">
                  <c:v>1.5837036145145263E-2</c:v>
                </c:pt>
                <c:pt idx="903">
                  <c:v>1.7641676564465535E-2</c:v>
                </c:pt>
                <c:pt idx="904">
                  <c:v>1.7990321268483964E-2</c:v>
                </c:pt>
                <c:pt idx="905">
                  <c:v>2.3915418520181787E-2</c:v>
                </c:pt>
                <c:pt idx="906">
                  <c:v>2.1590587837782584E-2</c:v>
                </c:pt>
                <c:pt idx="907">
                  <c:v>1.7558513942137092E-2</c:v>
                </c:pt>
                <c:pt idx="908">
                  <c:v>2.1804545092748324E-2</c:v>
                </c:pt>
                <c:pt idx="909">
                  <c:v>1.3020819229516704E-2</c:v>
                </c:pt>
                <c:pt idx="910">
                  <c:v>1.347304603011429E-2</c:v>
                </c:pt>
                <c:pt idx="911">
                  <c:v>1.6520381834265661E-2</c:v>
                </c:pt>
                <c:pt idx="912">
                  <c:v>1.9308535366464822E-2</c:v>
                </c:pt>
                <c:pt idx="913">
                  <c:v>1.7118167023993158E-2</c:v>
                </c:pt>
                <c:pt idx="914">
                  <c:v>1.9228978751925457E-2</c:v>
                </c:pt>
                <c:pt idx="915">
                  <c:v>1.8718244990380384E-2</c:v>
                </c:pt>
                <c:pt idx="916">
                  <c:v>1.4483095795295005E-2</c:v>
                </c:pt>
                <c:pt idx="917">
                  <c:v>1.5546475642015235E-2</c:v>
                </c:pt>
                <c:pt idx="918">
                  <c:v>1.457294686667468E-2</c:v>
                </c:pt>
                <c:pt idx="919">
                  <c:v>1.577964897006106E-2</c:v>
                </c:pt>
                <c:pt idx="920">
                  <c:v>1.7893344677099007E-2</c:v>
                </c:pt>
                <c:pt idx="921">
                  <c:v>1.7782658999644103E-2</c:v>
                </c:pt>
                <c:pt idx="922">
                  <c:v>1.7113772304403273E-2</c:v>
                </c:pt>
                <c:pt idx="923">
                  <c:v>1.7670007353487647E-2</c:v>
                </c:pt>
                <c:pt idx="924">
                  <c:v>1.8094492515055145E-2</c:v>
                </c:pt>
                <c:pt idx="925">
                  <c:v>1.8202963197994703E-2</c:v>
                </c:pt>
                <c:pt idx="926">
                  <c:v>1.8193371315946207E-2</c:v>
                </c:pt>
                <c:pt idx="927">
                  <c:v>1.8193505752810014E-2</c:v>
                </c:pt>
                <c:pt idx="928">
                  <c:v>1.8171737542986503E-2</c:v>
                </c:pt>
                <c:pt idx="929">
                  <c:v>1.8192933224849658E-2</c:v>
                </c:pt>
                <c:pt idx="930">
                  <c:v>1.8171423142889585E-2</c:v>
                </c:pt>
                <c:pt idx="931">
                  <c:v>1.8220374558427767E-2</c:v>
                </c:pt>
                <c:pt idx="932">
                  <c:v>1.8139381295255077E-2</c:v>
                </c:pt>
                <c:pt idx="933">
                  <c:v>1.8135998524104351E-2</c:v>
                </c:pt>
                <c:pt idx="934">
                  <c:v>1.8134986289420257E-2</c:v>
                </c:pt>
                <c:pt idx="935">
                  <c:v>1.8209651794794175E-2</c:v>
                </c:pt>
                <c:pt idx="936">
                  <c:v>1.7877706957571762E-2</c:v>
                </c:pt>
                <c:pt idx="937">
                  <c:v>1.7377373526515447E-2</c:v>
                </c:pt>
                <c:pt idx="938">
                  <c:v>1.7542878392219394E-2</c:v>
                </c:pt>
                <c:pt idx="939">
                  <c:v>1.7404973940536205E-2</c:v>
                </c:pt>
                <c:pt idx="940">
                  <c:v>1.6995043627625266E-2</c:v>
                </c:pt>
                <c:pt idx="941">
                  <c:v>1.7335504061659793E-2</c:v>
                </c:pt>
                <c:pt idx="942">
                  <c:v>1.5632268009148961E-2</c:v>
                </c:pt>
                <c:pt idx="943">
                  <c:v>1.390655962353559E-2</c:v>
                </c:pt>
                <c:pt idx="944">
                  <c:v>1.4502278755076E-2</c:v>
                </c:pt>
                <c:pt idx="945">
                  <c:v>1.691372854225117E-2</c:v>
                </c:pt>
                <c:pt idx="946">
                  <c:v>1.5735949353993552E-2</c:v>
                </c:pt>
                <c:pt idx="947">
                  <c:v>1.2159343852276294E-2</c:v>
                </c:pt>
                <c:pt idx="948">
                  <c:v>1.376844034531584E-2</c:v>
                </c:pt>
                <c:pt idx="949">
                  <c:v>1.5685012001776601E-2</c:v>
                </c:pt>
                <c:pt idx="950">
                  <c:v>1.8678234247668783E-2</c:v>
                </c:pt>
                <c:pt idx="951">
                  <c:v>1.8108252680195273E-2</c:v>
                </c:pt>
                <c:pt idx="952">
                  <c:v>2.1236191634612614E-2</c:v>
                </c:pt>
                <c:pt idx="953">
                  <c:v>2.0605851163994396E-2</c:v>
                </c:pt>
                <c:pt idx="954">
                  <c:v>2.1165604298044257E-2</c:v>
                </c:pt>
                <c:pt idx="955">
                  <c:v>2.0363642284909361E-2</c:v>
                </c:pt>
                <c:pt idx="956">
                  <c:v>2.1718487909912772E-2</c:v>
                </c:pt>
                <c:pt idx="957">
                  <c:v>2.071622608974823E-2</c:v>
                </c:pt>
                <c:pt idx="958">
                  <c:v>2.1568562087490351E-2</c:v>
                </c:pt>
                <c:pt idx="959">
                  <c:v>2.1448891821402173E-2</c:v>
                </c:pt>
                <c:pt idx="960">
                  <c:v>2.2742949857441793E-2</c:v>
                </c:pt>
                <c:pt idx="961">
                  <c:v>2.4158152394451841E-2</c:v>
                </c:pt>
                <c:pt idx="962">
                  <c:v>2.4113087544102213E-2</c:v>
                </c:pt>
                <c:pt idx="963">
                  <c:v>2.5125442097608749E-2</c:v>
                </c:pt>
                <c:pt idx="964">
                  <c:v>2.418305090237929E-2</c:v>
                </c:pt>
                <c:pt idx="965">
                  <c:v>2.5750796048285406E-2</c:v>
                </c:pt>
                <c:pt idx="966">
                  <c:v>2.6380742404539404E-2</c:v>
                </c:pt>
                <c:pt idx="967">
                  <c:v>2.6214503786044435E-2</c:v>
                </c:pt>
                <c:pt idx="968">
                  <c:v>2.6331014277111747E-2</c:v>
                </c:pt>
                <c:pt idx="969">
                  <c:v>2.6582531643918932E-2</c:v>
                </c:pt>
                <c:pt idx="970">
                  <c:v>2.6681387798053825E-2</c:v>
                </c:pt>
                <c:pt idx="971">
                  <c:v>2.6626146133531616E-2</c:v>
                </c:pt>
                <c:pt idx="972">
                  <c:v>2.6708045003524444E-2</c:v>
                </c:pt>
                <c:pt idx="973">
                  <c:v>2.6762314035336108E-2</c:v>
                </c:pt>
                <c:pt idx="974">
                  <c:v>2.6781686751033089E-2</c:v>
                </c:pt>
                <c:pt idx="975">
                  <c:v>2.6995113993911531E-2</c:v>
                </c:pt>
                <c:pt idx="976">
                  <c:v>2.7036092776624516E-2</c:v>
                </c:pt>
                <c:pt idx="977">
                  <c:v>2.7002924940572E-2</c:v>
                </c:pt>
                <c:pt idx="978">
                  <c:v>2.6937663302735063E-2</c:v>
                </c:pt>
                <c:pt idx="979">
                  <c:v>2.692001855421108E-2</c:v>
                </c:pt>
                <c:pt idx="980">
                  <c:v>2.6927206597352905E-2</c:v>
                </c:pt>
                <c:pt idx="981">
                  <c:v>2.6860178165954759E-2</c:v>
                </c:pt>
                <c:pt idx="982">
                  <c:v>2.6811770650251449E-2</c:v>
                </c:pt>
                <c:pt idx="983">
                  <c:v>2.6792922902707957E-2</c:v>
                </c:pt>
                <c:pt idx="984">
                  <c:v>2.6854912441942304E-2</c:v>
                </c:pt>
                <c:pt idx="985">
                  <c:v>2.6981542270564558E-2</c:v>
                </c:pt>
                <c:pt idx="986">
                  <c:v>2.7134515471038886E-2</c:v>
                </c:pt>
                <c:pt idx="987">
                  <c:v>2.6982745787826272E-2</c:v>
                </c:pt>
                <c:pt idx="988">
                  <c:v>2.7024891235145013E-2</c:v>
                </c:pt>
                <c:pt idx="989">
                  <c:v>2.7862364382135636E-2</c:v>
                </c:pt>
                <c:pt idx="990">
                  <c:v>2.7424344019227557E-2</c:v>
                </c:pt>
                <c:pt idx="991">
                  <c:v>2.7498933279457589E-2</c:v>
                </c:pt>
                <c:pt idx="992">
                  <c:v>2.7852296618574635E-2</c:v>
                </c:pt>
                <c:pt idx="993">
                  <c:v>2.9293883872972867E-2</c:v>
                </c:pt>
                <c:pt idx="994">
                  <c:v>2.953546159304184E-2</c:v>
                </c:pt>
                <c:pt idx="995">
                  <c:v>3.0996288859649758E-2</c:v>
                </c:pt>
                <c:pt idx="996">
                  <c:v>3.0862068561825134E-2</c:v>
                </c:pt>
                <c:pt idx="997">
                  <c:v>3.1044037523031989E-2</c:v>
                </c:pt>
                <c:pt idx="998">
                  <c:v>3.183143267557776E-2</c:v>
                </c:pt>
                <c:pt idx="999">
                  <c:v>3.326831221810992E-2</c:v>
                </c:pt>
                <c:pt idx="1000">
                  <c:v>3.3082794984025651E-2</c:v>
                </c:pt>
                <c:pt idx="1001">
                  <c:v>3.3014112539194916E-2</c:v>
                </c:pt>
                <c:pt idx="1002">
                  <c:v>3.3690117449596248E-2</c:v>
                </c:pt>
                <c:pt idx="1003">
                  <c:v>3.3548498586274671E-2</c:v>
                </c:pt>
                <c:pt idx="1004">
                  <c:v>3.3152464902103794E-2</c:v>
                </c:pt>
                <c:pt idx="1005">
                  <c:v>3.3354757542344356E-2</c:v>
                </c:pt>
                <c:pt idx="1006">
                  <c:v>3.3542771708514808E-2</c:v>
                </c:pt>
                <c:pt idx="1007">
                  <c:v>2.9225703950363967E-2</c:v>
                </c:pt>
                <c:pt idx="1008">
                  <c:v>3.0716875893363808E-2</c:v>
                </c:pt>
                <c:pt idx="1009">
                  <c:v>2.9192633391393781E-2</c:v>
                </c:pt>
                <c:pt idx="1010">
                  <c:v>3.3907810527939682E-2</c:v>
                </c:pt>
                <c:pt idx="1011">
                  <c:v>3.6798313048131144E-2</c:v>
                </c:pt>
                <c:pt idx="1012">
                  <c:v>3.4721817629211296E-2</c:v>
                </c:pt>
                <c:pt idx="1013">
                  <c:v>3.9402339240986399E-2</c:v>
                </c:pt>
                <c:pt idx="1014">
                  <c:v>3.9081195802454602E-2</c:v>
                </c:pt>
                <c:pt idx="1015">
                  <c:v>4.0155690128900447E-2</c:v>
                </c:pt>
                <c:pt idx="1016">
                  <c:v>4.4460921494324547E-2</c:v>
                </c:pt>
                <c:pt idx="1017">
                  <c:v>4.6056097178441863E-2</c:v>
                </c:pt>
                <c:pt idx="1018">
                  <c:v>4.500958233736712E-2</c:v>
                </c:pt>
                <c:pt idx="1019">
                  <c:v>4.5057763848845092E-2</c:v>
                </c:pt>
                <c:pt idx="1020">
                  <c:v>4.6280156678367303E-2</c:v>
                </c:pt>
                <c:pt idx="1021">
                  <c:v>3.9833721790192025E-2</c:v>
                </c:pt>
                <c:pt idx="1022">
                  <c:v>2.9501567788934875E-2</c:v>
                </c:pt>
                <c:pt idx="1023">
                  <c:v>3.6393968750166102E-2</c:v>
                </c:pt>
                <c:pt idx="1024">
                  <c:v>3.5473132141019152E-2</c:v>
                </c:pt>
                <c:pt idx="1025">
                  <c:v>3.8298981580863124E-2</c:v>
                </c:pt>
                <c:pt idx="1026">
                  <c:v>2.7567694111096101E-2</c:v>
                </c:pt>
                <c:pt idx="1027">
                  <c:v>3.0844143546101568E-2</c:v>
                </c:pt>
                <c:pt idx="1028">
                  <c:v>3.8641861229956859E-2</c:v>
                </c:pt>
                <c:pt idx="1029">
                  <c:v>4.3371915497635777E-2</c:v>
                </c:pt>
                <c:pt idx="1030">
                  <c:v>4.4710836101514578E-2</c:v>
                </c:pt>
                <c:pt idx="1031">
                  <c:v>4.2095966658271609E-2</c:v>
                </c:pt>
                <c:pt idx="1032">
                  <c:v>4.5779214197682452E-2</c:v>
                </c:pt>
                <c:pt idx="1033">
                  <c:v>4.6375435692406437E-2</c:v>
                </c:pt>
                <c:pt idx="1034">
                  <c:v>4.9472157407259257E-2</c:v>
                </c:pt>
                <c:pt idx="1035">
                  <c:v>4.9068116580216078E-2</c:v>
                </c:pt>
                <c:pt idx="1036">
                  <c:v>4.9547206320560803E-2</c:v>
                </c:pt>
                <c:pt idx="1037">
                  <c:v>4.7914224012469815E-2</c:v>
                </c:pt>
                <c:pt idx="1038">
                  <c:v>5.044850996071959E-2</c:v>
                </c:pt>
                <c:pt idx="1039">
                  <c:v>4.7901547764737165E-2</c:v>
                </c:pt>
                <c:pt idx="1040">
                  <c:v>4.3620995346517408E-2</c:v>
                </c:pt>
                <c:pt idx="1041">
                  <c:v>2.7592005593731199E-2</c:v>
                </c:pt>
                <c:pt idx="1042">
                  <c:v>2.0788419838272326E-2</c:v>
                </c:pt>
                <c:pt idx="1043">
                  <c:v>1.9775441757156762E-2</c:v>
                </c:pt>
                <c:pt idx="1044">
                  <c:v>4.9409320501528943E-3</c:v>
                </c:pt>
                <c:pt idx="1045">
                  <c:v>4.0714084335193215E-3</c:v>
                </c:pt>
                <c:pt idx="1046">
                  <c:v>1.636674041197593E-2</c:v>
                </c:pt>
                <c:pt idx="1047">
                  <c:v>1.2686555908142829E-2</c:v>
                </c:pt>
                <c:pt idx="1048">
                  <c:v>2.5664279555506528E-2</c:v>
                </c:pt>
                <c:pt idx="1049">
                  <c:v>2.1338660562404806E-2</c:v>
                </c:pt>
                <c:pt idx="1050">
                  <c:v>1.6888896175601843E-2</c:v>
                </c:pt>
                <c:pt idx="1051">
                  <c:v>-8.7427893481291721E-4</c:v>
                </c:pt>
                <c:pt idx="1052">
                  <c:v>1.0209136030417554E-2</c:v>
                </c:pt>
                <c:pt idx="1053">
                  <c:v>5.7721954546199189E-4</c:v>
                </c:pt>
                <c:pt idx="1054">
                  <c:v>-2.286178025283785E-2</c:v>
                </c:pt>
                <c:pt idx="1055">
                  <c:v>-4.984152562670232E-3</c:v>
                </c:pt>
                <c:pt idx="1056">
                  <c:v>-2.333823611774322E-2</c:v>
                </c:pt>
                <c:pt idx="1057">
                  <c:v>-1.8474979317011295E-2</c:v>
                </c:pt>
                <c:pt idx="1058">
                  <c:v>-2.3339930756951659E-2</c:v>
                </c:pt>
                <c:pt idx="1059">
                  <c:v>-2.4000217737784827E-2</c:v>
                </c:pt>
                <c:pt idx="1060">
                  <c:v>-2.1829864084924329E-2</c:v>
                </c:pt>
                <c:pt idx="1061">
                  <c:v>-3.420644230171483E-2</c:v>
                </c:pt>
                <c:pt idx="1062">
                  <c:v>-2.1937467119604745E-2</c:v>
                </c:pt>
                <c:pt idx="1063">
                  <c:v>-2.1467563738008327E-2</c:v>
                </c:pt>
                <c:pt idx="1064">
                  <c:v>-2.1957611138022803E-2</c:v>
                </c:pt>
                <c:pt idx="1065">
                  <c:v>-2.195973757497784E-2</c:v>
                </c:pt>
                <c:pt idx="1066">
                  <c:v>-2.2228456200276987E-2</c:v>
                </c:pt>
                <c:pt idx="1067">
                  <c:v>-2.2558132250251842E-2</c:v>
                </c:pt>
                <c:pt idx="1068">
                  <c:v>-2.34110011596547E-2</c:v>
                </c:pt>
                <c:pt idx="1069">
                  <c:v>-2.2211070574343506E-2</c:v>
                </c:pt>
                <c:pt idx="1070">
                  <c:v>-2.3068710764039001E-2</c:v>
                </c:pt>
                <c:pt idx="1071">
                  <c:v>-1.8402452795615473E-2</c:v>
                </c:pt>
                <c:pt idx="1072">
                  <c:v>-1.8508127298810986E-2</c:v>
                </c:pt>
                <c:pt idx="1073">
                  <c:v>-1.3117595833089192E-2</c:v>
                </c:pt>
                <c:pt idx="1074">
                  <c:v>-1.0115463351482749E-2</c:v>
                </c:pt>
                <c:pt idx="1075">
                  <c:v>-1.1641686675713914E-2</c:v>
                </c:pt>
                <c:pt idx="1076">
                  <c:v>-4.8313174087112566E-3</c:v>
                </c:pt>
                <c:pt idx="1077">
                  <c:v>-1.0075195569258811E-2</c:v>
                </c:pt>
                <c:pt idx="1078">
                  <c:v>-9.0178293974897007E-3</c:v>
                </c:pt>
                <c:pt idx="1079">
                  <c:v>-2.0293982279001605E-3</c:v>
                </c:pt>
                <c:pt idx="1080">
                  <c:v>-7.2706517502127664E-3</c:v>
                </c:pt>
                <c:pt idx="1081">
                  <c:v>-1.3814863332936189E-2</c:v>
                </c:pt>
                <c:pt idx="1082">
                  <c:v>-8.6824872816808653E-3</c:v>
                </c:pt>
                <c:pt idx="1083">
                  <c:v>-9.3747663147588506E-3</c:v>
                </c:pt>
                <c:pt idx="1084">
                  <c:v>-4.8896039694854652E-3</c:v>
                </c:pt>
                <c:pt idx="1085">
                  <c:v>-1.3274764793124172E-3</c:v>
                </c:pt>
                <c:pt idx="1086">
                  <c:v>-1.4857005952240098E-3</c:v>
                </c:pt>
                <c:pt idx="1087">
                  <c:v>5.3433049905197618E-3</c:v>
                </c:pt>
                <c:pt idx="1088">
                  <c:v>1.9214660187580573E-3</c:v>
                </c:pt>
                <c:pt idx="1089">
                  <c:v>-5.6782887967157941E-3</c:v>
                </c:pt>
                <c:pt idx="1090">
                  <c:v>-5.33860533725573E-3</c:v>
                </c:pt>
                <c:pt idx="1091">
                  <c:v>-2.1038040116694093E-3</c:v>
                </c:pt>
                <c:pt idx="1092">
                  <c:v>-4.5419324706714396E-3</c:v>
                </c:pt>
                <c:pt idx="1093">
                  <c:v>1.8025903582630232E-4</c:v>
                </c:pt>
                <c:pt idx="1094">
                  <c:v>5.0021894445597421E-3</c:v>
                </c:pt>
                <c:pt idx="1095">
                  <c:v>4.4307906940918166E-3</c:v>
                </c:pt>
                <c:pt idx="1096">
                  <c:v>-2.7316364659727551E-3</c:v>
                </c:pt>
                <c:pt idx="1097">
                  <c:v>-6.9070798345023925E-3</c:v>
                </c:pt>
                <c:pt idx="1098">
                  <c:v>-3.227199677298051E-3</c:v>
                </c:pt>
                <c:pt idx="1099">
                  <c:v>-3.280857070446144E-3</c:v>
                </c:pt>
                <c:pt idx="1100">
                  <c:v>7.9005393024125237E-3</c:v>
                </c:pt>
                <c:pt idx="1101">
                  <c:v>4.9778461846133031E-3</c:v>
                </c:pt>
                <c:pt idx="1102">
                  <c:v>1.0389940174955269E-2</c:v>
                </c:pt>
                <c:pt idx="1103">
                  <c:v>7.1307777661204896E-3</c:v>
                </c:pt>
                <c:pt idx="1104">
                  <c:v>8.901973159204643E-3</c:v>
                </c:pt>
                <c:pt idx="1105">
                  <c:v>1.3372574006690837E-2</c:v>
                </c:pt>
                <c:pt idx="1106">
                  <c:v>1.7789176066067697E-2</c:v>
                </c:pt>
                <c:pt idx="1107">
                  <c:v>1.8055721650396466E-2</c:v>
                </c:pt>
                <c:pt idx="1108">
                  <c:v>1.8485064978429482E-2</c:v>
                </c:pt>
                <c:pt idx="1109">
                  <c:v>1.9774336811951385E-2</c:v>
                </c:pt>
                <c:pt idx="1110">
                  <c:v>2.2282893919463524E-2</c:v>
                </c:pt>
                <c:pt idx="1111">
                  <c:v>2.670712361382329E-2</c:v>
                </c:pt>
                <c:pt idx="1112">
                  <c:v>2.5924117769952161E-2</c:v>
                </c:pt>
                <c:pt idx="1113">
                  <c:v>3.4406776147863138E-2</c:v>
                </c:pt>
                <c:pt idx="1114">
                  <c:v>3.8490938825070119E-2</c:v>
                </c:pt>
                <c:pt idx="1115">
                  <c:v>3.6379262484618785E-2</c:v>
                </c:pt>
                <c:pt idx="1116">
                  <c:v>3.4302598853186789E-2</c:v>
                </c:pt>
                <c:pt idx="1117">
                  <c:v>1.5424601446002991E-2</c:v>
                </c:pt>
                <c:pt idx="1118">
                  <c:v>1.8138941282812203E-2</c:v>
                </c:pt>
                <c:pt idx="1119">
                  <c:v>2.2032297681476239E-2</c:v>
                </c:pt>
                <c:pt idx="1120">
                  <c:v>2.6503215361876047E-2</c:v>
                </c:pt>
                <c:pt idx="1121">
                  <c:v>2.5817945264030487E-2</c:v>
                </c:pt>
                <c:pt idx="1122">
                  <c:v>2.5432948108671184E-2</c:v>
                </c:pt>
                <c:pt idx="1123">
                  <c:v>2.6579959844415531E-2</c:v>
                </c:pt>
                <c:pt idx="1124">
                  <c:v>2.559314373593851E-2</c:v>
                </c:pt>
                <c:pt idx="1125">
                  <c:v>2.5616430008781409E-2</c:v>
                </c:pt>
                <c:pt idx="1126">
                  <c:v>2.4480014039291058E-2</c:v>
                </c:pt>
                <c:pt idx="1127">
                  <c:v>2.426539980011843E-2</c:v>
                </c:pt>
                <c:pt idx="1128">
                  <c:v>2.4093000604875865E-2</c:v>
                </c:pt>
                <c:pt idx="1129">
                  <c:v>2.1966989177695549E-2</c:v>
                </c:pt>
                <c:pt idx="1130">
                  <c:v>2.2077728948162168E-2</c:v>
                </c:pt>
                <c:pt idx="1131">
                  <c:v>2.2047713247440554E-2</c:v>
                </c:pt>
                <c:pt idx="1132">
                  <c:v>2.1689309705323678E-2</c:v>
                </c:pt>
                <c:pt idx="1133">
                  <c:v>2.1385065813231508E-2</c:v>
                </c:pt>
                <c:pt idx="1134">
                  <c:v>2.0944210730661002E-2</c:v>
                </c:pt>
                <c:pt idx="1135">
                  <c:v>1.9655696070043766E-2</c:v>
                </c:pt>
                <c:pt idx="1136">
                  <c:v>1.9535448666675882E-2</c:v>
                </c:pt>
                <c:pt idx="1137">
                  <c:v>1.8194316573517291E-2</c:v>
                </c:pt>
                <c:pt idx="1138">
                  <c:v>1.7910981577976558E-2</c:v>
                </c:pt>
                <c:pt idx="1139">
                  <c:v>1.6863939544455094E-2</c:v>
                </c:pt>
                <c:pt idx="1140">
                  <c:v>1.7159256498012504E-2</c:v>
                </c:pt>
                <c:pt idx="1141">
                  <c:v>1.6836040415775379E-2</c:v>
                </c:pt>
                <c:pt idx="1142">
                  <c:v>1.6492742098022171E-2</c:v>
                </c:pt>
                <c:pt idx="1143">
                  <c:v>1.67012742371941E-2</c:v>
                </c:pt>
                <c:pt idx="1144">
                  <c:v>1.6807069638030702E-2</c:v>
                </c:pt>
                <c:pt idx="1145">
                  <c:v>1.7008558196511838E-2</c:v>
                </c:pt>
                <c:pt idx="1146">
                  <c:v>1.6278794565140083E-2</c:v>
                </c:pt>
                <c:pt idx="1147">
                  <c:v>1.6153725934211723E-2</c:v>
                </c:pt>
                <c:pt idx="1148">
                  <c:v>1.6947420641160463E-2</c:v>
                </c:pt>
                <c:pt idx="1149">
                  <c:v>1.6252792554816407E-2</c:v>
                </c:pt>
                <c:pt idx="1150">
                  <c:v>1.827458342562184E-2</c:v>
                </c:pt>
                <c:pt idx="1151">
                  <c:v>1.8077726496381813E-2</c:v>
                </c:pt>
                <c:pt idx="1152">
                  <c:v>1.8833881488233867E-2</c:v>
                </c:pt>
                <c:pt idx="1153">
                  <c:v>2.0059435710937525E-2</c:v>
                </c:pt>
                <c:pt idx="1154">
                  <c:v>2.0630089822428643E-2</c:v>
                </c:pt>
                <c:pt idx="1155">
                  <c:v>2.1542458483288732E-2</c:v>
                </c:pt>
                <c:pt idx="1156">
                  <c:v>2.3196416265923028E-2</c:v>
                </c:pt>
                <c:pt idx="1157">
                  <c:v>2.3225032607727149E-2</c:v>
                </c:pt>
                <c:pt idx="1158">
                  <c:v>2.3745868590994496E-2</c:v>
                </c:pt>
                <c:pt idx="1159">
                  <c:v>2.2295750303645341E-2</c:v>
                </c:pt>
                <c:pt idx="1160">
                  <c:v>2.5038913163171205E-2</c:v>
                </c:pt>
                <c:pt idx="1161">
                  <c:v>2.4914838223523975E-2</c:v>
                </c:pt>
                <c:pt idx="1162">
                  <c:v>2.4540739317691396E-2</c:v>
                </c:pt>
                <c:pt idx="1163">
                  <c:v>2.563707231594756E-2</c:v>
                </c:pt>
                <c:pt idx="1164">
                  <c:v>2.6062737795534394E-2</c:v>
                </c:pt>
                <c:pt idx="1165">
                  <c:v>2.5216739438325475E-2</c:v>
                </c:pt>
                <c:pt idx="1166">
                  <c:v>2.5728019243840956E-2</c:v>
                </c:pt>
                <c:pt idx="1167">
                  <c:v>2.6425844403930591E-2</c:v>
                </c:pt>
                <c:pt idx="1168">
                  <c:v>2.8419179744556641E-2</c:v>
                </c:pt>
                <c:pt idx="1169">
                  <c:v>2.92307068833184E-2</c:v>
                </c:pt>
                <c:pt idx="1170">
                  <c:v>3.11340760370576E-2</c:v>
                </c:pt>
                <c:pt idx="1171">
                  <c:v>3.1362749936777491E-2</c:v>
                </c:pt>
                <c:pt idx="1172">
                  <c:v>3.222603367636602E-2</c:v>
                </c:pt>
                <c:pt idx="1173">
                  <c:v>3.2000379967032866E-2</c:v>
                </c:pt>
                <c:pt idx="1174">
                  <c:v>3.3093590393215723E-2</c:v>
                </c:pt>
                <c:pt idx="1175">
                  <c:v>3.4879716911503225E-2</c:v>
                </c:pt>
                <c:pt idx="1176">
                  <c:v>3.2195885479073087E-2</c:v>
                </c:pt>
                <c:pt idx="1177">
                  <c:v>3.0279481781872359E-2</c:v>
                </c:pt>
                <c:pt idx="1178">
                  <c:v>2.791415094419071E-2</c:v>
                </c:pt>
                <c:pt idx="1179">
                  <c:v>3.0653827351545225E-2</c:v>
                </c:pt>
                <c:pt idx="1180">
                  <c:v>2.9555185673094862E-2</c:v>
                </c:pt>
                <c:pt idx="1181">
                  <c:v>2.9425388223224658E-2</c:v>
                </c:pt>
                <c:pt idx="1182">
                  <c:v>2.9993601136757371E-2</c:v>
                </c:pt>
                <c:pt idx="1183">
                  <c:v>2.9957527443844688E-2</c:v>
                </c:pt>
                <c:pt idx="1184">
                  <c:v>3.0072303536111279E-2</c:v>
                </c:pt>
                <c:pt idx="1185">
                  <c:v>3.0367325132286009E-2</c:v>
                </c:pt>
                <c:pt idx="1186">
                  <c:v>3.0468374317590318E-2</c:v>
                </c:pt>
                <c:pt idx="1187">
                  <c:v>3.1636288017982843E-2</c:v>
                </c:pt>
                <c:pt idx="1188">
                  <c:v>3.1497394479400788E-2</c:v>
                </c:pt>
                <c:pt idx="1189">
                  <c:v>3.2863587221469655E-2</c:v>
                </c:pt>
                <c:pt idx="1190">
                  <c:v>3.2899987800151242E-2</c:v>
                </c:pt>
                <c:pt idx="1191">
                  <c:v>3.2341835343585527E-2</c:v>
                </c:pt>
                <c:pt idx="1192">
                  <c:v>3.119524115106195E-2</c:v>
                </c:pt>
                <c:pt idx="1193">
                  <c:v>3.1440511561490921E-2</c:v>
                </c:pt>
                <c:pt idx="1194">
                  <c:v>3.1177370844521258E-2</c:v>
                </c:pt>
                <c:pt idx="1195">
                  <c:v>3.0854715554407802E-2</c:v>
                </c:pt>
                <c:pt idx="1196">
                  <c:v>3.1363830856901961E-2</c:v>
                </c:pt>
                <c:pt idx="1197">
                  <c:v>3.1171177607885285E-2</c:v>
                </c:pt>
                <c:pt idx="1198">
                  <c:v>3.1579273411277566E-2</c:v>
                </c:pt>
                <c:pt idx="1199">
                  <c:v>3.1332229740517643E-2</c:v>
                </c:pt>
                <c:pt idx="1200">
                  <c:v>3.118548111709175E-2</c:v>
                </c:pt>
                <c:pt idx="1201">
                  <c:v>3.1061101132578151E-2</c:v>
                </c:pt>
                <c:pt idx="1202">
                  <c:v>3.0353136487660092E-2</c:v>
                </c:pt>
                <c:pt idx="1203">
                  <c:v>3.0922099912132895E-2</c:v>
                </c:pt>
                <c:pt idx="1204">
                  <c:v>3.1450346423818977E-2</c:v>
                </c:pt>
                <c:pt idx="1205">
                  <c:v>3.1583918293701579E-2</c:v>
                </c:pt>
                <c:pt idx="1206">
                  <c:v>3.1949784013937499E-2</c:v>
                </c:pt>
                <c:pt idx="1207">
                  <c:v>3.3135229942716962E-2</c:v>
                </c:pt>
                <c:pt idx="1208">
                  <c:v>3.2860074729321308E-2</c:v>
                </c:pt>
                <c:pt idx="1209">
                  <c:v>3.2851992773404004E-2</c:v>
                </c:pt>
                <c:pt idx="1210">
                  <c:v>3.2272593573046487E-2</c:v>
                </c:pt>
                <c:pt idx="1211">
                  <c:v>3.2176902437384726E-2</c:v>
                </c:pt>
                <c:pt idx="1212">
                  <c:v>3.4500063559917665E-2</c:v>
                </c:pt>
                <c:pt idx="1213">
                  <c:v>3.4879512696014366E-2</c:v>
                </c:pt>
                <c:pt idx="1214">
                  <c:v>3.9834985500647249E-2</c:v>
                </c:pt>
                <c:pt idx="1215">
                  <c:v>4.1145119968587981E-2</c:v>
                </c:pt>
                <c:pt idx="1216">
                  <c:v>4.2534733485453217E-2</c:v>
                </c:pt>
                <c:pt idx="1217">
                  <c:v>4.2354399180651967E-2</c:v>
                </c:pt>
                <c:pt idx="1218">
                  <c:v>4.0263527151627815E-2</c:v>
                </c:pt>
                <c:pt idx="1219">
                  <c:v>3.7997114892166332E-2</c:v>
                </c:pt>
                <c:pt idx="1220">
                  <c:v>3.6157458789645061E-2</c:v>
                </c:pt>
                <c:pt idx="1221">
                  <c:v>3.6246949886599142E-2</c:v>
                </c:pt>
                <c:pt idx="1222">
                  <c:v>3.5240401026888489E-2</c:v>
                </c:pt>
                <c:pt idx="1223">
                  <c:v>3.5310759333926668E-2</c:v>
                </c:pt>
                <c:pt idx="1224">
                  <c:v>3.4674969538568835E-2</c:v>
                </c:pt>
                <c:pt idx="1225">
                  <c:v>3.5547388053464191E-2</c:v>
                </c:pt>
                <c:pt idx="1226">
                  <c:v>3.4340290959561641E-2</c:v>
                </c:pt>
                <c:pt idx="1227">
                  <c:v>3.3316878424886689E-2</c:v>
                </c:pt>
                <c:pt idx="1228">
                  <c:v>3.3742894984012631E-2</c:v>
                </c:pt>
                <c:pt idx="1229">
                  <c:v>3.4804540872427264E-2</c:v>
                </c:pt>
                <c:pt idx="1230">
                  <c:v>3.4451829453616557E-2</c:v>
                </c:pt>
                <c:pt idx="1231">
                  <c:v>3.5152315994042137E-2</c:v>
                </c:pt>
                <c:pt idx="1232">
                  <c:v>3.4629531615284849E-2</c:v>
                </c:pt>
                <c:pt idx="1233">
                  <c:v>3.3145442995568368E-2</c:v>
                </c:pt>
                <c:pt idx="1234">
                  <c:v>3.3278317407824887E-2</c:v>
                </c:pt>
                <c:pt idx="1235">
                  <c:v>3.308915362871398E-2</c:v>
                </c:pt>
                <c:pt idx="1236">
                  <c:v>3.3338764714607172E-2</c:v>
                </c:pt>
                <c:pt idx="1237">
                  <c:v>3.2718224230352366E-2</c:v>
                </c:pt>
                <c:pt idx="1238">
                  <c:v>3.2567666889825576E-2</c:v>
                </c:pt>
                <c:pt idx="1239">
                  <c:v>3.2602982133880506E-2</c:v>
                </c:pt>
                <c:pt idx="1240">
                  <c:v>3.2054435192160544E-2</c:v>
                </c:pt>
                <c:pt idx="1241">
                  <c:v>3.2212914234999147E-2</c:v>
                </c:pt>
                <c:pt idx="1242">
                  <c:v>3.1938146529317153E-2</c:v>
                </c:pt>
                <c:pt idx="1243">
                  <c:v>3.2669402657597386E-2</c:v>
                </c:pt>
                <c:pt idx="1244">
                  <c:v>3.2769782599600089E-2</c:v>
                </c:pt>
                <c:pt idx="1245">
                  <c:v>3.297298452968879E-2</c:v>
                </c:pt>
                <c:pt idx="1246">
                  <c:v>3.3249214627038677E-2</c:v>
                </c:pt>
                <c:pt idx="1247">
                  <c:v>3.2666506176402259E-2</c:v>
                </c:pt>
                <c:pt idx="1248">
                  <c:v>3.2557669885937501E-2</c:v>
                </c:pt>
                <c:pt idx="1249">
                  <c:v>3.2190579944127849E-2</c:v>
                </c:pt>
                <c:pt idx="1250">
                  <c:v>3.2087110990587565E-2</c:v>
                </c:pt>
                <c:pt idx="1251">
                  <c:v>3.3248823663272288E-2</c:v>
                </c:pt>
                <c:pt idx="1252">
                  <c:v>3.3439923732424152E-2</c:v>
                </c:pt>
                <c:pt idx="1253">
                  <c:v>3.3309699591875665E-2</c:v>
                </c:pt>
                <c:pt idx="1254">
                  <c:v>3.278363375636182E-2</c:v>
                </c:pt>
                <c:pt idx="1255">
                  <c:v>3.134804493112759E-2</c:v>
                </c:pt>
                <c:pt idx="1256">
                  <c:v>3.1747561975333495E-2</c:v>
                </c:pt>
                <c:pt idx="1257">
                  <c:v>3.1511086810593801E-2</c:v>
                </c:pt>
                <c:pt idx="1258">
                  <c:v>3.0103271160023409E-2</c:v>
                </c:pt>
                <c:pt idx="1259">
                  <c:v>3.362666904394037E-2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F-481B-9C01-383E95EA0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2507983"/>
        <c:axId val="1072503823"/>
      </c:lineChart>
      <c:dateAx>
        <c:axId val="10725079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03823"/>
        <c:crosses val="autoZero"/>
        <c:auto val="1"/>
        <c:lblOffset val="100"/>
        <c:baseTimeUnit val="days"/>
      </c:dateAx>
      <c:valAx>
        <c:axId val="107250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07983"/>
        <c:crosses val="autoZero"/>
        <c:crossBetween val="between"/>
      </c:valAx>
      <c:valAx>
        <c:axId val="10725167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502991"/>
        <c:crosses val="max"/>
        <c:crossBetween val="between"/>
      </c:valAx>
      <c:dateAx>
        <c:axId val="107250299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72516719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13" Type="http://schemas.openxmlformats.org/officeDocument/2006/relationships/chart" Target="../charts/chart31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9.xml"/><Relationship Id="rId13" Type="http://schemas.openxmlformats.org/officeDocument/2006/relationships/chart" Target="../charts/chart44.xml"/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12" Type="http://schemas.openxmlformats.org/officeDocument/2006/relationships/chart" Target="../charts/chart43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11" Type="http://schemas.openxmlformats.org/officeDocument/2006/relationships/chart" Target="../charts/chart42.xml"/><Relationship Id="rId5" Type="http://schemas.openxmlformats.org/officeDocument/2006/relationships/chart" Target="../charts/chart36.xml"/><Relationship Id="rId15" Type="http://schemas.openxmlformats.org/officeDocument/2006/relationships/chart" Target="../charts/chart46.xml"/><Relationship Id="rId10" Type="http://schemas.openxmlformats.org/officeDocument/2006/relationships/chart" Target="../charts/chart41.xml"/><Relationship Id="rId4" Type="http://schemas.openxmlformats.org/officeDocument/2006/relationships/chart" Target="../charts/chart35.xml"/><Relationship Id="rId9" Type="http://schemas.openxmlformats.org/officeDocument/2006/relationships/chart" Target="../charts/chart40.xml"/><Relationship Id="rId14" Type="http://schemas.openxmlformats.org/officeDocument/2006/relationships/chart" Target="../charts/chart45.xml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59.xml"/><Relationship Id="rId18" Type="http://schemas.openxmlformats.org/officeDocument/2006/relationships/chart" Target="../charts/chart64.xml"/><Relationship Id="rId26" Type="http://schemas.openxmlformats.org/officeDocument/2006/relationships/chart" Target="../charts/chart72.xml"/><Relationship Id="rId39" Type="http://schemas.openxmlformats.org/officeDocument/2006/relationships/chart" Target="../charts/chart85.xml"/><Relationship Id="rId21" Type="http://schemas.openxmlformats.org/officeDocument/2006/relationships/chart" Target="../charts/chart67.xml"/><Relationship Id="rId34" Type="http://schemas.openxmlformats.org/officeDocument/2006/relationships/chart" Target="../charts/chart80.xml"/><Relationship Id="rId42" Type="http://schemas.openxmlformats.org/officeDocument/2006/relationships/chart" Target="../charts/chart88.xml"/><Relationship Id="rId47" Type="http://schemas.openxmlformats.org/officeDocument/2006/relationships/chart" Target="../charts/chart93.xml"/><Relationship Id="rId7" Type="http://schemas.openxmlformats.org/officeDocument/2006/relationships/chart" Target="../charts/chart53.xml"/><Relationship Id="rId2" Type="http://schemas.openxmlformats.org/officeDocument/2006/relationships/chart" Target="../charts/chart48.xml"/><Relationship Id="rId16" Type="http://schemas.openxmlformats.org/officeDocument/2006/relationships/chart" Target="../charts/chart62.xml"/><Relationship Id="rId29" Type="http://schemas.openxmlformats.org/officeDocument/2006/relationships/chart" Target="../charts/chart75.xml"/><Relationship Id="rId11" Type="http://schemas.openxmlformats.org/officeDocument/2006/relationships/chart" Target="../charts/chart57.xml"/><Relationship Id="rId24" Type="http://schemas.openxmlformats.org/officeDocument/2006/relationships/chart" Target="../charts/chart70.xml"/><Relationship Id="rId32" Type="http://schemas.openxmlformats.org/officeDocument/2006/relationships/chart" Target="../charts/chart78.xml"/><Relationship Id="rId37" Type="http://schemas.openxmlformats.org/officeDocument/2006/relationships/chart" Target="../charts/chart83.xml"/><Relationship Id="rId40" Type="http://schemas.openxmlformats.org/officeDocument/2006/relationships/chart" Target="../charts/chart86.xml"/><Relationship Id="rId45" Type="http://schemas.openxmlformats.org/officeDocument/2006/relationships/chart" Target="../charts/chart91.xml"/><Relationship Id="rId5" Type="http://schemas.openxmlformats.org/officeDocument/2006/relationships/chart" Target="../charts/chart51.xml"/><Relationship Id="rId15" Type="http://schemas.openxmlformats.org/officeDocument/2006/relationships/chart" Target="../charts/chart61.xml"/><Relationship Id="rId23" Type="http://schemas.openxmlformats.org/officeDocument/2006/relationships/chart" Target="../charts/chart69.xml"/><Relationship Id="rId28" Type="http://schemas.openxmlformats.org/officeDocument/2006/relationships/chart" Target="../charts/chart74.xml"/><Relationship Id="rId36" Type="http://schemas.openxmlformats.org/officeDocument/2006/relationships/chart" Target="../charts/chart82.xml"/><Relationship Id="rId49" Type="http://schemas.openxmlformats.org/officeDocument/2006/relationships/chart" Target="../charts/chart95.xml"/><Relationship Id="rId10" Type="http://schemas.openxmlformats.org/officeDocument/2006/relationships/chart" Target="../charts/chart56.xml"/><Relationship Id="rId19" Type="http://schemas.openxmlformats.org/officeDocument/2006/relationships/chart" Target="../charts/chart65.xml"/><Relationship Id="rId31" Type="http://schemas.openxmlformats.org/officeDocument/2006/relationships/chart" Target="../charts/chart77.xml"/><Relationship Id="rId44" Type="http://schemas.openxmlformats.org/officeDocument/2006/relationships/chart" Target="../charts/chart90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Relationship Id="rId14" Type="http://schemas.openxmlformats.org/officeDocument/2006/relationships/chart" Target="../charts/chart60.xml"/><Relationship Id="rId22" Type="http://schemas.openxmlformats.org/officeDocument/2006/relationships/chart" Target="../charts/chart68.xml"/><Relationship Id="rId27" Type="http://schemas.openxmlformats.org/officeDocument/2006/relationships/chart" Target="../charts/chart73.xml"/><Relationship Id="rId30" Type="http://schemas.openxmlformats.org/officeDocument/2006/relationships/chart" Target="../charts/chart76.xml"/><Relationship Id="rId35" Type="http://schemas.openxmlformats.org/officeDocument/2006/relationships/chart" Target="../charts/chart81.xml"/><Relationship Id="rId43" Type="http://schemas.openxmlformats.org/officeDocument/2006/relationships/chart" Target="../charts/chart89.xml"/><Relationship Id="rId48" Type="http://schemas.openxmlformats.org/officeDocument/2006/relationships/chart" Target="../charts/chart94.xml"/><Relationship Id="rId8" Type="http://schemas.openxmlformats.org/officeDocument/2006/relationships/chart" Target="../charts/chart54.xml"/><Relationship Id="rId3" Type="http://schemas.openxmlformats.org/officeDocument/2006/relationships/chart" Target="../charts/chart49.xml"/><Relationship Id="rId12" Type="http://schemas.openxmlformats.org/officeDocument/2006/relationships/chart" Target="../charts/chart58.xml"/><Relationship Id="rId17" Type="http://schemas.openxmlformats.org/officeDocument/2006/relationships/chart" Target="../charts/chart63.xml"/><Relationship Id="rId25" Type="http://schemas.openxmlformats.org/officeDocument/2006/relationships/chart" Target="../charts/chart71.xml"/><Relationship Id="rId33" Type="http://schemas.openxmlformats.org/officeDocument/2006/relationships/chart" Target="../charts/chart79.xml"/><Relationship Id="rId38" Type="http://schemas.openxmlformats.org/officeDocument/2006/relationships/chart" Target="../charts/chart84.xml"/><Relationship Id="rId46" Type="http://schemas.openxmlformats.org/officeDocument/2006/relationships/chart" Target="../charts/chart92.xml"/><Relationship Id="rId20" Type="http://schemas.openxmlformats.org/officeDocument/2006/relationships/chart" Target="../charts/chart66.xml"/><Relationship Id="rId41" Type="http://schemas.openxmlformats.org/officeDocument/2006/relationships/chart" Target="../charts/chart87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08.xml"/><Relationship Id="rId18" Type="http://schemas.openxmlformats.org/officeDocument/2006/relationships/chart" Target="../charts/chart113.xml"/><Relationship Id="rId26" Type="http://schemas.openxmlformats.org/officeDocument/2006/relationships/chart" Target="../charts/chart121.xml"/><Relationship Id="rId39" Type="http://schemas.openxmlformats.org/officeDocument/2006/relationships/chart" Target="../charts/chart134.xml"/><Relationship Id="rId21" Type="http://schemas.openxmlformats.org/officeDocument/2006/relationships/chart" Target="../charts/chart116.xml"/><Relationship Id="rId34" Type="http://schemas.openxmlformats.org/officeDocument/2006/relationships/chart" Target="../charts/chart129.xml"/><Relationship Id="rId42" Type="http://schemas.openxmlformats.org/officeDocument/2006/relationships/chart" Target="../charts/chart137.xml"/><Relationship Id="rId47" Type="http://schemas.openxmlformats.org/officeDocument/2006/relationships/chart" Target="../charts/chart142.xml"/><Relationship Id="rId50" Type="http://schemas.openxmlformats.org/officeDocument/2006/relationships/chart" Target="../charts/chart145.xml"/><Relationship Id="rId55" Type="http://schemas.openxmlformats.org/officeDocument/2006/relationships/chart" Target="../charts/chart150.xml"/><Relationship Id="rId7" Type="http://schemas.openxmlformats.org/officeDocument/2006/relationships/chart" Target="../charts/chart102.xml"/><Relationship Id="rId2" Type="http://schemas.openxmlformats.org/officeDocument/2006/relationships/chart" Target="../charts/chart97.xml"/><Relationship Id="rId16" Type="http://schemas.openxmlformats.org/officeDocument/2006/relationships/chart" Target="../charts/chart111.xml"/><Relationship Id="rId29" Type="http://schemas.openxmlformats.org/officeDocument/2006/relationships/chart" Target="../charts/chart124.xml"/><Relationship Id="rId11" Type="http://schemas.openxmlformats.org/officeDocument/2006/relationships/chart" Target="../charts/chart106.xml"/><Relationship Id="rId24" Type="http://schemas.openxmlformats.org/officeDocument/2006/relationships/chart" Target="../charts/chart119.xml"/><Relationship Id="rId32" Type="http://schemas.openxmlformats.org/officeDocument/2006/relationships/chart" Target="../charts/chart127.xml"/><Relationship Id="rId37" Type="http://schemas.openxmlformats.org/officeDocument/2006/relationships/chart" Target="../charts/chart132.xml"/><Relationship Id="rId40" Type="http://schemas.openxmlformats.org/officeDocument/2006/relationships/chart" Target="../charts/chart135.xml"/><Relationship Id="rId45" Type="http://schemas.openxmlformats.org/officeDocument/2006/relationships/chart" Target="../charts/chart140.xml"/><Relationship Id="rId53" Type="http://schemas.openxmlformats.org/officeDocument/2006/relationships/chart" Target="../charts/chart148.xml"/><Relationship Id="rId58" Type="http://schemas.openxmlformats.org/officeDocument/2006/relationships/chart" Target="../charts/chart153.xml"/><Relationship Id="rId5" Type="http://schemas.openxmlformats.org/officeDocument/2006/relationships/chart" Target="../charts/chart100.xml"/><Relationship Id="rId19" Type="http://schemas.openxmlformats.org/officeDocument/2006/relationships/chart" Target="../charts/chart114.xml"/><Relationship Id="rId4" Type="http://schemas.openxmlformats.org/officeDocument/2006/relationships/chart" Target="../charts/chart99.xml"/><Relationship Id="rId9" Type="http://schemas.openxmlformats.org/officeDocument/2006/relationships/chart" Target="../charts/chart104.xml"/><Relationship Id="rId14" Type="http://schemas.openxmlformats.org/officeDocument/2006/relationships/chart" Target="../charts/chart109.xml"/><Relationship Id="rId22" Type="http://schemas.openxmlformats.org/officeDocument/2006/relationships/chart" Target="../charts/chart117.xml"/><Relationship Id="rId27" Type="http://schemas.openxmlformats.org/officeDocument/2006/relationships/chart" Target="../charts/chart122.xml"/><Relationship Id="rId30" Type="http://schemas.openxmlformats.org/officeDocument/2006/relationships/chart" Target="../charts/chart125.xml"/><Relationship Id="rId35" Type="http://schemas.openxmlformats.org/officeDocument/2006/relationships/chart" Target="../charts/chart130.xml"/><Relationship Id="rId43" Type="http://schemas.openxmlformats.org/officeDocument/2006/relationships/chart" Target="../charts/chart138.xml"/><Relationship Id="rId48" Type="http://schemas.openxmlformats.org/officeDocument/2006/relationships/chart" Target="../charts/chart143.xml"/><Relationship Id="rId56" Type="http://schemas.openxmlformats.org/officeDocument/2006/relationships/chart" Target="../charts/chart151.xml"/><Relationship Id="rId8" Type="http://schemas.openxmlformats.org/officeDocument/2006/relationships/chart" Target="../charts/chart103.xml"/><Relationship Id="rId51" Type="http://schemas.openxmlformats.org/officeDocument/2006/relationships/chart" Target="../charts/chart146.xml"/><Relationship Id="rId3" Type="http://schemas.openxmlformats.org/officeDocument/2006/relationships/chart" Target="../charts/chart98.xml"/><Relationship Id="rId12" Type="http://schemas.openxmlformats.org/officeDocument/2006/relationships/chart" Target="../charts/chart107.xml"/><Relationship Id="rId17" Type="http://schemas.openxmlformats.org/officeDocument/2006/relationships/chart" Target="../charts/chart112.xml"/><Relationship Id="rId25" Type="http://schemas.openxmlformats.org/officeDocument/2006/relationships/chart" Target="../charts/chart120.xml"/><Relationship Id="rId33" Type="http://schemas.openxmlformats.org/officeDocument/2006/relationships/chart" Target="../charts/chart128.xml"/><Relationship Id="rId38" Type="http://schemas.openxmlformats.org/officeDocument/2006/relationships/chart" Target="../charts/chart133.xml"/><Relationship Id="rId46" Type="http://schemas.openxmlformats.org/officeDocument/2006/relationships/chart" Target="../charts/chart141.xml"/><Relationship Id="rId20" Type="http://schemas.openxmlformats.org/officeDocument/2006/relationships/chart" Target="../charts/chart115.xml"/><Relationship Id="rId41" Type="http://schemas.openxmlformats.org/officeDocument/2006/relationships/chart" Target="../charts/chart136.xml"/><Relationship Id="rId54" Type="http://schemas.openxmlformats.org/officeDocument/2006/relationships/chart" Target="../charts/chart149.xml"/><Relationship Id="rId1" Type="http://schemas.openxmlformats.org/officeDocument/2006/relationships/chart" Target="../charts/chart96.xml"/><Relationship Id="rId6" Type="http://schemas.openxmlformats.org/officeDocument/2006/relationships/chart" Target="../charts/chart101.xml"/><Relationship Id="rId15" Type="http://schemas.openxmlformats.org/officeDocument/2006/relationships/chart" Target="../charts/chart110.xml"/><Relationship Id="rId23" Type="http://schemas.openxmlformats.org/officeDocument/2006/relationships/chart" Target="../charts/chart118.xml"/><Relationship Id="rId28" Type="http://schemas.openxmlformats.org/officeDocument/2006/relationships/chart" Target="../charts/chart123.xml"/><Relationship Id="rId36" Type="http://schemas.openxmlformats.org/officeDocument/2006/relationships/chart" Target="../charts/chart131.xml"/><Relationship Id="rId49" Type="http://schemas.openxmlformats.org/officeDocument/2006/relationships/chart" Target="../charts/chart144.xml"/><Relationship Id="rId57" Type="http://schemas.openxmlformats.org/officeDocument/2006/relationships/chart" Target="../charts/chart152.xml"/><Relationship Id="rId10" Type="http://schemas.openxmlformats.org/officeDocument/2006/relationships/chart" Target="../charts/chart105.xml"/><Relationship Id="rId31" Type="http://schemas.openxmlformats.org/officeDocument/2006/relationships/chart" Target="../charts/chart126.xml"/><Relationship Id="rId44" Type="http://schemas.openxmlformats.org/officeDocument/2006/relationships/chart" Target="../charts/chart139.xml"/><Relationship Id="rId52" Type="http://schemas.openxmlformats.org/officeDocument/2006/relationships/chart" Target="../charts/chart147.xml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66.xml"/><Relationship Id="rId18" Type="http://schemas.openxmlformats.org/officeDocument/2006/relationships/chart" Target="../charts/chart171.xml"/><Relationship Id="rId26" Type="http://schemas.openxmlformats.org/officeDocument/2006/relationships/chart" Target="../charts/chart179.xml"/><Relationship Id="rId39" Type="http://schemas.openxmlformats.org/officeDocument/2006/relationships/chart" Target="../charts/chart192.xml"/><Relationship Id="rId21" Type="http://schemas.openxmlformats.org/officeDocument/2006/relationships/chart" Target="../charts/chart174.xml"/><Relationship Id="rId34" Type="http://schemas.openxmlformats.org/officeDocument/2006/relationships/chart" Target="../charts/chart187.xml"/><Relationship Id="rId42" Type="http://schemas.openxmlformats.org/officeDocument/2006/relationships/chart" Target="../charts/chart195.xml"/><Relationship Id="rId47" Type="http://schemas.openxmlformats.org/officeDocument/2006/relationships/chart" Target="../charts/chart200.xml"/><Relationship Id="rId50" Type="http://schemas.openxmlformats.org/officeDocument/2006/relationships/chart" Target="../charts/chart203.xml"/><Relationship Id="rId55" Type="http://schemas.openxmlformats.org/officeDocument/2006/relationships/chart" Target="../charts/chart208.xml"/><Relationship Id="rId7" Type="http://schemas.openxmlformats.org/officeDocument/2006/relationships/chart" Target="../charts/chart160.xml"/><Relationship Id="rId2" Type="http://schemas.openxmlformats.org/officeDocument/2006/relationships/chart" Target="../charts/chart155.xml"/><Relationship Id="rId16" Type="http://schemas.openxmlformats.org/officeDocument/2006/relationships/chart" Target="../charts/chart169.xml"/><Relationship Id="rId29" Type="http://schemas.openxmlformats.org/officeDocument/2006/relationships/chart" Target="../charts/chart182.xml"/><Relationship Id="rId11" Type="http://schemas.openxmlformats.org/officeDocument/2006/relationships/chart" Target="../charts/chart164.xml"/><Relationship Id="rId24" Type="http://schemas.openxmlformats.org/officeDocument/2006/relationships/chart" Target="../charts/chart177.xml"/><Relationship Id="rId32" Type="http://schemas.openxmlformats.org/officeDocument/2006/relationships/chart" Target="../charts/chart185.xml"/><Relationship Id="rId37" Type="http://schemas.openxmlformats.org/officeDocument/2006/relationships/chart" Target="../charts/chart190.xml"/><Relationship Id="rId40" Type="http://schemas.openxmlformats.org/officeDocument/2006/relationships/chart" Target="../charts/chart193.xml"/><Relationship Id="rId45" Type="http://schemas.openxmlformats.org/officeDocument/2006/relationships/chart" Target="../charts/chart198.xml"/><Relationship Id="rId53" Type="http://schemas.openxmlformats.org/officeDocument/2006/relationships/chart" Target="../charts/chart206.xml"/><Relationship Id="rId5" Type="http://schemas.openxmlformats.org/officeDocument/2006/relationships/chart" Target="../charts/chart158.xml"/><Relationship Id="rId19" Type="http://schemas.openxmlformats.org/officeDocument/2006/relationships/chart" Target="../charts/chart172.xml"/><Relationship Id="rId4" Type="http://schemas.openxmlformats.org/officeDocument/2006/relationships/chart" Target="../charts/chart157.xml"/><Relationship Id="rId9" Type="http://schemas.openxmlformats.org/officeDocument/2006/relationships/chart" Target="../charts/chart162.xml"/><Relationship Id="rId14" Type="http://schemas.openxmlformats.org/officeDocument/2006/relationships/chart" Target="../charts/chart167.xml"/><Relationship Id="rId22" Type="http://schemas.openxmlformats.org/officeDocument/2006/relationships/chart" Target="../charts/chart175.xml"/><Relationship Id="rId27" Type="http://schemas.openxmlformats.org/officeDocument/2006/relationships/chart" Target="../charts/chart180.xml"/><Relationship Id="rId30" Type="http://schemas.openxmlformats.org/officeDocument/2006/relationships/chart" Target="../charts/chart183.xml"/><Relationship Id="rId35" Type="http://schemas.openxmlformats.org/officeDocument/2006/relationships/chart" Target="../charts/chart188.xml"/><Relationship Id="rId43" Type="http://schemas.openxmlformats.org/officeDocument/2006/relationships/chart" Target="../charts/chart196.xml"/><Relationship Id="rId48" Type="http://schemas.openxmlformats.org/officeDocument/2006/relationships/chart" Target="../charts/chart201.xml"/><Relationship Id="rId56" Type="http://schemas.openxmlformats.org/officeDocument/2006/relationships/chart" Target="../charts/chart209.xml"/><Relationship Id="rId8" Type="http://schemas.openxmlformats.org/officeDocument/2006/relationships/chart" Target="../charts/chart161.xml"/><Relationship Id="rId51" Type="http://schemas.openxmlformats.org/officeDocument/2006/relationships/chart" Target="../charts/chart204.xml"/><Relationship Id="rId3" Type="http://schemas.openxmlformats.org/officeDocument/2006/relationships/chart" Target="../charts/chart156.xml"/><Relationship Id="rId12" Type="http://schemas.openxmlformats.org/officeDocument/2006/relationships/chart" Target="../charts/chart165.xml"/><Relationship Id="rId17" Type="http://schemas.openxmlformats.org/officeDocument/2006/relationships/chart" Target="../charts/chart170.xml"/><Relationship Id="rId25" Type="http://schemas.openxmlformats.org/officeDocument/2006/relationships/chart" Target="../charts/chart178.xml"/><Relationship Id="rId33" Type="http://schemas.openxmlformats.org/officeDocument/2006/relationships/chart" Target="../charts/chart186.xml"/><Relationship Id="rId38" Type="http://schemas.openxmlformats.org/officeDocument/2006/relationships/chart" Target="../charts/chart191.xml"/><Relationship Id="rId46" Type="http://schemas.openxmlformats.org/officeDocument/2006/relationships/chart" Target="../charts/chart199.xml"/><Relationship Id="rId20" Type="http://schemas.openxmlformats.org/officeDocument/2006/relationships/chart" Target="../charts/chart173.xml"/><Relationship Id="rId41" Type="http://schemas.openxmlformats.org/officeDocument/2006/relationships/chart" Target="../charts/chart194.xml"/><Relationship Id="rId54" Type="http://schemas.openxmlformats.org/officeDocument/2006/relationships/chart" Target="../charts/chart207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15" Type="http://schemas.openxmlformats.org/officeDocument/2006/relationships/chart" Target="../charts/chart168.xml"/><Relationship Id="rId23" Type="http://schemas.openxmlformats.org/officeDocument/2006/relationships/chart" Target="../charts/chart176.xml"/><Relationship Id="rId28" Type="http://schemas.openxmlformats.org/officeDocument/2006/relationships/chart" Target="../charts/chart181.xml"/><Relationship Id="rId36" Type="http://schemas.openxmlformats.org/officeDocument/2006/relationships/chart" Target="../charts/chart189.xml"/><Relationship Id="rId49" Type="http://schemas.openxmlformats.org/officeDocument/2006/relationships/chart" Target="../charts/chart202.xml"/><Relationship Id="rId57" Type="http://schemas.openxmlformats.org/officeDocument/2006/relationships/chart" Target="../charts/chart210.xml"/><Relationship Id="rId10" Type="http://schemas.openxmlformats.org/officeDocument/2006/relationships/chart" Target="../charts/chart163.xml"/><Relationship Id="rId31" Type="http://schemas.openxmlformats.org/officeDocument/2006/relationships/chart" Target="../charts/chart184.xml"/><Relationship Id="rId44" Type="http://schemas.openxmlformats.org/officeDocument/2006/relationships/chart" Target="../charts/chart197.xml"/><Relationship Id="rId52" Type="http://schemas.openxmlformats.org/officeDocument/2006/relationships/chart" Target="../charts/chart20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196850</xdr:colOff>
      <xdr:row>42</xdr:row>
      <xdr:rowOff>114300</xdr:rowOff>
    </xdr:from>
    <xdr:to>
      <xdr:col>33</xdr:col>
      <xdr:colOff>463550</xdr:colOff>
      <xdr:row>44</xdr:row>
      <xdr:rowOff>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CDCBC34-709B-00F2-867B-1FFE3A2A1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C423C8A-080C-F37C-0713-38E482E05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31750</xdr:colOff>
      <xdr:row>9</xdr:row>
      <xdr:rowOff>38100</xdr:rowOff>
    </xdr:from>
    <xdr:to>
      <xdr:col>14</xdr:col>
      <xdr:colOff>930275</xdr:colOff>
      <xdr:row>15</xdr:row>
      <xdr:rowOff>146050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3E8DCE2-8A8D-4122-AE24-6B78F8B4E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38100</xdr:colOff>
      <xdr:row>16</xdr:row>
      <xdr:rowOff>31750</xdr:rowOff>
    </xdr:from>
    <xdr:to>
      <xdr:col>14</xdr:col>
      <xdr:colOff>936625</xdr:colOff>
      <xdr:row>22</xdr:row>
      <xdr:rowOff>139700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33E1DCF-917F-4940-9995-1430143A2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31750</xdr:colOff>
      <xdr:row>23</xdr:row>
      <xdr:rowOff>38100</xdr:rowOff>
    </xdr:from>
    <xdr:to>
      <xdr:col>14</xdr:col>
      <xdr:colOff>930275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418C68-1AB3-4994-AB14-4456DE0DC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31750</xdr:colOff>
      <xdr:row>30</xdr:row>
      <xdr:rowOff>38100</xdr:rowOff>
    </xdr:from>
    <xdr:to>
      <xdr:col>14</xdr:col>
      <xdr:colOff>930275</xdr:colOff>
      <xdr:row>36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9AFB4D-B1C3-4512-966D-59588E2BD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31750</xdr:colOff>
      <xdr:row>37</xdr:row>
      <xdr:rowOff>38100</xdr:rowOff>
    </xdr:from>
    <xdr:to>
      <xdr:col>14</xdr:col>
      <xdr:colOff>930275</xdr:colOff>
      <xdr:row>43</xdr:row>
      <xdr:rowOff>146050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AD86DB-4790-4D0B-A685-39F263D5C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44450</xdr:colOff>
      <xdr:row>66</xdr:row>
      <xdr:rowOff>44450</xdr:rowOff>
    </xdr:from>
    <xdr:to>
      <xdr:col>14</xdr:col>
      <xdr:colOff>942975</xdr:colOff>
      <xdr:row>72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3EF5B13-64FD-4FFA-9836-921E406AB4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44450</xdr:colOff>
      <xdr:row>80</xdr:row>
      <xdr:rowOff>44450</xdr:rowOff>
    </xdr:from>
    <xdr:to>
      <xdr:col>14</xdr:col>
      <xdr:colOff>942975</xdr:colOff>
      <xdr:row>86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9B32E66-C1C4-4A7A-8ED8-A06310473E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44450</xdr:colOff>
      <xdr:row>87</xdr:row>
      <xdr:rowOff>44450</xdr:rowOff>
    </xdr:from>
    <xdr:to>
      <xdr:col>14</xdr:col>
      <xdr:colOff>942975</xdr:colOff>
      <xdr:row>93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F1E876-036B-41AB-BFCB-9723C2A67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44450</xdr:colOff>
      <xdr:row>94</xdr:row>
      <xdr:rowOff>44450</xdr:rowOff>
    </xdr:from>
    <xdr:to>
      <xdr:col>14</xdr:col>
      <xdr:colOff>942975</xdr:colOff>
      <xdr:row>100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D2D93DA-0E8A-4EED-9A8D-B302945A6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44450</xdr:colOff>
      <xdr:row>101</xdr:row>
      <xdr:rowOff>44450</xdr:rowOff>
    </xdr:from>
    <xdr:to>
      <xdr:col>14</xdr:col>
      <xdr:colOff>942975</xdr:colOff>
      <xdr:row>107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69630F5-1CDC-4C1C-9386-01F8B798A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44450</xdr:colOff>
      <xdr:row>108</xdr:row>
      <xdr:rowOff>44450</xdr:rowOff>
    </xdr:from>
    <xdr:to>
      <xdr:col>14</xdr:col>
      <xdr:colOff>942975</xdr:colOff>
      <xdr:row>114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74F143C1-DFCB-4F64-8A1C-BD36757C32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44450</xdr:colOff>
      <xdr:row>115</xdr:row>
      <xdr:rowOff>44450</xdr:rowOff>
    </xdr:from>
    <xdr:to>
      <xdr:col>14</xdr:col>
      <xdr:colOff>942975</xdr:colOff>
      <xdr:row>121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B1C4721-88E1-4476-A728-386070C96D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44450</xdr:colOff>
      <xdr:row>73</xdr:row>
      <xdr:rowOff>44450</xdr:rowOff>
    </xdr:from>
    <xdr:to>
      <xdr:col>14</xdr:col>
      <xdr:colOff>942975</xdr:colOff>
      <xdr:row>79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AA689771-AFDB-4ABD-8371-929F84997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44450</xdr:colOff>
      <xdr:row>122</xdr:row>
      <xdr:rowOff>44450</xdr:rowOff>
    </xdr:from>
    <xdr:to>
      <xdr:col>14</xdr:col>
      <xdr:colOff>942975</xdr:colOff>
      <xdr:row>128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8585C494-335D-43B9-A185-42300A6CB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44450</xdr:colOff>
      <xdr:row>129</xdr:row>
      <xdr:rowOff>44450</xdr:rowOff>
    </xdr:from>
    <xdr:to>
      <xdr:col>14</xdr:col>
      <xdr:colOff>942975</xdr:colOff>
      <xdr:row>135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28A64F-6C89-4040-BF27-F9CCD62CFD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44450</xdr:colOff>
      <xdr:row>136</xdr:row>
      <xdr:rowOff>44450</xdr:rowOff>
    </xdr:from>
    <xdr:to>
      <xdr:col>14</xdr:col>
      <xdr:colOff>942975</xdr:colOff>
      <xdr:row>142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5971EC-A35B-4D04-A643-2CD4742CCF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CA9FE68-7F75-4D20-9015-17BD72396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3A12D88-A568-4E8F-9AEF-05577E1B20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E8D0539-F577-444D-9224-DFFB8E9E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459031B-0489-4DE0-ABAF-1916CFA8F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23D0937-FBDD-42A0-A92F-03EB12498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37</xdr:row>
      <xdr:rowOff>177800</xdr:rowOff>
    </xdr:from>
    <xdr:to>
      <xdr:col>9</xdr:col>
      <xdr:colOff>711200</xdr:colOff>
      <xdr:row>61</xdr:row>
      <xdr:rowOff>165099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99CDC89-0565-137F-FB3E-9DBFF4931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717550</xdr:colOff>
      <xdr:row>37</xdr:row>
      <xdr:rowOff>177801</xdr:rowOff>
    </xdr:from>
    <xdr:to>
      <xdr:col>15</xdr:col>
      <xdr:colOff>12699</xdr:colOff>
      <xdr:row>61</xdr:row>
      <xdr:rowOff>165101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EA0015F-F868-7714-C221-3265B969C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25400</xdr:colOff>
      <xdr:row>37</xdr:row>
      <xdr:rowOff>177800</xdr:rowOff>
    </xdr:from>
    <xdr:to>
      <xdr:col>3</xdr:col>
      <xdr:colOff>3175</xdr:colOff>
      <xdr:row>61</xdr:row>
      <xdr:rowOff>165099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BB2FA91-D116-5913-E019-F236E84BE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56C6135-4900-42EB-ABC3-9A5887CB96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BA09E27-B0E0-4152-A747-514F34125F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FF12F00-5631-4C97-A07E-9F8E2325B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B41E90A-E2A1-4E15-BC50-A099A807B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5DF1881-1995-419A-997F-14B230FD5B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3F0F338-1DA1-437C-9CDA-51D8A340CA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6624E74-31CA-4B27-A054-F25801FDAA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E4173BC-4F70-4DCC-8E3C-B7088BC77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1C53A51-98AF-4B8E-99CF-8061D3B52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30</xdr:row>
      <xdr:rowOff>171450</xdr:rowOff>
    </xdr:from>
    <xdr:to>
      <xdr:col>9</xdr:col>
      <xdr:colOff>711200</xdr:colOff>
      <xdr:row>54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B24828-B107-413D-984D-F9319DCC23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30</xdr:row>
      <xdr:rowOff>171450</xdr:rowOff>
    </xdr:from>
    <xdr:to>
      <xdr:col>15</xdr:col>
      <xdr:colOff>19049</xdr:colOff>
      <xdr:row>54</xdr:row>
      <xdr:rowOff>171449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C91EA33-8753-4ACF-8B71-6D4C716D3D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25400</xdr:colOff>
      <xdr:row>30</xdr:row>
      <xdr:rowOff>177800</xdr:rowOff>
    </xdr:from>
    <xdr:to>
      <xdr:col>3</xdr:col>
      <xdr:colOff>3175</xdr:colOff>
      <xdr:row>55</xdr:row>
      <xdr:rowOff>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A3C4E17-B391-4392-9D4B-6A6769F8A4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40A8DFC-EC23-49C7-ABD7-3B4145A646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49ED08A-6481-4419-BC48-5C597AF539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BC70FB3-F3BB-4ED6-AD58-F0F8605A22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A3BAB0B-B2DC-4F6B-8328-6B17B8FB7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23AF9AB1-5054-4136-9B57-ECB5C0FAA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6A03040-E90F-4030-BA62-766278E3A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54EC55FA-E837-426E-9D74-8E82555CF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2087C9AD-98DF-4A7D-BC3B-9DCA54A9B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EF1CC-0F7B-4C1E-A098-BA8AA00C40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47B55-6A97-4710-8E6F-FAD4FCBDF6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CC26BC-B9A3-43CF-B053-144C2B78AB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8158EF-D1D7-4600-A060-B779E81DF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4210050</xdr:colOff>
      <xdr:row>51</xdr:row>
      <xdr:rowOff>177800</xdr:rowOff>
    </xdr:from>
    <xdr:to>
      <xdr:col>9</xdr:col>
      <xdr:colOff>704850</xdr:colOff>
      <xdr:row>76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4D22A2F-B5A8-4040-8984-AA479DB13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704850</xdr:colOff>
      <xdr:row>51</xdr:row>
      <xdr:rowOff>177800</xdr:rowOff>
    </xdr:from>
    <xdr:to>
      <xdr:col>14</xdr:col>
      <xdr:colOff>965199</xdr:colOff>
      <xdr:row>76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0421F42-F1D2-4B96-A40E-E8EE17FC9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25400</xdr:colOff>
      <xdr:row>51</xdr:row>
      <xdr:rowOff>177800</xdr:rowOff>
    </xdr:from>
    <xdr:to>
      <xdr:col>3</xdr:col>
      <xdr:colOff>3175</xdr:colOff>
      <xdr:row>76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027928D-347D-47DB-91D4-4D5C0C398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3557F0-0531-495B-AF77-B0BE71160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D5C117-D09F-48AE-BBBA-950369DB85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8091C52-C98E-4C50-97CF-1051E8A234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EBD618F-7044-499B-9A01-0FE8EF86B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3EE25C9-C93B-495E-AE04-68CE99BA3F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F0F7355-ED26-43F7-9396-E3DBADB8D9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0D675C-E457-4EAF-8830-C051B94D3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72835FC-7A2F-42B9-B33E-07887977C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A698740-2924-41A9-B274-492EF6CD4C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C47CB37-F44F-49B0-B495-481291A3F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2799C3D-B89A-435E-BB31-167E9326C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C93078F-B480-4B76-B939-4FC01059A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2C3FAA7-D8B8-4516-8AB4-48961A455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335C67F-2A4E-43DB-8B49-E9399EC189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10288D9-4FC6-43F4-9A98-525277F6A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59B5E551-C203-41CA-AA04-B9927880E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0D1C8BF-B85E-4A17-8CEF-3BF579DC92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52D7720-16A0-4523-A5C0-DCD437A60D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9ACA226-3387-4FCD-97EB-1D402477FC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268180C-CE24-4155-9678-5B5BDABEE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7B4344FA-6B42-4001-BB31-6CC9539A90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9CDAE19-0423-42AA-9A4C-2DA564DA05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21EFEB2C-9605-4860-B6A3-F6BBB165D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12700</xdr:colOff>
      <xdr:row>44</xdr:row>
      <xdr:rowOff>38100</xdr:rowOff>
    </xdr:from>
    <xdr:to>
      <xdr:col>14</xdr:col>
      <xdr:colOff>911225</xdr:colOff>
      <xdr:row>50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DF16774A-669C-453F-90E3-13994E876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97E7220-42B1-4BE7-844A-20F7F6A82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22A87C65-0C67-458F-B497-50E3D52F5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70F27BC-6D1A-4161-95CE-CB0491756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CF29F35A-1D03-45FD-9F8E-EB576E439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0A582F9-C411-4D9F-AA1C-54C5031B45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A70DC29-A1E6-41FA-B84D-E3F8166D8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B92DAB13-E2B3-479D-956D-C385F6D78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EF61A0A-0398-4424-81AA-D64B5D792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24A322F4-8C78-4FC1-83B0-5D3C44F953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6E3BFFA6-1CC1-4EE0-AAF6-D264CDFA64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63B07A9E-FF33-4BC2-8D81-FDF306A621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4CDF7D21-463D-4116-9A78-5E81ABBBB8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692D6DCF-EC87-4805-B42E-BC13831A3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9F096BC7-4E68-474D-911B-BAAD3D443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4553B971-458A-43E5-96BD-CADB236DD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5D2FAD78-5F9F-4633-9C2E-9E42DD8C1F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B1C944D4-DEBB-459B-830C-4A6CEA8DD4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E17BD28C-9B2D-4AC8-A44E-B98AF3093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40B547-4D99-42AD-9B2C-6969E3D50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5290D8-1D7F-43EF-9DC2-413662A51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A26BFB-B2C2-4C0D-819F-0DD15DF4DA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97B3EA2-2AD8-48EB-A4B7-3360939DFC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58</xdr:row>
      <xdr:rowOff>184150</xdr:rowOff>
    </xdr:from>
    <xdr:to>
      <xdr:col>9</xdr:col>
      <xdr:colOff>711200</xdr:colOff>
      <xdr:row>83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E45995-17F9-4F7C-B018-6EDCF3AE9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58</xdr:row>
      <xdr:rowOff>184150</xdr:rowOff>
    </xdr:from>
    <xdr:to>
      <xdr:col>15</xdr:col>
      <xdr:colOff>19049</xdr:colOff>
      <xdr:row>83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6D8CFC-45DA-46A7-924F-82367F4FF2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25400</xdr:colOff>
      <xdr:row>58</xdr:row>
      <xdr:rowOff>177800</xdr:rowOff>
    </xdr:from>
    <xdr:to>
      <xdr:col>3</xdr:col>
      <xdr:colOff>3175</xdr:colOff>
      <xdr:row>83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51D11DC-42DE-4475-A649-4204020D3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5AC0590-F2F9-465C-99D3-5FC3162608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0114461-E927-4ADF-A731-7093A6320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6BCDDB-3E10-48AB-B88A-821184990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15DE116-3FFD-4FCB-A8AB-372B28C07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86A15AE-73B0-40FC-ADC7-8F9D7345D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72074D5-3EFF-4FB7-9091-8B91B5CD3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0B4F075-A9B3-40BA-90C6-E62FCFD83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E49B1D2-A4EE-4520-B46F-E78E845C4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F4A5498-C2DF-45DC-9E70-4E4F60289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BD40177-7A79-4986-BABC-89B810F36C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63F76CB6-0491-4C36-8706-7FF25770F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DC4BE31-B634-4F7F-8118-86F1229C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649F471-6E9F-4985-AACF-D9661B7F8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054DE84-FE98-4BDB-9D0E-23E49F49F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9115DA2-4DDB-4FC9-82F7-76EEC6D7D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B8E19EFC-4AD3-48EB-AB11-637548271F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25F37E9-9161-441D-834A-41BB6AFF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89CA0303-474C-489B-9EC9-DA19C538E9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C37738A8-B694-4E1D-AB9A-21F75EF53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55A174F2-6B20-4FCB-9071-BAC151B55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9E320189-5D9A-4E05-8678-CB7E6940BE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56E73723-86F2-4E7C-818C-45C2B5BEB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95C0D5E-2DD1-4FAE-A035-468BEBF4E3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12700</xdr:colOff>
      <xdr:row>44</xdr:row>
      <xdr:rowOff>38100</xdr:rowOff>
    </xdr:from>
    <xdr:to>
      <xdr:col>14</xdr:col>
      <xdr:colOff>911225</xdr:colOff>
      <xdr:row>50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2CE163A9-19EC-4F0F-8B46-47BA43A7E1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7702D99-9D41-43D9-B5A3-BB1CD7081E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32BC651C-163E-461C-BDB6-E35F5104A4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9A31F96A-03F4-483D-87FC-72B358D3C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32ED0918-E209-4BAE-8657-33C7F4A853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8928C028-6568-41E2-85A5-D884C9B48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2C6895A5-CE78-4E50-B889-4EF51CAB1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9892DBFF-AA91-4B35-B0BB-595FF474B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2DB6F495-3D75-4252-9386-963D3ED3F8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81E6DD74-7EF2-4B8B-947F-224CCB79C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81D3B397-BA01-4E61-A0C3-6D5F972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4B9BB012-E8FE-404C-B5E5-CE9902D9D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4E3AC75F-AD76-4D8B-9010-83D800F89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B25CE58-D60F-4741-9287-6B26ECF58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A666B243-B264-447E-869F-88AC25E8E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90FB3DC3-2587-4FF7-8202-2A158A5932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E10E8E1-6815-4B31-B3BB-EB5FB2CFD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6CCFC322-BD54-468D-BE51-5723D3E35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E39C6CED-F587-4E53-BCA0-AACB402C7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E281322E-EF1A-456F-9EB0-555524BC47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E5F20806-7109-4542-B4CE-4D4B893E99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E4A7ADC-496F-491C-99BC-CC05114518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EFFA2B8D-21A6-4EDD-B672-D4F549C3E6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DE2650F9-5884-43CE-9F36-92D07C0866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F98A0949-35B6-4BE3-B7E2-FA5B1014A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21251B7D-FEB6-4CC9-BAFB-D460BF7B7F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C958048D-CF77-47D3-9835-5AF78F408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10</xdr:col>
      <xdr:colOff>12700</xdr:colOff>
      <xdr:row>51</xdr:row>
      <xdr:rowOff>38100</xdr:rowOff>
    </xdr:from>
    <xdr:to>
      <xdr:col>14</xdr:col>
      <xdr:colOff>911225</xdr:colOff>
      <xdr:row>57</xdr:row>
      <xdr:rowOff>146050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9237B654-3C56-49C0-A023-9F9AD1899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4D9BF6-21EA-43F4-9A7B-FADA5E5E80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8D3F78-C4A3-4512-BE37-7F57549523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235428-746C-454D-A813-A97B42026D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19F19CC-C5D9-4D55-9EBB-214A337B8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58</xdr:row>
      <xdr:rowOff>184150</xdr:rowOff>
    </xdr:from>
    <xdr:to>
      <xdr:col>9</xdr:col>
      <xdr:colOff>711200</xdr:colOff>
      <xdr:row>83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1E294D-BE9D-4B38-AF08-E2E7F4BA5A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58</xdr:row>
      <xdr:rowOff>184150</xdr:rowOff>
    </xdr:from>
    <xdr:to>
      <xdr:col>15</xdr:col>
      <xdr:colOff>19049</xdr:colOff>
      <xdr:row>83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B5309C-5BEA-4AE8-80A4-6F4F417CF0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25400</xdr:colOff>
      <xdr:row>58</xdr:row>
      <xdr:rowOff>177800</xdr:rowOff>
    </xdr:from>
    <xdr:to>
      <xdr:col>3</xdr:col>
      <xdr:colOff>3175</xdr:colOff>
      <xdr:row>83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009A23-B9FF-4BEE-8D77-2223F17AE3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F6088D-A9A4-418B-A187-5C59858D3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91F0E3C-4853-429F-8198-C4C0F5186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9CA926-006E-47CB-849A-E31F5BF9E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5145ABB-A4B1-4E27-A3F0-1E46EFAF7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8BF5D28-3EED-4431-BA6F-8C5781241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89DEC34-6E16-436C-8E39-1F8CA5EB1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F1FFAB5-D796-4BF5-ACB4-D6F49B3A2B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C236468-CE8A-4A74-808E-5CBE08C8B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D7DAC3-1E01-4A3D-B126-476587F1D8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44450</xdr:colOff>
      <xdr:row>2</xdr:row>
      <xdr:rowOff>44450</xdr:rowOff>
    </xdr:from>
    <xdr:to>
      <xdr:col>14</xdr:col>
      <xdr:colOff>942975</xdr:colOff>
      <xdr:row>8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C787B65-6BC5-4B7B-B818-3682556F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C6E4FF0-7D9E-435B-9397-5C3C3F1EA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F6F770F-7013-411B-B147-2DB89B6A6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44450</xdr:colOff>
      <xdr:row>9</xdr:row>
      <xdr:rowOff>44450</xdr:rowOff>
    </xdr:from>
    <xdr:to>
      <xdr:col>14</xdr:col>
      <xdr:colOff>942975</xdr:colOff>
      <xdr:row>15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80C435C-C459-472D-8E0D-E247A7F553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AEE3EF5E-D89A-4539-BCD0-6C7BE121D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9B59051-9C72-48D7-BCC3-6B7BCD1514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C24F941-EDB1-464A-8546-9CDC2CEE60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55F19D6-8232-4E6F-AEAB-2091A3DCF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0714A86-4A23-4CD9-B73D-8F7E8F73F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1AB32E2-9683-428C-8DDC-71EF81B83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E831BD4B-1BE0-4161-8463-7C181A4F6A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44450</xdr:colOff>
      <xdr:row>23</xdr:row>
      <xdr:rowOff>44450</xdr:rowOff>
    </xdr:from>
    <xdr:to>
      <xdr:col>14</xdr:col>
      <xdr:colOff>942975</xdr:colOff>
      <xdr:row>29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88A9121-33AF-4F4D-AB21-2CDC929BD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A8B8822C-7D04-45EC-A967-AFB27E6C40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44450</xdr:colOff>
      <xdr:row>51</xdr:row>
      <xdr:rowOff>44450</xdr:rowOff>
    </xdr:from>
    <xdr:to>
      <xdr:col>14</xdr:col>
      <xdr:colOff>942975</xdr:colOff>
      <xdr:row>57</xdr:row>
      <xdr:rowOff>152400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FB7F4097-165D-4063-9796-255A8E0BE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12700</xdr:colOff>
      <xdr:row>51</xdr:row>
      <xdr:rowOff>38100</xdr:rowOff>
    </xdr:from>
    <xdr:to>
      <xdr:col>14</xdr:col>
      <xdr:colOff>911225</xdr:colOff>
      <xdr:row>57</xdr:row>
      <xdr:rowOff>146050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9D199BA-CD95-4318-878D-0F7F4E358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44450</xdr:colOff>
      <xdr:row>16</xdr:row>
      <xdr:rowOff>44450</xdr:rowOff>
    </xdr:from>
    <xdr:to>
      <xdr:col>14</xdr:col>
      <xdr:colOff>942975</xdr:colOff>
      <xdr:row>22</xdr:row>
      <xdr:rowOff>152400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FAAA377D-5C92-49DE-AD5E-A75EB255D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755399F-756E-441F-BF7B-86661190CF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5335076-BAE4-4EF1-977E-B8DB031EA6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8356369C-1812-44B6-A649-5C096AF6DC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A52B3767-7317-4818-8B10-8B98AD09F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E1027316-FB28-41C4-82F3-EE29745F87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D50606C8-691F-4852-8F0D-4BA91FFE0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61B15DAD-A934-4E8B-B15D-E4E04DCB93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3C84D811-358C-4270-8D9D-84548E7F0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10</xdr:col>
      <xdr:colOff>44450</xdr:colOff>
      <xdr:row>37</xdr:row>
      <xdr:rowOff>44450</xdr:rowOff>
    </xdr:from>
    <xdr:to>
      <xdr:col>14</xdr:col>
      <xdr:colOff>942975</xdr:colOff>
      <xdr:row>43</xdr:row>
      <xdr:rowOff>152400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B2265EE-4BA2-4C90-87B3-E51067FA7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C552D89E-0FAA-4F67-B2B5-5F15B734B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EC1880B-AD36-4D0A-B905-6A6E5E349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586D2C9-AD12-4889-8DF7-F3FDC9C21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8D0ED7A-8672-4C72-970C-04E2B81C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D6042267-9BFF-4A52-8202-8436B849DF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E4A4078-131A-4936-A785-5D421D103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B24ACA84-205E-43D7-8845-F9971C1F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10</xdr:col>
      <xdr:colOff>44450</xdr:colOff>
      <xdr:row>44</xdr:row>
      <xdr:rowOff>44450</xdr:rowOff>
    </xdr:from>
    <xdr:to>
      <xdr:col>14</xdr:col>
      <xdr:colOff>942975</xdr:colOff>
      <xdr:row>50</xdr:row>
      <xdr:rowOff>152400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D930B44E-038A-451B-AA32-39BF8153E4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9844C2DB-10BE-422D-BAE6-8EF92E467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B80C6C20-B47D-46BA-9FD4-7A61C3CE2D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8FA095E-269B-4A17-A8B0-796DF4833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AA28B4D8-3238-4B34-B033-31AB6B572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57D4064-D21B-470A-ACDB-5D607E7A0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4915F16F-65F5-4A79-87BC-81B758AFA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9E0A5229-E59A-4A04-A58C-AA731BB049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10</xdr:col>
      <xdr:colOff>44450</xdr:colOff>
      <xdr:row>30</xdr:row>
      <xdr:rowOff>44450</xdr:rowOff>
    </xdr:from>
    <xdr:to>
      <xdr:col>14</xdr:col>
      <xdr:colOff>942975</xdr:colOff>
      <xdr:row>36</xdr:row>
      <xdr:rowOff>152400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2D8073E0-8E0D-4B3B-81D9-1951C1B535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234950</xdr:colOff>
      <xdr:row>4</xdr:row>
      <xdr:rowOff>171450</xdr:rowOff>
    </xdr:from>
    <xdr:to>
      <xdr:col>13</xdr:col>
      <xdr:colOff>1562100</xdr:colOff>
      <xdr:row>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C40BD3-8822-E9A7-E21C-02EE876CA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43FDF4E-08EA-479F-8778-476070AAB57A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identifier" tableColumnId="2"/>
      <queryTableField id="3" name="time" tableColumnId="3"/>
      <queryTableField id="4" name="returns" tableColumnId="4"/>
      <queryTableField id="5" name="position" tableColumnId="5"/>
      <queryTableField id="6" name="captured_returns" tableColumnId="6"/>
      <queryTableField id="14" dataBound="0" tableColumnId="14"/>
      <queryTableField id="7" name="daily_vol" tableColumnId="7"/>
      <queryTableField id="8" name="captured_returns_0_5_bps" tableColumnId="8"/>
      <queryTableField id="9" name="captured_returns_1_0_bps" tableColumnId="9"/>
      <queryTableField id="10" name="captured_returns_1_5_bps" tableColumnId="10"/>
      <queryTableField id="11" name="captured_returns_2_0_bps" tableColumnId="11"/>
      <queryTableField id="12" name="captured_returns_2_5_bps" tableColumnId="12"/>
      <queryTableField id="13" name="captured_returns_3_0_bps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FF5B47-1308-4C09-B1FA-D397F1116F21}" name="captured_returns_sw" displayName="captured_returns_sw" ref="A1:N253" tableType="queryTable" totalsRowShown="0">
  <autoFilter ref="A1:N253" xr:uid="{1EFF5B47-1308-4C09-B1FA-D397F1116F21}"/>
  <tableColumns count="14">
    <tableColumn id="1" xr3:uid="{11DAFEBD-8E92-4548-8472-6D37800EB7EF}" uniqueName="1" name="Column1" queryTableFieldId="1"/>
    <tableColumn id="2" xr3:uid="{6309F228-9EC5-4503-9403-FB3A281D9057}" uniqueName="2" name="identifier" queryTableFieldId="2" dataDxfId="1"/>
    <tableColumn id="3" xr3:uid="{6BC8736D-8261-4355-9B9E-20D4E38E8F32}" uniqueName="3" name="time" queryTableFieldId="3" dataDxfId="0"/>
    <tableColumn id="4" xr3:uid="{09500FFD-ED04-49ED-BC8F-C785D57F8170}" uniqueName="4" name="returns" queryTableFieldId="4"/>
    <tableColumn id="5" xr3:uid="{BF9AE700-A67D-4E9A-BA01-1D5805DB816A}" uniqueName="5" name="position" queryTableFieldId="5"/>
    <tableColumn id="6" xr3:uid="{A7355BB2-FA2E-46D6-AEA2-4B6482E1EC94}" uniqueName="6" name="captured_returns" queryTableFieldId="6"/>
    <tableColumn id="14" xr3:uid="{CD9D3A49-5985-4EFE-BCBA-D9811608B2A1}" uniqueName="14" name="cum_return" queryTableFieldId="14"/>
    <tableColumn id="7" xr3:uid="{5DA562B8-B62C-4DDA-9E7D-2E4923BAA5FA}" uniqueName="7" name="daily_vol" queryTableFieldId="7"/>
    <tableColumn id="8" xr3:uid="{0E88321F-1059-40E8-9682-7FD920FE3ACA}" uniqueName="8" name="captured_returns_0_5_bps" queryTableFieldId="8"/>
    <tableColumn id="9" xr3:uid="{A06799B8-7732-4660-9225-437694669DF6}" uniqueName="9" name="captured_returns_1_0_bps" queryTableFieldId="9"/>
    <tableColumn id="10" xr3:uid="{11220910-75B1-44AA-BDC1-9EFB0F0F9D96}" uniqueName="10" name="captured_returns_1_5_bps" queryTableFieldId="10"/>
    <tableColumn id="11" xr3:uid="{43F2338A-568F-499C-8DB4-EB50352F4C75}" uniqueName="11" name="captured_returns_2_0_bps" queryTableFieldId="11"/>
    <tableColumn id="12" xr3:uid="{E303FE7F-C452-425B-9288-F5338106086C}" uniqueName="12" name="captured_returns_2_5_bps" queryTableFieldId="12"/>
    <tableColumn id="13" xr3:uid="{99B58EA5-D8F8-4289-8767-71BED0352F85}" uniqueName="13" name="captured_returns_3_0_bps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6B84-8FC5-4413-9CED-ED7C128F9051}">
  <sheetPr>
    <pageSetUpPr fitToPage="1"/>
  </sheetPr>
  <dimension ref="A1:Q181"/>
  <sheetViews>
    <sheetView topLeftCell="A43" workbookViewId="0">
      <selection activeCell="A65" sqref="A65:O144"/>
    </sheetView>
  </sheetViews>
  <sheetFormatPr defaultRowHeight="14.5" x14ac:dyDescent="0.35"/>
  <cols>
    <col min="1" max="1" width="4" style="1" customWidth="1"/>
    <col min="2" max="2" width="14.81640625" style="3" customWidth="1"/>
    <col min="3" max="3" width="60.36328125" customWidth="1"/>
    <col min="4" max="4" width="10.26953125" style="2" customWidth="1"/>
    <col min="5" max="5" width="10.36328125" style="7" customWidth="1"/>
    <col min="6" max="7" width="10.36328125" style="3" customWidth="1"/>
    <col min="8" max="10" width="10.36328125" style="10" customWidth="1"/>
    <col min="11" max="11" width="13.81640625" style="12" customWidth="1"/>
    <col min="12" max="14" width="13.81640625" customWidth="1"/>
    <col min="15" max="15" width="13.81640625" style="13" customWidth="1"/>
    <col min="16" max="16" width="14.90625" customWidth="1"/>
  </cols>
  <sheetData>
    <row r="1" spans="1:15" ht="19" thickBot="1" x14ac:dyDescent="0.4">
      <c r="A1" s="209" t="s">
        <v>269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</row>
    <row r="2" spans="1:15" ht="58" customHeight="1" thickBot="1" x14ac:dyDescent="0.4">
      <c r="A2" s="39" t="s">
        <v>7</v>
      </c>
      <c r="B2" s="210" t="s">
        <v>48</v>
      </c>
      <c r="C2" s="211"/>
      <c r="D2" s="40" t="s">
        <v>5</v>
      </c>
      <c r="E2" s="39" t="s">
        <v>6</v>
      </c>
      <c r="F2" s="41" t="s">
        <v>37</v>
      </c>
      <c r="G2" s="41" t="s">
        <v>38</v>
      </c>
      <c r="H2" s="42" t="s">
        <v>43</v>
      </c>
      <c r="I2" s="43" t="s">
        <v>41</v>
      </c>
      <c r="J2" s="43" t="s">
        <v>40</v>
      </c>
      <c r="K2" s="212" t="s">
        <v>42</v>
      </c>
      <c r="L2" s="213"/>
      <c r="M2" s="213"/>
      <c r="N2" s="213"/>
      <c r="O2" s="214"/>
    </row>
    <row r="3" spans="1:15" x14ac:dyDescent="0.35">
      <c r="A3" s="215">
        <v>1</v>
      </c>
      <c r="B3" s="6" t="s">
        <v>0</v>
      </c>
      <c r="C3" s="5" t="s">
        <v>1</v>
      </c>
      <c r="D3" s="14" t="s">
        <v>4</v>
      </c>
      <c r="E3" s="46">
        <v>1.0269812176554001</v>
      </c>
      <c r="F3" s="35">
        <v>0.104600709767617</v>
      </c>
      <c r="G3" s="35">
        <v>0.107352016830806</v>
      </c>
      <c r="H3" s="36">
        <f>0.141381129839992*100</f>
        <v>14.138112983999198</v>
      </c>
      <c r="I3" s="36">
        <f>0.20474242923358*100</f>
        <v>20.474242923357998</v>
      </c>
      <c r="J3" s="36">
        <f>I3</f>
        <v>20.474242923357998</v>
      </c>
      <c r="K3" s="17"/>
      <c r="L3" s="5"/>
      <c r="M3" s="5"/>
      <c r="N3" s="5"/>
      <c r="O3" s="18"/>
    </row>
    <row r="4" spans="1:15" x14ac:dyDescent="0.35">
      <c r="A4" s="216"/>
      <c r="B4" s="3" t="s">
        <v>2</v>
      </c>
      <c r="C4" s="169" t="s">
        <v>3</v>
      </c>
      <c r="D4" s="15" t="s">
        <v>12</v>
      </c>
      <c r="E4" s="33">
        <v>-0.36765237018563501</v>
      </c>
      <c r="F4" s="37">
        <v>8.0169304205140998E-2</v>
      </c>
      <c r="G4" s="37">
        <v>-3.2146018155755997E-2</v>
      </c>
      <c r="H4" s="38">
        <f>0.178274303386954*100</f>
        <v>17.8274303386954</v>
      </c>
      <c r="I4" s="38">
        <f>-0.0661138610666449*100</f>
        <v>-6.6113861066644892</v>
      </c>
      <c r="J4" s="38">
        <f>J3+I4</f>
        <v>13.862856816693508</v>
      </c>
    </row>
    <row r="5" spans="1:15" x14ac:dyDescent="0.35">
      <c r="A5" s="216"/>
      <c r="B5" s="3" t="s">
        <v>68</v>
      </c>
      <c r="C5" t="s">
        <v>9</v>
      </c>
      <c r="D5" s="15" t="s">
        <v>13</v>
      </c>
      <c r="E5" s="33">
        <v>-0.38774539812398801</v>
      </c>
      <c r="F5" s="37">
        <v>0.109434604328969</v>
      </c>
      <c r="G5" s="37">
        <v>-4.7329473208453002E-2</v>
      </c>
      <c r="H5" s="38">
        <f>0.234835875759332*100</f>
        <v>23.4835875759332</v>
      </c>
      <c r="I5" s="38">
        <f>-0.0988994005152189*100</f>
        <v>-9.88994005152189</v>
      </c>
      <c r="J5" s="38">
        <f t="shared" ref="J5:J7" si="0">J4+I5</f>
        <v>3.9729167651716182</v>
      </c>
    </row>
    <row r="6" spans="1:15" x14ac:dyDescent="0.35">
      <c r="A6" s="216"/>
      <c r="B6" s="3" t="s">
        <v>69</v>
      </c>
      <c r="C6" t="s">
        <v>9</v>
      </c>
      <c r="D6" s="15" t="s">
        <v>14</v>
      </c>
      <c r="E6" s="33">
        <v>-8.2981589579949E-2</v>
      </c>
      <c r="F6" s="37">
        <v>2.5185775520692E-2</v>
      </c>
      <c r="G6" s="37">
        <v>-2.4031718191200001E-3</v>
      </c>
      <c r="H6" s="38">
        <f>0.0610591808255478*100</f>
        <v>6.1059180825547799</v>
      </c>
      <c r="I6" s="38">
        <f>-0.00516706297077274*100</f>
        <v>-0.516706297077274</v>
      </c>
      <c r="J6" s="38">
        <f t="shared" si="0"/>
        <v>3.4562104680943442</v>
      </c>
    </row>
    <row r="7" spans="1:15" ht="15" thickBot="1" x14ac:dyDescent="0.4">
      <c r="A7" s="216"/>
      <c r="B7" s="3" t="s">
        <v>70</v>
      </c>
      <c r="C7" t="s">
        <v>9</v>
      </c>
      <c r="D7" s="16" t="s">
        <v>11</v>
      </c>
      <c r="E7" s="33">
        <v>1.1748754052209999E-3</v>
      </c>
      <c r="F7" s="37">
        <v>7.1127308506676007E-2</v>
      </c>
      <c r="G7" s="37">
        <v>-2.4423764361689998E-3</v>
      </c>
      <c r="H7" s="38">
        <f>0.154582503742605*100</f>
        <v>15.4582503742605</v>
      </c>
      <c r="I7" s="38">
        <v>-9.1587110283420908E-3</v>
      </c>
      <c r="J7" s="38">
        <f t="shared" si="0"/>
        <v>3.447051757066002</v>
      </c>
    </row>
    <row r="8" spans="1:15" ht="15" thickBot="1" x14ac:dyDescent="0.4">
      <c r="A8" s="216"/>
      <c r="B8" s="3" t="s">
        <v>64</v>
      </c>
      <c r="C8" t="s">
        <v>65</v>
      </c>
      <c r="D8" s="52" t="s">
        <v>54</v>
      </c>
      <c r="E8" s="4">
        <f>AVERAGE(E3:E7)</f>
        <v>3.7955347034209809E-2</v>
      </c>
      <c r="F8" s="4">
        <f>AVERAGE(F3:F7)</f>
        <v>7.8103540465818994E-2</v>
      </c>
      <c r="G8" s="4">
        <f>AVERAGE(G3:G7)</f>
        <v>4.6061954422616019E-3</v>
      </c>
      <c r="H8" s="4">
        <f>AVERAGE(H3:H7)</f>
        <v>15.402659871088616</v>
      </c>
      <c r="I8" s="4">
        <f>AVERAGE(I3:I7)</f>
        <v>0.6894103514132004</v>
      </c>
      <c r="J8" s="64"/>
      <c r="K8"/>
    </row>
    <row r="9" spans="1:15" ht="15" thickBot="1" x14ac:dyDescent="0.4">
      <c r="A9" s="217"/>
      <c r="B9" s="8" t="s">
        <v>8</v>
      </c>
      <c r="C9" s="48" t="s">
        <v>78</v>
      </c>
      <c r="D9" s="200" t="s">
        <v>47</v>
      </c>
      <c r="E9" s="201"/>
      <c r="F9" s="201"/>
      <c r="G9" s="201"/>
      <c r="H9" s="201"/>
      <c r="I9" s="202"/>
      <c r="J9" s="63">
        <f>((AVERAGE(E3:E7))/STDEVP(E3:E7))</f>
        <v>7.3320173312495379E-2</v>
      </c>
      <c r="K9" s="20"/>
      <c r="L9" s="20"/>
      <c r="M9" s="20"/>
      <c r="N9" s="20"/>
      <c r="O9" s="21"/>
    </row>
    <row r="10" spans="1:15" x14ac:dyDescent="0.35">
      <c r="A10" s="215">
        <v>2</v>
      </c>
      <c r="B10" s="6" t="s">
        <v>0</v>
      </c>
      <c r="C10" s="5" t="s">
        <v>74</v>
      </c>
      <c r="D10" s="14" t="s">
        <v>4</v>
      </c>
      <c r="E10" s="34">
        <v>-8.9130819785258997E-2</v>
      </c>
      <c r="F10" s="35">
        <v>9.7171128852360997E-2</v>
      </c>
      <c r="G10" s="35">
        <v>-1.3222027802228999E-2</v>
      </c>
      <c r="H10" s="47">
        <f>0.162844007701215*100</f>
        <v>16.284400770121501</v>
      </c>
      <c r="I10" s="36">
        <f>-0.0362725619012744*100</f>
        <v>-3.6272561901274396</v>
      </c>
      <c r="J10" s="36">
        <f>I10</f>
        <v>-3.6272561901274396</v>
      </c>
      <c r="K10" s="17"/>
      <c r="L10" s="5"/>
      <c r="M10" s="5"/>
      <c r="N10" s="5"/>
      <c r="O10" s="18"/>
    </row>
    <row r="11" spans="1:15" x14ac:dyDescent="0.35">
      <c r="A11" s="216"/>
      <c r="B11" s="3" t="s">
        <v>2</v>
      </c>
      <c r="C11" s="169" t="s">
        <v>3</v>
      </c>
      <c r="D11" s="15" t="s">
        <v>12</v>
      </c>
      <c r="E11" s="33">
        <v>-1.74393035995079</v>
      </c>
      <c r="F11" s="37">
        <v>7.5059327820686E-2</v>
      </c>
      <c r="G11" s="37">
        <v>-0.12518164158862399</v>
      </c>
      <c r="H11" s="38">
        <f>0.116282422264397*100</f>
        <v>11.628242226439699</v>
      </c>
      <c r="I11" s="38">
        <f>-0.243917745006149*100</f>
        <v>-24.3917745006149</v>
      </c>
      <c r="J11" s="38">
        <f>J10+I11</f>
        <v>-28.019030690742341</v>
      </c>
    </row>
    <row r="12" spans="1:15" x14ac:dyDescent="0.35">
      <c r="A12" s="216"/>
      <c r="B12" s="3" t="s">
        <v>68</v>
      </c>
      <c r="C12" t="s">
        <v>9</v>
      </c>
      <c r="D12" s="15" t="s">
        <v>13</v>
      </c>
      <c r="E12" s="22">
        <v>-4.1034259692029999E-3</v>
      </c>
      <c r="F12" s="37">
        <v>0.12738673870978301</v>
      </c>
      <c r="G12" s="37">
        <v>-8.5817041552949998E-3</v>
      </c>
      <c r="H12" s="38">
        <f>0.19046644058259*100</f>
        <v>19.046644058258998</v>
      </c>
      <c r="I12" s="38">
        <f>-0.0344103773368029*100</f>
        <v>-3.4410377336802895</v>
      </c>
      <c r="J12" s="38">
        <f t="shared" ref="J12:J14" si="1">J11+I12</f>
        <v>-31.46006842442263</v>
      </c>
    </row>
    <row r="13" spans="1:15" x14ac:dyDescent="0.35">
      <c r="A13" s="216"/>
      <c r="B13" s="3" t="s">
        <v>69</v>
      </c>
      <c r="C13" t="s">
        <v>9</v>
      </c>
      <c r="D13" s="15" t="s">
        <v>14</v>
      </c>
      <c r="E13" s="33">
        <v>1.60029441278283</v>
      </c>
      <c r="F13" s="37">
        <v>2.9341092937063998E-2</v>
      </c>
      <c r="G13" s="37">
        <v>4.7620561695419998E-2</v>
      </c>
      <c r="H13" s="38">
        <f>0.0382785519919711*100</f>
        <v>3.8278551991971104</v>
      </c>
      <c r="I13" s="38">
        <f>0.0988036335908102*100</f>
        <v>9.88036335908102</v>
      </c>
      <c r="J13" s="38">
        <f t="shared" si="1"/>
        <v>-21.57970506534161</v>
      </c>
    </row>
    <row r="14" spans="1:15" ht="15" thickBot="1" x14ac:dyDescent="0.4">
      <c r="A14" s="216"/>
      <c r="B14" s="3" t="s">
        <v>70</v>
      </c>
      <c r="C14" t="s">
        <v>9</v>
      </c>
      <c r="D14" s="16" t="s">
        <v>11</v>
      </c>
      <c r="E14" s="33">
        <v>0.647124470211903</v>
      </c>
      <c r="F14" s="37">
        <v>3.775016195131E-2</v>
      </c>
      <c r="G14" s="37">
        <v>2.4002972677739001E-2</v>
      </c>
      <c r="H14" s="38">
        <f>0.0481113488067517*100</f>
        <v>4.8111348806751701</v>
      </c>
      <c r="I14" s="38">
        <f>0.0481217669827724*100</f>
        <v>4.8121766982772405</v>
      </c>
      <c r="J14" s="38">
        <f t="shared" si="1"/>
        <v>-16.767528367064369</v>
      </c>
    </row>
    <row r="15" spans="1:15" ht="15" thickBot="1" x14ac:dyDescent="0.4">
      <c r="A15" s="216"/>
      <c r="B15" s="3" t="s">
        <v>64</v>
      </c>
      <c r="C15" t="s">
        <v>65</v>
      </c>
      <c r="D15" s="52" t="s">
        <v>54</v>
      </c>
      <c r="E15" s="4">
        <f>AVERAGE(E10:E14)</f>
        <v>8.2050855457896213E-2</v>
      </c>
      <c r="F15" s="4">
        <f>AVERAGE(F10:F14)</f>
        <v>7.3341690054240793E-2</v>
      </c>
      <c r="G15" s="4">
        <f>AVERAGE(G10:G14)</f>
        <v>-1.5072367834597797E-2</v>
      </c>
      <c r="H15" s="4">
        <f>AVERAGE(H10:H14)</f>
        <v>11.119655426938495</v>
      </c>
      <c r="I15" s="4">
        <f>AVERAGE(I10:I14)</f>
        <v>-3.3535056734128736</v>
      </c>
      <c r="J15" s="64"/>
    </row>
    <row r="16" spans="1:15" ht="15" thickBot="1" x14ac:dyDescent="0.4">
      <c r="A16" s="217"/>
      <c r="B16" s="8" t="s">
        <v>8</v>
      </c>
      <c r="C16" s="48" t="s">
        <v>77</v>
      </c>
      <c r="D16" s="200" t="s">
        <v>95</v>
      </c>
      <c r="E16" s="201"/>
      <c r="F16" s="201"/>
      <c r="G16" s="201"/>
      <c r="H16" s="201"/>
      <c r="I16" s="202"/>
      <c r="J16" s="63">
        <f>((AVERAGE(E10:E14))/STDEVP(E10:E14))</f>
        <v>7.4931164374884465E-2</v>
      </c>
      <c r="K16" s="19"/>
      <c r="L16" s="20"/>
      <c r="M16" s="20"/>
      <c r="N16" s="20"/>
      <c r="O16" s="21"/>
    </row>
    <row r="17" spans="1:15" x14ac:dyDescent="0.35">
      <c r="A17" s="215">
        <v>3</v>
      </c>
      <c r="B17" s="6" t="s">
        <v>0</v>
      </c>
      <c r="C17" s="5" t="s">
        <v>31</v>
      </c>
      <c r="D17" s="14" t="s">
        <v>4</v>
      </c>
      <c r="E17" s="34">
        <v>0.24470598452106701</v>
      </c>
      <c r="F17" s="35">
        <v>5.2285961187875998E-2</v>
      </c>
      <c r="G17" s="35">
        <v>1.1506068340931E-2</v>
      </c>
      <c r="H17" s="36">
        <f>0.0832547034802782*100</f>
        <v>8.3254703480278209</v>
      </c>
      <c r="I17" s="36">
        <f>0.0212781691294796*100</f>
        <v>2.12781691294796</v>
      </c>
      <c r="J17" s="36">
        <f>I17</f>
        <v>2.12781691294796</v>
      </c>
      <c r="K17" s="17"/>
      <c r="L17" s="5"/>
      <c r="M17" s="5"/>
      <c r="N17" s="5"/>
      <c r="O17" s="18"/>
    </row>
    <row r="18" spans="1:15" x14ac:dyDescent="0.35">
      <c r="A18" s="216"/>
      <c r="B18" s="3" t="s">
        <v>2</v>
      </c>
      <c r="C18" s="169" t="s">
        <v>3</v>
      </c>
      <c r="D18" s="15" t="s">
        <v>12</v>
      </c>
      <c r="E18" s="33">
        <v>-0.45158415318947798</v>
      </c>
      <c r="F18" s="37">
        <v>7.4095414715005997E-2</v>
      </c>
      <c r="G18" s="37">
        <v>-3.5542436715541997E-2</v>
      </c>
      <c r="H18" s="38">
        <f>0.150117580298226*100</f>
        <v>15.0117580298226</v>
      </c>
      <c r="I18" s="38">
        <f>-0.0796941117804078*100</f>
        <v>-7.9694111780407804</v>
      </c>
      <c r="J18" s="38">
        <f>J17+I18</f>
        <v>-5.8415942650928203</v>
      </c>
    </row>
    <row r="19" spans="1:15" x14ac:dyDescent="0.35">
      <c r="A19" s="216"/>
      <c r="B19" s="3" t="s">
        <v>68</v>
      </c>
      <c r="C19" s="49" t="s">
        <v>32</v>
      </c>
      <c r="D19" s="15" t="s">
        <v>13</v>
      </c>
      <c r="E19" s="33">
        <v>-0.69049851079265201</v>
      </c>
      <c r="F19" s="37">
        <v>0.13621983476928501</v>
      </c>
      <c r="G19" s="37">
        <v>-9.8208734916323995E-2</v>
      </c>
      <c r="H19" s="38">
        <f>0.225802315803677*100</f>
        <v>22.580231580367698</v>
      </c>
      <c r="I19" s="38">
        <f>-0.214321178811207*100</f>
        <v>-21.4321178811207</v>
      </c>
      <c r="J19" s="38">
        <f t="shared" ref="J19:J21" si="2">J18+I19</f>
        <v>-27.273712146213519</v>
      </c>
    </row>
    <row r="20" spans="1:15" x14ac:dyDescent="0.35">
      <c r="A20" s="216"/>
      <c r="B20" s="3" t="s">
        <v>69</v>
      </c>
      <c r="C20" t="s">
        <v>9</v>
      </c>
      <c r="D20" s="15" t="s">
        <v>14</v>
      </c>
      <c r="E20" s="33">
        <v>1.4751687211003299</v>
      </c>
      <c r="F20" s="37">
        <v>1.6434256067382001E-2</v>
      </c>
      <c r="G20" s="37">
        <v>2.4400469576181999E-2</v>
      </c>
      <c r="H20" s="38">
        <f>0.0248789429646306*100</f>
        <v>2.4878942964630597</v>
      </c>
      <c r="I20" s="38">
        <f>0.0520305023066731*100</f>
        <v>5.2030502306673103</v>
      </c>
      <c r="J20" s="38">
        <f t="shared" si="2"/>
        <v>-22.070661915546211</v>
      </c>
    </row>
    <row r="21" spans="1:15" ht="15" thickBot="1" x14ac:dyDescent="0.4">
      <c r="A21" s="216"/>
      <c r="B21" s="3" t="s">
        <v>70</v>
      </c>
      <c r="C21" t="s">
        <v>9</v>
      </c>
      <c r="D21" s="16" t="s">
        <v>11</v>
      </c>
      <c r="E21" s="33">
        <v>0.34563310694607602</v>
      </c>
      <c r="F21" s="37">
        <v>7.5182986232315993E-2</v>
      </c>
      <c r="G21" s="37">
        <v>2.3429020342414002E-2</v>
      </c>
      <c r="H21" s="38">
        <f>0.120697382513142*100</f>
        <v>12.069738251314199</v>
      </c>
      <c r="I21" s="38">
        <f>0.0431967663923744*100</f>
        <v>4.3196766392374402</v>
      </c>
      <c r="J21" s="38">
        <f t="shared" si="2"/>
        <v>-17.750985276308771</v>
      </c>
    </row>
    <row r="22" spans="1:15" ht="15" thickBot="1" x14ac:dyDescent="0.4">
      <c r="A22" s="216"/>
      <c r="B22" s="3" t="s">
        <v>64</v>
      </c>
      <c r="C22" t="s">
        <v>65</v>
      </c>
      <c r="D22" s="52" t="s">
        <v>54</v>
      </c>
      <c r="E22" s="4">
        <f>AVERAGE(E17:E21)</f>
        <v>0.18468502971706863</v>
      </c>
      <c r="F22" s="4">
        <f>AVERAGE(F17:F21)</f>
        <v>7.084369059437301E-2</v>
      </c>
      <c r="G22" s="4">
        <f>AVERAGE(G17:G21)</f>
        <v>-1.4883122674467796E-2</v>
      </c>
      <c r="H22" s="4">
        <f>AVERAGE(H17:H21)</f>
        <v>12.095018501199075</v>
      </c>
      <c r="I22" s="4">
        <f>AVERAGE(I17:I21)</f>
        <v>-3.5501970552617541</v>
      </c>
      <c r="J22" s="64"/>
    </row>
    <row r="23" spans="1:15" ht="15" thickBot="1" x14ac:dyDescent="0.4">
      <c r="A23" s="217"/>
      <c r="B23" s="8" t="s">
        <v>8</v>
      </c>
      <c r="C23" s="48" t="s">
        <v>76</v>
      </c>
      <c r="D23" s="200" t="s">
        <v>61</v>
      </c>
      <c r="E23" s="201"/>
      <c r="F23" s="201"/>
      <c r="G23" s="201"/>
      <c r="H23" s="201"/>
      <c r="I23" s="202"/>
      <c r="J23" s="63">
        <f>((AVERAGE(E17:E21))/STDEVP(E17:E21))</f>
        <v>0.24395285570395542</v>
      </c>
      <c r="K23" s="19"/>
      <c r="L23" s="20"/>
      <c r="M23" s="20"/>
      <c r="N23" s="20"/>
      <c r="O23" s="21"/>
    </row>
    <row r="24" spans="1:15" x14ac:dyDescent="0.35">
      <c r="A24" s="215">
        <v>4</v>
      </c>
      <c r="B24" s="6" t="s">
        <v>0</v>
      </c>
      <c r="C24" s="5" t="s">
        <v>33</v>
      </c>
      <c r="D24" s="14" t="s">
        <v>4</v>
      </c>
      <c r="E24" s="34">
        <v>-0.419894519851718</v>
      </c>
      <c r="F24" s="35">
        <v>0.128999245594005</v>
      </c>
      <c r="G24" s="35">
        <v>-6.0522921437135002E-2</v>
      </c>
      <c r="H24" s="36">
        <f>0.136149682172665*100</f>
        <v>13.614968217266499</v>
      </c>
      <c r="I24" s="36">
        <f>-0.0653912969169159*100</f>
        <v>-6.5391296916915902</v>
      </c>
      <c r="J24" s="36">
        <f>I24</f>
        <v>-6.5391296916915902</v>
      </c>
      <c r="K24" s="17"/>
      <c r="L24" s="5"/>
      <c r="M24" s="5"/>
      <c r="N24" s="5"/>
      <c r="O24" s="18"/>
    </row>
    <row r="25" spans="1:15" x14ac:dyDescent="0.35">
      <c r="A25" s="216"/>
      <c r="B25" s="3" t="s">
        <v>2</v>
      </c>
      <c r="C25" s="169" t="s">
        <v>3</v>
      </c>
      <c r="D25" s="15" t="s">
        <v>12</v>
      </c>
      <c r="E25" s="33">
        <v>-0.96287142197297004</v>
      </c>
      <c r="F25" s="37">
        <v>0.140247411636999</v>
      </c>
      <c r="G25" s="37">
        <v>-0.134851663013764</v>
      </c>
      <c r="H25" s="45">
        <f>0.192377778780161*100</f>
        <v>19.2377778780161</v>
      </c>
      <c r="I25" s="38">
        <f>-0.144594794198119*100</f>
        <v>-14.459479419811899</v>
      </c>
      <c r="J25" s="38">
        <f>J24+I25</f>
        <v>-20.998609111503491</v>
      </c>
    </row>
    <row r="26" spans="1:15" x14ac:dyDescent="0.35">
      <c r="A26" s="216"/>
      <c r="B26" s="3" t="s">
        <v>68</v>
      </c>
      <c r="C26" t="s">
        <v>9</v>
      </c>
      <c r="D26" s="15" t="s">
        <v>13</v>
      </c>
      <c r="E26" s="33">
        <v>-0.98068333740778701</v>
      </c>
      <c r="F26" s="37">
        <v>0.16721110762691299</v>
      </c>
      <c r="G26" s="37">
        <v>-0.16322458189490799</v>
      </c>
      <c r="H26" s="38">
        <f>0.247406064144098*100</f>
        <v>24.7406064144098</v>
      </c>
      <c r="I26" s="38">
        <f>-0.17495988581996*100</f>
        <v>-17.495988581995999</v>
      </c>
      <c r="J26" s="38">
        <f t="shared" ref="J26:J28" si="3">J25+I26</f>
        <v>-38.494597693499486</v>
      </c>
    </row>
    <row r="27" spans="1:15" x14ac:dyDescent="0.35">
      <c r="A27" s="216"/>
      <c r="B27" s="3" t="s">
        <v>69</v>
      </c>
      <c r="C27" t="s">
        <v>9</v>
      </c>
      <c r="D27" s="15" t="s">
        <v>14</v>
      </c>
      <c r="E27" s="33">
        <v>7.8365109230458002E-2</v>
      </c>
      <c r="F27" s="37">
        <v>0.11407601031369</v>
      </c>
      <c r="G27" s="37">
        <v>2.502701218275E-3</v>
      </c>
      <c r="H27" s="38">
        <f>0.146871346994875*100</f>
        <v>14.687134699487499</v>
      </c>
      <c r="I27" s="38">
        <f>0.0021837808938514*100</f>
        <v>0.21837808938514003</v>
      </c>
      <c r="J27" s="38">
        <f t="shared" si="3"/>
        <v>-38.276219604114345</v>
      </c>
    </row>
    <row r="28" spans="1:15" ht="15" thickBot="1" x14ac:dyDescent="0.4">
      <c r="A28" s="216"/>
      <c r="B28" s="3" t="s">
        <v>70</v>
      </c>
      <c r="C28" t="s">
        <v>9</v>
      </c>
      <c r="D28" s="16" t="s">
        <v>11</v>
      </c>
      <c r="E28" s="33">
        <v>0.70661947536510805</v>
      </c>
      <c r="F28" s="37">
        <v>0.14850839828257101</v>
      </c>
      <c r="G28" s="37">
        <v>9.8407245398324003E-2</v>
      </c>
      <c r="H28" s="38">
        <f>0.208087096532437*100</f>
        <v>20.808709653243699</v>
      </c>
      <c r="I28" s="45">
        <f>0.104983652523419*100</f>
        <v>10.4983652523419</v>
      </c>
      <c r="J28" s="45">
        <f t="shared" si="3"/>
        <v>-27.777854351772447</v>
      </c>
    </row>
    <row r="29" spans="1:15" ht="15" thickBot="1" x14ac:dyDescent="0.4">
      <c r="A29" s="216"/>
      <c r="B29" s="3" t="s">
        <v>64</v>
      </c>
      <c r="C29" t="s">
        <v>65</v>
      </c>
      <c r="D29" s="52" t="s">
        <v>54</v>
      </c>
      <c r="E29" s="4">
        <f>AVERAGE(E24:E28)</f>
        <v>-0.31569293892738182</v>
      </c>
      <c r="F29" s="4">
        <f>AVERAGE(F24:F28)</f>
        <v>0.13980843469083559</v>
      </c>
      <c r="G29" s="4">
        <f>AVERAGE(G24:G28)</f>
        <v>-5.1537843945841599E-2</v>
      </c>
      <c r="H29" s="4">
        <f>AVERAGE(H24:H28)</f>
        <v>18.617839372484717</v>
      </c>
      <c r="I29" s="4">
        <f>AVERAGE(I24:I28)</f>
        <v>-5.5555708703544893</v>
      </c>
      <c r="J29" s="64"/>
    </row>
    <row r="30" spans="1:15" ht="15" thickBot="1" x14ac:dyDescent="0.4">
      <c r="A30" s="217"/>
      <c r="B30" s="8" t="s">
        <v>8</v>
      </c>
      <c r="C30" s="48" t="s">
        <v>79</v>
      </c>
      <c r="D30" s="200" t="s">
        <v>56</v>
      </c>
      <c r="E30" s="201"/>
      <c r="F30" s="201"/>
      <c r="G30" s="201"/>
      <c r="H30" s="201"/>
      <c r="I30" s="202"/>
      <c r="J30" s="63">
        <f>((AVERAGE(E24:E28))/STDEVP(E24:E28))</f>
        <v>-0.49036789240080758</v>
      </c>
      <c r="K30" s="19"/>
      <c r="L30" s="20"/>
      <c r="M30" s="20"/>
      <c r="N30" s="20"/>
      <c r="O30" s="21"/>
    </row>
    <row r="31" spans="1:15" x14ac:dyDescent="0.35">
      <c r="A31" s="215">
        <v>5</v>
      </c>
      <c r="B31" s="6" t="s">
        <v>0</v>
      </c>
      <c r="C31" s="5" t="s">
        <v>36</v>
      </c>
      <c r="D31" s="14" t="s">
        <v>4</v>
      </c>
      <c r="E31" s="34">
        <v>4.3610241268910999E-2</v>
      </c>
      <c r="F31" s="35">
        <v>0.14516229798180399</v>
      </c>
      <c r="G31" s="35">
        <v>-4.1908630530909999E-3</v>
      </c>
      <c r="H31" s="36">
        <f>0.115434954454295*100</f>
        <v>11.5434954454295</v>
      </c>
      <c r="I31" s="36">
        <f>-0.00894305748859092*100</f>
        <v>-0.89430574885909198</v>
      </c>
      <c r="J31" s="36">
        <f>I31</f>
        <v>-0.89430574885909198</v>
      </c>
      <c r="K31" s="17"/>
      <c r="L31" s="5"/>
      <c r="M31" s="5"/>
      <c r="N31" s="5"/>
      <c r="O31" s="18"/>
    </row>
    <row r="32" spans="1:15" x14ac:dyDescent="0.35">
      <c r="A32" s="216"/>
      <c r="B32" s="3" t="s">
        <v>2</v>
      </c>
      <c r="C32" s="169" t="s">
        <v>3</v>
      </c>
      <c r="D32" s="15" t="s">
        <v>12</v>
      </c>
      <c r="E32" s="22">
        <v>1.60255773715942</v>
      </c>
      <c r="F32" s="37">
        <v>6.0173719317445001E-2</v>
      </c>
      <c r="G32" s="37">
        <v>9.9227855130143996E-2</v>
      </c>
      <c r="H32" s="38">
        <f>0.0510522938730704*100</f>
        <v>5.1052293873070402</v>
      </c>
      <c r="I32" s="38">
        <f>0.127064300760253*100</f>
        <v>12.706430076025299</v>
      </c>
      <c r="J32" s="38">
        <f>J31+I32</f>
        <v>11.812124327166208</v>
      </c>
    </row>
    <row r="33" spans="1:15" x14ac:dyDescent="0.35">
      <c r="A33" s="216"/>
      <c r="B33" s="3" t="s">
        <v>68</v>
      </c>
      <c r="C33" t="s">
        <v>9</v>
      </c>
      <c r="D33" s="15" t="s">
        <v>13</v>
      </c>
      <c r="E33" s="33">
        <v>-1.40377336038636</v>
      </c>
      <c r="F33" s="37">
        <v>0.15091013311555501</v>
      </c>
      <c r="G33" s="37">
        <v>-0.200281932166395</v>
      </c>
      <c r="H33" s="38">
        <f>0.328650633045021*100</f>
        <v>32.865063304502101</v>
      </c>
      <c r="I33" s="38">
        <f>-0.250372072901994*100</f>
        <v>-25.037207290199397</v>
      </c>
      <c r="J33" s="38">
        <f t="shared" ref="J33:J35" si="4">J32+I33</f>
        <v>-13.22508296303319</v>
      </c>
    </row>
    <row r="34" spans="1:15" x14ac:dyDescent="0.35">
      <c r="A34" s="216"/>
      <c r="B34" s="3" t="s">
        <v>69</v>
      </c>
      <c r="C34" t="s">
        <v>9</v>
      </c>
      <c r="D34" s="15" t="s">
        <v>14</v>
      </c>
      <c r="E34" s="22">
        <v>1.9604379900717399</v>
      </c>
      <c r="F34" s="37">
        <v>8.9878726495494998E-2</v>
      </c>
      <c r="G34" s="37">
        <v>0.18786865171805001</v>
      </c>
      <c r="H34" s="38">
        <f>0.0485590417312407*100</f>
        <v>4.8559041731240695</v>
      </c>
      <c r="I34" s="38">
        <f>0.242891620911267*100</f>
        <v>24.289162091126702</v>
      </c>
      <c r="J34" s="38">
        <f t="shared" si="4"/>
        <v>11.064079128093512</v>
      </c>
    </row>
    <row r="35" spans="1:15" ht="15" thickBot="1" x14ac:dyDescent="0.4">
      <c r="A35" s="216"/>
      <c r="B35" s="3" t="s">
        <v>70</v>
      </c>
      <c r="C35" t="s">
        <v>9</v>
      </c>
      <c r="D35" s="16" t="s">
        <v>11</v>
      </c>
      <c r="E35" s="33">
        <v>-0.92065349349987102</v>
      </c>
      <c r="F35" s="37">
        <v>0.14396767032235799</v>
      </c>
      <c r="G35" s="37">
        <v>-0.13323614228856501</v>
      </c>
      <c r="H35" s="38">
        <f>0.241643647178966*100</f>
        <v>24.1643647178966</v>
      </c>
      <c r="I35" s="38">
        <f>-0.169206618017308*100</f>
        <v>-16.920661801730798</v>
      </c>
      <c r="J35" s="38">
        <f t="shared" si="4"/>
        <v>-5.8565826736372859</v>
      </c>
    </row>
    <row r="36" spans="1:15" ht="15" thickBot="1" x14ac:dyDescent="0.4">
      <c r="A36" s="216"/>
      <c r="B36" s="3" t="s">
        <v>64</v>
      </c>
      <c r="C36" t="s">
        <v>65</v>
      </c>
      <c r="D36" s="52" t="s">
        <v>54</v>
      </c>
      <c r="E36" s="4">
        <f>AVERAGE(E31:E35)</f>
        <v>0.25643582292276801</v>
      </c>
      <c r="F36" s="4">
        <f>AVERAGE(F31:F35)</f>
        <v>0.1180185094465314</v>
      </c>
      <c r="G36" s="4">
        <f>AVERAGE(G31:G35)</f>
        <v>-1.0122486131971403E-2</v>
      </c>
      <c r="H36" s="4">
        <f>AVERAGE(H31:H35)</f>
        <v>15.706811405651862</v>
      </c>
      <c r="I36" s="4">
        <f>AVERAGE(I31:I35)</f>
        <v>-1.1713165347274572</v>
      </c>
      <c r="J36" s="64"/>
    </row>
    <row r="37" spans="1:15" ht="15" thickBot="1" x14ac:dyDescent="0.4">
      <c r="A37" s="217"/>
      <c r="B37" s="8" t="s">
        <v>8</v>
      </c>
      <c r="C37" s="48" t="s">
        <v>80</v>
      </c>
      <c r="D37" s="200" t="s">
        <v>57</v>
      </c>
      <c r="E37" s="201"/>
      <c r="F37" s="201"/>
      <c r="G37" s="201"/>
      <c r="H37" s="201"/>
      <c r="I37" s="202"/>
      <c r="J37" s="63">
        <f>((AVERAGE(E31:E35))/STDEVP(E31:E35))</f>
        <v>0.19217658978516325</v>
      </c>
      <c r="K37" s="19"/>
      <c r="L37" s="20"/>
      <c r="M37" s="20"/>
      <c r="N37" s="20"/>
      <c r="O37" s="21"/>
    </row>
    <row r="38" spans="1:15" x14ac:dyDescent="0.35">
      <c r="A38" s="215">
        <v>6</v>
      </c>
      <c r="B38" s="6" t="s">
        <v>0</v>
      </c>
      <c r="C38" s="5" t="s">
        <v>39</v>
      </c>
      <c r="D38" s="14" t="s">
        <v>4</v>
      </c>
      <c r="E38" s="34">
        <v>-0.36092883098655099</v>
      </c>
      <c r="F38" s="35">
        <v>0.10380110323281599</v>
      </c>
      <c r="G38" s="35">
        <v>-4.1904699764225999E-2</v>
      </c>
      <c r="H38" s="36">
        <f>0.163327744808984*100</f>
        <v>16.332774480898397</v>
      </c>
      <c r="I38" s="36">
        <f>-0.0756894307436959*100</f>
        <v>-7.5689430743695896</v>
      </c>
      <c r="J38" s="36">
        <f>I38</f>
        <v>-7.5689430743695896</v>
      </c>
      <c r="K38" s="17"/>
      <c r="L38" s="5"/>
      <c r="M38" s="5"/>
      <c r="N38" s="5"/>
      <c r="O38" s="18"/>
    </row>
    <row r="39" spans="1:15" x14ac:dyDescent="0.35">
      <c r="A39" s="216"/>
      <c r="B39" s="3" t="s">
        <v>2</v>
      </c>
      <c r="C39" s="169" t="s">
        <v>3</v>
      </c>
      <c r="D39" s="15" t="s">
        <v>12</v>
      </c>
      <c r="E39" s="33">
        <v>-0.88191598739587695</v>
      </c>
      <c r="F39" s="37">
        <v>5.7015757939053002E-2</v>
      </c>
      <c r="G39" s="37">
        <v>-5.0585093890304002E-2</v>
      </c>
      <c r="H39" s="38">
        <f>0.13731840805444*100</f>
        <v>13.731840805444001</v>
      </c>
      <c r="I39" s="38">
        <f>-0.0858909154039021*100</f>
        <v>-8.5890915403902106</v>
      </c>
      <c r="J39" s="38">
        <f>J38+I39</f>
        <v>-16.158034614759799</v>
      </c>
    </row>
    <row r="40" spans="1:15" x14ac:dyDescent="0.35">
      <c r="A40" s="216"/>
      <c r="B40" s="3" t="s">
        <v>68</v>
      </c>
      <c r="C40" s="49" t="s">
        <v>32</v>
      </c>
      <c r="D40" s="15" t="s">
        <v>13</v>
      </c>
      <c r="E40" s="33">
        <v>-0.95852132210397101</v>
      </c>
      <c r="F40" s="37">
        <v>0.12473127496325</v>
      </c>
      <c r="G40" s="37">
        <v>-0.11962569452788099</v>
      </c>
      <c r="H40" s="38">
        <f>0.257807387166847*100</f>
        <v>25.780738716684699</v>
      </c>
      <c r="I40" s="38">
        <f>-0.201560780543306*100</f>
        <v>-20.1560780543306</v>
      </c>
      <c r="J40" s="38">
        <f t="shared" ref="J40:J42" si="5">J39+I40</f>
        <v>-36.314112669090399</v>
      </c>
    </row>
    <row r="41" spans="1:15" x14ac:dyDescent="0.35">
      <c r="A41" s="216"/>
      <c r="B41" s="3" t="s">
        <v>69</v>
      </c>
      <c r="C41" t="s">
        <v>9</v>
      </c>
      <c r="D41" s="15" t="s">
        <v>14</v>
      </c>
      <c r="E41" s="33">
        <v>3.2346324195804499</v>
      </c>
      <c r="F41" s="37">
        <v>8.8710204397921003E-2</v>
      </c>
      <c r="G41" s="37">
        <v>0.3269524149011</v>
      </c>
      <c r="H41" s="38">
        <f>0.0991557303827041*100</f>
        <v>9.915573038270411</v>
      </c>
      <c r="I41" s="50">
        <f>0.606812322095796*100</f>
        <v>60.681232209579605</v>
      </c>
      <c r="J41" s="38">
        <f t="shared" si="5"/>
        <v>24.367119540489206</v>
      </c>
    </row>
    <row r="42" spans="1:15" ht="15" thickBot="1" x14ac:dyDescent="0.4">
      <c r="A42" s="216"/>
      <c r="B42" s="3" t="s">
        <v>70</v>
      </c>
      <c r="C42" t="s">
        <v>9</v>
      </c>
      <c r="D42" s="16" t="s">
        <v>11</v>
      </c>
      <c r="E42" s="33">
        <v>1.1484461331464799</v>
      </c>
      <c r="F42" s="37">
        <v>6.8695778777561001E-2</v>
      </c>
      <c r="G42" s="37">
        <v>7.9522795161644996E-2</v>
      </c>
      <c r="H42" s="38">
        <f>0.103005720369869*100</f>
        <v>10.300572036986901</v>
      </c>
      <c r="I42" s="50">
        <f>0.135132560027833*100</f>
        <v>13.513256002783299</v>
      </c>
      <c r="J42" s="50">
        <f t="shared" si="5"/>
        <v>37.880375543272507</v>
      </c>
    </row>
    <row r="43" spans="1:15" ht="15" thickBot="1" x14ac:dyDescent="0.4">
      <c r="A43" s="216"/>
      <c r="B43" s="3" t="s">
        <v>64</v>
      </c>
      <c r="C43" t="s">
        <v>65</v>
      </c>
      <c r="D43" s="52" t="s">
        <v>54</v>
      </c>
      <c r="E43" s="4">
        <f>AVERAGE(E38:E42)</f>
        <v>0.43634248244810625</v>
      </c>
      <c r="F43" s="4">
        <f>AVERAGE(F38:F42)</f>
        <v>8.8590823862120194E-2</v>
      </c>
      <c r="G43" s="4">
        <f>AVERAGE(G38:G42)</f>
        <v>3.8871944376066801E-2</v>
      </c>
      <c r="H43" s="4">
        <f>AVERAGE(H38:H42)</f>
        <v>15.212299815656882</v>
      </c>
      <c r="I43" s="4">
        <f>AVERAGE(I38:I42)</f>
        <v>7.5760751086545017</v>
      </c>
      <c r="J43" s="64"/>
    </row>
    <row r="44" spans="1:15" ht="15" thickBot="1" x14ac:dyDescent="0.4">
      <c r="A44" s="217"/>
      <c r="B44" s="8" t="s">
        <v>8</v>
      </c>
      <c r="C44" s="48" t="s">
        <v>75</v>
      </c>
      <c r="D44" s="200" t="s">
        <v>94</v>
      </c>
      <c r="E44" s="201"/>
      <c r="F44" s="201"/>
      <c r="G44" s="201"/>
      <c r="H44" s="201"/>
      <c r="I44" s="202"/>
      <c r="J44" s="63">
        <f>((AVERAGE(E38:E42))/STDEVP(E38:E42))</f>
        <v>0.27425452295439284</v>
      </c>
      <c r="K44" s="19"/>
      <c r="L44" s="20"/>
      <c r="M44" s="20"/>
      <c r="N44" s="20"/>
      <c r="O44" s="21"/>
    </row>
    <row r="45" spans="1:15" x14ac:dyDescent="0.35">
      <c r="B45" s="1"/>
      <c r="D45"/>
      <c r="E45" s="1"/>
      <c r="F45" s="1"/>
      <c r="G45" s="1"/>
      <c r="H45" s="1"/>
      <c r="I45" s="1"/>
      <c r="J45" s="1"/>
      <c r="K45"/>
      <c r="O45"/>
    </row>
    <row r="46" spans="1:15" x14ac:dyDescent="0.35">
      <c r="B46" s="1"/>
      <c r="D46"/>
      <c r="E46" s="1"/>
      <c r="F46" s="1"/>
      <c r="G46" s="1"/>
      <c r="H46" s="1"/>
      <c r="I46" s="1"/>
      <c r="J46" s="1"/>
      <c r="K46"/>
      <c r="O46"/>
    </row>
    <row r="47" spans="1:15" x14ac:dyDescent="0.35">
      <c r="B47" s="1"/>
      <c r="D47"/>
      <c r="E47" s="1"/>
      <c r="F47" s="1"/>
      <c r="G47" s="1"/>
      <c r="H47" s="1"/>
      <c r="I47" s="1"/>
      <c r="J47" s="1"/>
      <c r="K47"/>
      <c r="O47"/>
    </row>
    <row r="48" spans="1:15" x14ac:dyDescent="0.35">
      <c r="B48" s="1"/>
      <c r="D48"/>
      <c r="E48" s="1"/>
      <c r="F48" s="1"/>
      <c r="G48" s="1"/>
      <c r="H48" s="1"/>
      <c r="I48" s="1"/>
      <c r="J48" s="1"/>
      <c r="K48"/>
      <c r="O48"/>
    </row>
    <row r="49" spans="2:15" x14ac:dyDescent="0.35">
      <c r="B49" s="1"/>
      <c r="D49"/>
      <c r="E49" s="1"/>
      <c r="F49" s="1"/>
      <c r="G49" s="1"/>
      <c r="H49" s="1"/>
      <c r="I49" s="1"/>
      <c r="J49" s="1"/>
      <c r="K49"/>
      <c r="O49"/>
    </row>
    <row r="50" spans="2:15" x14ac:dyDescent="0.35">
      <c r="B50" s="1"/>
      <c r="D50"/>
      <c r="E50" s="1"/>
      <c r="F50" s="1"/>
      <c r="G50" s="1"/>
      <c r="H50" s="1"/>
      <c r="I50" s="1"/>
      <c r="J50" s="1"/>
      <c r="K50"/>
      <c r="O50"/>
    </row>
    <row r="51" spans="2:15" x14ac:dyDescent="0.35">
      <c r="B51" s="1"/>
      <c r="D51"/>
      <c r="E51" s="1"/>
      <c r="F51" s="1"/>
      <c r="G51" s="1"/>
      <c r="H51" s="1"/>
      <c r="I51" s="1"/>
      <c r="J51" s="1"/>
      <c r="K51"/>
      <c r="O51"/>
    </row>
    <row r="52" spans="2:15" x14ac:dyDescent="0.35">
      <c r="B52" s="1"/>
      <c r="D52"/>
      <c r="E52" s="1"/>
      <c r="F52" s="1"/>
      <c r="G52" s="1"/>
      <c r="H52" s="1"/>
      <c r="I52" s="1"/>
      <c r="J52" s="1"/>
      <c r="K52"/>
      <c r="O52"/>
    </row>
    <row r="65" spans="1:15" ht="19" thickBot="1" x14ac:dyDescent="0.4">
      <c r="A65" s="209" t="s">
        <v>268</v>
      </c>
      <c r="B65" s="209"/>
      <c r="C65" s="209"/>
      <c r="D65" s="209"/>
      <c r="E65" s="209"/>
      <c r="F65" s="209"/>
      <c r="G65" s="209"/>
      <c r="H65" s="209"/>
      <c r="I65" s="209"/>
      <c r="J65" s="209"/>
      <c r="K65" s="209"/>
      <c r="L65" s="209"/>
      <c r="M65" s="209"/>
      <c r="N65" s="209"/>
      <c r="O65" s="209"/>
    </row>
    <row r="66" spans="1:15" ht="58" customHeight="1" thickBot="1" x14ac:dyDescent="0.4">
      <c r="A66" s="39" t="s">
        <v>7</v>
      </c>
      <c r="B66" s="210" t="s">
        <v>48</v>
      </c>
      <c r="C66" s="211"/>
      <c r="D66" s="40" t="s">
        <v>5</v>
      </c>
      <c r="E66" s="39" t="s">
        <v>6</v>
      </c>
      <c r="F66" s="41" t="s">
        <v>37</v>
      </c>
      <c r="G66" s="41" t="s">
        <v>38</v>
      </c>
      <c r="H66" s="42" t="s">
        <v>43</v>
      </c>
      <c r="I66" s="43" t="s">
        <v>41</v>
      </c>
      <c r="J66" s="43" t="s">
        <v>40</v>
      </c>
      <c r="K66" s="212" t="s">
        <v>42</v>
      </c>
      <c r="L66" s="213"/>
      <c r="M66" s="213"/>
      <c r="N66" s="213"/>
      <c r="O66" s="214"/>
    </row>
    <row r="67" spans="1:15" x14ac:dyDescent="0.35">
      <c r="A67" s="203" t="s">
        <v>44</v>
      </c>
      <c r="B67" s="6" t="s">
        <v>0</v>
      </c>
      <c r="C67" s="5" t="s">
        <v>1</v>
      </c>
      <c r="D67" s="14" t="s">
        <v>4</v>
      </c>
      <c r="E67" s="46">
        <v>0.31310116435544699</v>
      </c>
      <c r="F67" s="35">
        <v>7.4356307324078996E-2</v>
      </c>
      <c r="G67" s="35">
        <v>2.0762250042736002E-2</v>
      </c>
      <c r="H67" s="36">
        <f>0.0744665324338522*100</f>
        <v>7.4466532433852208</v>
      </c>
      <c r="I67" s="36">
        <f>0.0264943342925947*100</f>
        <v>2.6494334292594699</v>
      </c>
      <c r="J67" s="36">
        <f>I67</f>
        <v>2.6494334292594699</v>
      </c>
      <c r="K67" s="17"/>
      <c r="L67" s="5"/>
      <c r="M67" s="5"/>
      <c r="N67" s="5"/>
      <c r="O67" s="18"/>
    </row>
    <row r="68" spans="1:15" x14ac:dyDescent="0.35">
      <c r="A68" s="204"/>
      <c r="B68" s="3" t="s">
        <v>2</v>
      </c>
      <c r="C68" s="169" t="s">
        <v>3</v>
      </c>
      <c r="D68" s="15" t="s">
        <v>12</v>
      </c>
      <c r="E68" s="33">
        <v>-2.6530672315072499</v>
      </c>
      <c r="F68" s="37">
        <v>0.146156254048214</v>
      </c>
      <c r="G68" s="37">
        <v>-0.32880485999582099</v>
      </c>
      <c r="H68" s="65">
        <f>0.413809388886598*100</f>
        <v>41.380938888659799</v>
      </c>
      <c r="I68" s="38">
        <f>-0.414432399183278*100</f>
        <v>-41.443239918327798</v>
      </c>
      <c r="J68" s="38">
        <f>J67+I68</f>
        <v>-38.793806489068331</v>
      </c>
    </row>
    <row r="69" spans="1:15" x14ac:dyDescent="0.35">
      <c r="A69" s="204"/>
      <c r="B69" s="3" t="s">
        <v>10</v>
      </c>
      <c r="C69" t="s">
        <v>9</v>
      </c>
      <c r="D69" s="15" t="s">
        <v>13</v>
      </c>
      <c r="E69" s="33">
        <v>-0.107100301726419</v>
      </c>
      <c r="F69" s="37">
        <v>0.111939580657996</v>
      </c>
      <c r="G69" s="37">
        <v>-1.810034627995E-2</v>
      </c>
      <c r="H69" s="38">
        <f>0.154532585017584*100</f>
        <v>15.453258501758398</v>
      </c>
      <c r="I69" s="38">
        <f>-0.0267159765328384*100</f>
        <v>-2.6715976532838401</v>
      </c>
      <c r="J69" s="38">
        <f t="shared" ref="J69:J71" si="6">J68+I69</f>
        <v>-41.46540414235217</v>
      </c>
    </row>
    <row r="70" spans="1:15" x14ac:dyDescent="0.35">
      <c r="A70" s="204"/>
      <c r="B70" s="3" t="s">
        <v>15</v>
      </c>
      <c r="C70" t="s">
        <v>9</v>
      </c>
      <c r="D70" s="15" t="s">
        <v>14</v>
      </c>
      <c r="E70" s="33">
        <v>-0.74377757460332505</v>
      </c>
      <c r="F70" s="37">
        <v>0.114229300809172</v>
      </c>
      <c r="G70" s="37">
        <v>-0.14278278568233499</v>
      </c>
      <c r="H70" s="38">
        <f>0.265491173727689*100</f>
        <v>26.549117372768897</v>
      </c>
      <c r="I70" s="38">
        <f>-0.187695240472553*100</f>
        <v>-18.769524047255302</v>
      </c>
      <c r="J70" s="38">
        <f t="shared" si="6"/>
        <v>-60.234928189607473</v>
      </c>
    </row>
    <row r="71" spans="1:15" ht="15" thickBot="1" x14ac:dyDescent="0.4">
      <c r="A71" s="204"/>
      <c r="B71" s="3" t="s">
        <v>49</v>
      </c>
      <c r="C71" t="s">
        <v>9</v>
      </c>
      <c r="D71" s="16" t="s">
        <v>11</v>
      </c>
      <c r="E71" s="33">
        <v>1.1748754052209999E-3</v>
      </c>
      <c r="F71" s="37">
        <v>0.11711629893911001</v>
      </c>
      <c r="G71" s="37">
        <v>-8.9714547474747997E-2</v>
      </c>
      <c r="H71" s="38">
        <f>0.18353417825697*100</f>
        <v>18.353417825697001</v>
      </c>
      <c r="I71" s="38">
        <f>-0.120229352543152*100</f>
        <v>-12.022935254315199</v>
      </c>
      <c r="J71" s="38">
        <f t="shared" si="6"/>
        <v>-72.257863443922673</v>
      </c>
    </row>
    <row r="72" spans="1:15" ht="15" thickBot="1" x14ac:dyDescent="0.4">
      <c r="A72" s="204"/>
      <c r="B72" s="3" t="s">
        <v>64</v>
      </c>
      <c r="C72" t="s">
        <v>65</v>
      </c>
      <c r="D72" s="52" t="s">
        <v>54</v>
      </c>
      <c r="E72" s="4">
        <f>AVERAGE(E67:E71)</f>
        <v>-0.63793381361526513</v>
      </c>
      <c r="F72" s="4">
        <f>AVERAGE(F67:F71)</f>
        <v>0.1127595483557142</v>
      </c>
      <c r="G72" s="4">
        <f>AVERAGE(G67:G71)</f>
        <v>-0.11172805787802358</v>
      </c>
      <c r="H72" s="4">
        <f>AVERAGE(H67:H71)</f>
        <v>21.836677166453864</v>
      </c>
      <c r="I72" s="4">
        <f>AVERAGE(I67:I71)</f>
        <v>-14.451572688784534</v>
      </c>
      <c r="J72" s="64"/>
      <c r="K72"/>
    </row>
    <row r="73" spans="1:15" ht="15" thickBot="1" x14ac:dyDescent="0.4">
      <c r="A73" s="205"/>
      <c r="B73" s="3" t="s">
        <v>8</v>
      </c>
      <c r="C73" s="53" t="s">
        <v>87</v>
      </c>
      <c r="D73" s="200" t="s">
        <v>47</v>
      </c>
      <c r="E73" s="201"/>
      <c r="F73" s="201"/>
      <c r="G73" s="201"/>
      <c r="H73" s="201"/>
      <c r="I73" s="202"/>
      <c r="J73" s="63">
        <f>((AVERAGE(E67:E71))/STDEVP(E67:E71))</f>
        <v>-0.59923391535326154</v>
      </c>
      <c r="K73" s="20"/>
      <c r="L73" s="20"/>
      <c r="M73" s="20"/>
      <c r="N73" s="20"/>
      <c r="O73" s="21"/>
    </row>
    <row r="74" spans="1:15" x14ac:dyDescent="0.35">
      <c r="A74" s="203" t="s">
        <v>45</v>
      </c>
      <c r="B74" s="6" t="s">
        <v>0</v>
      </c>
      <c r="C74" s="5" t="s">
        <v>39</v>
      </c>
      <c r="D74" s="14" t="s">
        <v>4</v>
      </c>
      <c r="E74" s="46">
        <v>-0.67623058270677705</v>
      </c>
      <c r="F74" s="35">
        <v>0.123580248249252</v>
      </c>
      <c r="G74" s="35">
        <v>-8.7091111663713E-2</v>
      </c>
      <c r="H74" s="36">
        <f>0.167012682827485*100</f>
        <v>16.701268282748501</v>
      </c>
      <c r="I74" s="36">
        <f>-0.126848432828048*100</f>
        <v>-12.684843282804801</v>
      </c>
      <c r="J74" s="36">
        <f>I74</f>
        <v>-12.684843282804801</v>
      </c>
      <c r="K74" s="17"/>
      <c r="L74" s="5"/>
      <c r="M74" s="5"/>
      <c r="N74" s="5"/>
      <c r="O74" s="18"/>
    </row>
    <row r="75" spans="1:15" x14ac:dyDescent="0.35">
      <c r="A75" s="204"/>
      <c r="B75" s="3" t="s">
        <v>2</v>
      </c>
      <c r="C75" s="169" t="s">
        <v>3</v>
      </c>
      <c r="D75" s="15" t="s">
        <v>12</v>
      </c>
      <c r="E75" s="33">
        <v>-1.7467175601642699</v>
      </c>
      <c r="F75" s="37">
        <v>0.13687800124336</v>
      </c>
      <c r="G75" s="37">
        <v>-0.22006440624514401</v>
      </c>
      <c r="H75" s="65">
        <f>0.315094130510028*100</f>
        <v>31.509413051002799</v>
      </c>
      <c r="I75" s="38">
        <f>-0.304533249615821*100</f>
        <v>-30.453324961582101</v>
      </c>
      <c r="J75" s="38">
        <f>J74+I75</f>
        <v>-43.138168244386904</v>
      </c>
    </row>
    <row r="76" spans="1:15" x14ac:dyDescent="0.35">
      <c r="A76" s="204"/>
      <c r="B76" s="3" t="s">
        <v>10</v>
      </c>
      <c r="C76" s="49" t="s">
        <v>32</v>
      </c>
      <c r="D76" s="15" t="s">
        <v>13</v>
      </c>
      <c r="E76" s="33">
        <v>-1.09666146519081</v>
      </c>
      <c r="F76" s="37">
        <v>9.6325170278041994E-2</v>
      </c>
      <c r="G76" s="37">
        <v>-0.104465818010229</v>
      </c>
      <c r="H76" s="38">
        <f>0.200429142075597*100</f>
        <v>20.042914207559701</v>
      </c>
      <c r="I76" s="38">
        <f>-0.149203472339982*100</f>
        <v>-14.9203472339982</v>
      </c>
      <c r="J76" s="38">
        <f t="shared" ref="J76:J78" si="7">J75+I76</f>
        <v>-58.058515478385104</v>
      </c>
    </row>
    <row r="77" spans="1:15" x14ac:dyDescent="0.35">
      <c r="A77" s="204"/>
      <c r="B77" s="3" t="s">
        <v>15</v>
      </c>
      <c r="C77" t="s">
        <v>9</v>
      </c>
      <c r="D77" s="15" t="s">
        <v>14</v>
      </c>
      <c r="E77" s="33">
        <v>0.25127400921972698</v>
      </c>
      <c r="F77" s="37">
        <v>8.0141656761666E-2</v>
      </c>
      <c r="G77" s="37">
        <v>1.70946271632E-2</v>
      </c>
      <c r="H77" s="38">
        <f>0.118932039114738*100</f>
        <v>11.893203911473799</v>
      </c>
      <c r="I77" s="38">
        <f>0.0226206104316806*100</f>
        <v>2.2620610431680599</v>
      </c>
      <c r="J77" s="38">
        <f t="shared" si="7"/>
        <v>-55.796454435217044</v>
      </c>
    </row>
    <row r="78" spans="1:15" ht="15" thickBot="1" x14ac:dyDescent="0.4">
      <c r="A78" s="204"/>
      <c r="B78" s="3" t="s">
        <v>49</v>
      </c>
      <c r="C78" t="s">
        <v>9</v>
      </c>
      <c r="D78" s="16" t="s">
        <v>11</v>
      </c>
      <c r="E78" s="33">
        <v>1.43361638167039</v>
      </c>
      <c r="F78" s="37">
        <v>8.4912009458371004E-2</v>
      </c>
      <c r="G78" s="37">
        <v>0.125360084821381</v>
      </c>
      <c r="H78" s="38">
        <f>0.137536300685311*100</f>
        <v>13.7536300685311</v>
      </c>
      <c r="I78" s="38">
        <f>0.182290277151165*100</f>
        <v>18.229027715116501</v>
      </c>
      <c r="J78" s="38">
        <f t="shared" si="7"/>
        <v>-37.567426720100542</v>
      </c>
    </row>
    <row r="79" spans="1:15" ht="15" thickBot="1" x14ac:dyDescent="0.4">
      <c r="A79" s="204"/>
      <c r="B79" s="3" t="s">
        <v>64</v>
      </c>
      <c r="C79" t="s">
        <v>65</v>
      </c>
      <c r="D79" s="52" t="s">
        <v>54</v>
      </c>
      <c r="E79" s="4">
        <f>AVERAGE(E74:E78)</f>
        <v>-0.36694384343434805</v>
      </c>
      <c r="F79" s="4">
        <f>AVERAGE(F74:F78)</f>
        <v>0.1043674171981382</v>
      </c>
      <c r="G79" s="4">
        <f>AVERAGE(G74:G78)</f>
        <v>-5.3833324786901005E-2</v>
      </c>
      <c r="H79" s="4">
        <f>AVERAGE(H74:H78)</f>
        <v>18.780085904263181</v>
      </c>
      <c r="I79" s="4">
        <f>AVERAGE(I74:I78)</f>
        <v>-7.5134853440201086</v>
      </c>
      <c r="J79" s="64"/>
      <c r="K79"/>
    </row>
    <row r="80" spans="1:15" ht="15" thickBot="1" x14ac:dyDescent="0.4">
      <c r="A80" s="205"/>
      <c r="B80" s="3" t="s">
        <v>8</v>
      </c>
      <c r="C80" s="53" t="s">
        <v>267</v>
      </c>
      <c r="D80" s="200" t="s">
        <v>61</v>
      </c>
      <c r="E80" s="201"/>
      <c r="F80" s="201"/>
      <c r="G80" s="201"/>
      <c r="H80" s="201"/>
      <c r="I80" s="202"/>
      <c r="J80" s="63">
        <f>((AVERAGE(E74:E78))/STDEVP(E74:E78))</f>
        <v>-0.33069729651070606</v>
      </c>
      <c r="K80" s="20"/>
      <c r="L80" s="20"/>
      <c r="M80" s="20"/>
      <c r="N80" s="20"/>
      <c r="O80" s="21"/>
    </row>
    <row r="81" spans="1:15" x14ac:dyDescent="0.35">
      <c r="A81" s="206" t="s">
        <v>50</v>
      </c>
      <c r="B81" s="6" t="s">
        <v>0</v>
      </c>
      <c r="C81" s="5" t="s">
        <v>52</v>
      </c>
      <c r="D81" s="14" t="s">
        <v>4</v>
      </c>
      <c r="E81" s="46">
        <v>1.3046063105441901</v>
      </c>
      <c r="F81" s="35">
        <v>7.5368078333404004E-2</v>
      </c>
      <c r="G81" s="35">
        <v>0.100197446965389</v>
      </c>
      <c r="H81" s="36">
        <f>0.0919444055045987*100</f>
        <v>9.1944405504598699</v>
      </c>
      <c r="I81" s="36">
        <f>0.176516465825088*100</f>
        <v>17.6516465825088</v>
      </c>
      <c r="J81" s="36">
        <f>I81</f>
        <v>17.6516465825088</v>
      </c>
      <c r="K81" s="17"/>
      <c r="L81" s="5"/>
      <c r="M81" s="5"/>
      <c r="N81" s="5"/>
      <c r="O81" s="18"/>
    </row>
    <row r="82" spans="1:15" x14ac:dyDescent="0.35">
      <c r="A82" s="207"/>
      <c r="B82" s="3" t="s">
        <v>2</v>
      </c>
      <c r="C82" s="49" t="s">
        <v>73</v>
      </c>
      <c r="D82" s="15" t="s">
        <v>12</v>
      </c>
      <c r="E82" s="22">
        <v>1.1079653972741199</v>
      </c>
      <c r="F82" s="37">
        <v>2.9228055215663001E-2</v>
      </c>
      <c r="G82" s="37">
        <v>3.2472473539233999E-2</v>
      </c>
      <c r="H82" s="38">
        <f>0.0514378039169669*100</f>
        <v>5.1437803916966907</v>
      </c>
      <c r="I82" s="38">
        <f>0.056609755158244*100</f>
        <v>5.6609755158243997</v>
      </c>
      <c r="J82" s="38">
        <f>J81+I82</f>
        <v>23.3126220983332</v>
      </c>
    </row>
    <row r="83" spans="1:15" x14ac:dyDescent="0.35">
      <c r="A83" s="207"/>
      <c r="B83" s="3" t="s">
        <v>67</v>
      </c>
      <c r="C83" s="51" t="s">
        <v>66</v>
      </c>
      <c r="D83" s="15" t="s">
        <v>13</v>
      </c>
      <c r="E83" s="33">
        <v>-0.63296341799060596</v>
      </c>
      <c r="F83" s="37">
        <v>0.12706449485077001</v>
      </c>
      <c r="G83" s="37">
        <v>-8.4681734961346997E-2</v>
      </c>
      <c r="H83" s="38">
        <f>0.238413898636158*100</f>
        <v>23.841389863615799</v>
      </c>
      <c r="I83" s="38">
        <f>-0.151585775187434*100</f>
        <v>-15.1585775187434</v>
      </c>
      <c r="J83" s="38">
        <f t="shared" ref="J83:J85" si="8">J82+I83</f>
        <v>8.1540445795898009</v>
      </c>
    </row>
    <row r="84" spans="1:15" x14ac:dyDescent="0.35">
      <c r="A84" s="207"/>
      <c r="B84" s="198" t="s">
        <v>49</v>
      </c>
      <c r="C84" s="199" t="s">
        <v>84</v>
      </c>
      <c r="D84" s="15" t="s">
        <v>14</v>
      </c>
      <c r="E84" s="55">
        <v>2.05899460369695</v>
      </c>
      <c r="F84" s="37">
        <v>6.3972553256931006E-2</v>
      </c>
      <c r="G84" s="37">
        <v>0.13843406021195501</v>
      </c>
      <c r="H84" s="38">
        <f>0.050703032621022*100</f>
        <v>5.0703032621022004</v>
      </c>
      <c r="I84" s="38">
        <f>0.249817606319413*100</f>
        <v>24.981760631941299</v>
      </c>
      <c r="J84" s="38">
        <f t="shared" si="8"/>
        <v>33.1358052115311</v>
      </c>
    </row>
    <row r="85" spans="1:15" ht="15" thickBot="1" x14ac:dyDescent="0.4">
      <c r="A85" s="207"/>
      <c r="B85" s="198"/>
      <c r="C85" s="199"/>
      <c r="D85" s="16" t="s">
        <v>11</v>
      </c>
      <c r="E85" s="33">
        <v>0.52735509624756005</v>
      </c>
      <c r="F85" s="37">
        <v>0.13531373273803299</v>
      </c>
      <c r="G85" s="37">
        <v>6.4237557614876997E-2</v>
      </c>
      <c r="H85" s="38">
        <f>100*0.144199607473798</f>
        <v>14.4199607473798</v>
      </c>
      <c r="I85" s="38">
        <f>0.101506918022144*100</f>
        <v>10.1506918022144</v>
      </c>
      <c r="J85" s="50">
        <f t="shared" si="8"/>
        <v>43.286497013745503</v>
      </c>
    </row>
    <row r="86" spans="1:15" ht="15" thickBot="1" x14ac:dyDescent="0.4">
      <c r="A86" s="207"/>
      <c r="B86" s="3" t="s">
        <v>64</v>
      </c>
      <c r="C86" t="s">
        <v>81</v>
      </c>
      <c r="D86" s="52" t="s">
        <v>54</v>
      </c>
      <c r="E86" s="54">
        <f>AVERAGE(E81:E85)</f>
        <v>0.8731915979544429</v>
      </c>
      <c r="F86" s="4">
        <f>AVERAGE(F81:F85)</f>
        <v>8.6189382878960205E-2</v>
      </c>
      <c r="G86" s="4">
        <f>AVERAGE(G81:G85)</f>
        <v>5.0131960674021606E-2</v>
      </c>
      <c r="H86" s="4">
        <f>AVERAGE(H81:H85)</f>
        <v>11.533974963050872</v>
      </c>
      <c r="I86" s="4">
        <f>AVERAGE(I81:I85)</f>
        <v>8.6572994027490999</v>
      </c>
      <c r="J86" s="64"/>
      <c r="K86"/>
    </row>
    <row r="87" spans="1:15" ht="15" thickBot="1" x14ac:dyDescent="0.4">
      <c r="A87" s="208"/>
      <c r="B87" s="3" t="s">
        <v>8</v>
      </c>
      <c r="C87" s="53" t="s">
        <v>71</v>
      </c>
      <c r="D87" s="200" t="s">
        <v>46</v>
      </c>
      <c r="E87" s="201"/>
      <c r="F87" s="201"/>
      <c r="G87" s="201"/>
      <c r="H87" s="201"/>
      <c r="I87" s="202"/>
      <c r="J87" s="63">
        <f>((AVERAGE(E81:E85))/STDEVP(E81:E85))</f>
        <v>0.97195773969593557</v>
      </c>
      <c r="K87" s="20"/>
      <c r="L87" s="20"/>
      <c r="M87" s="20"/>
      <c r="N87" s="20"/>
      <c r="O87" s="21"/>
    </row>
    <row r="88" spans="1:15" x14ac:dyDescent="0.35">
      <c r="A88" s="206" t="s">
        <v>55</v>
      </c>
      <c r="B88" s="6" t="s">
        <v>0</v>
      </c>
      <c r="C88" s="5" t="s">
        <v>53</v>
      </c>
      <c r="D88" s="14" t="s">
        <v>4</v>
      </c>
      <c r="E88" s="46">
        <v>-0.60134125902205404</v>
      </c>
      <c r="F88" s="35">
        <v>7.0300139658269006E-2</v>
      </c>
      <c r="G88" s="35">
        <v>-4.3747511084049E-2</v>
      </c>
      <c r="H88" s="36">
        <f>0.116455202693695*100</f>
        <v>11.6455202693695</v>
      </c>
      <c r="I88" s="36">
        <f>-0.07911275670425*100</f>
        <v>-7.9112756704249998</v>
      </c>
      <c r="J88" s="36">
        <f>I88</f>
        <v>-7.9112756704249998</v>
      </c>
      <c r="K88" s="17"/>
      <c r="L88" s="5"/>
      <c r="M88" s="5"/>
      <c r="N88" s="5"/>
      <c r="O88" s="18"/>
    </row>
    <row r="89" spans="1:15" x14ac:dyDescent="0.35">
      <c r="A89" s="207"/>
      <c r="B89" s="3" t="s">
        <v>2</v>
      </c>
      <c r="C89" s="49" t="s">
        <v>73</v>
      </c>
      <c r="D89" s="15" t="s">
        <v>12</v>
      </c>
      <c r="E89" s="33">
        <v>1.3805964267620201</v>
      </c>
      <c r="F89" s="37">
        <v>3.4602342066555998E-2</v>
      </c>
      <c r="G89" s="37">
        <v>4.8301186966160002E-2</v>
      </c>
      <c r="H89" s="38">
        <f>0.0536184872278622*100</f>
        <v>5.3618487227862204</v>
      </c>
      <c r="I89" s="38">
        <f>0.0860917888847527*100</f>
        <v>8.6091788884752702</v>
      </c>
      <c r="J89" s="38">
        <f>J88+I89</f>
        <v>0.69790321805027045</v>
      </c>
    </row>
    <row r="90" spans="1:15" x14ac:dyDescent="0.35">
      <c r="A90" s="207"/>
      <c r="B90" s="3" t="s">
        <v>67</v>
      </c>
      <c r="C90" s="51" t="s">
        <v>66</v>
      </c>
      <c r="D90" s="15" t="s">
        <v>13</v>
      </c>
      <c r="E90" s="33">
        <v>-0.24705923351918499</v>
      </c>
      <c r="F90" s="37">
        <v>0.110638159142085</v>
      </c>
      <c r="G90" s="37">
        <v>-3.2909520793979997E-2</v>
      </c>
      <c r="H90" s="38">
        <f>0.249623983689014*100</f>
        <v>24.9623983689014</v>
      </c>
      <c r="I90" s="38">
        <f>-0.0653379202538371*100</f>
        <v>-6.5337920253837094</v>
      </c>
      <c r="J90" s="38">
        <f t="shared" ref="J90:J92" si="9">J89+I90</f>
        <v>-5.835888807333439</v>
      </c>
    </row>
    <row r="91" spans="1:15" x14ac:dyDescent="0.35">
      <c r="A91" s="207"/>
      <c r="B91" s="198" t="s">
        <v>49</v>
      </c>
      <c r="C91" s="199" t="s">
        <v>83</v>
      </c>
      <c r="D91" s="15" t="s">
        <v>14</v>
      </c>
      <c r="E91" s="33">
        <v>1.05523081523674</v>
      </c>
      <c r="F91" s="37">
        <v>5.7398192740835997E-2</v>
      </c>
      <c r="G91" s="37">
        <v>6.0694773831666E-2</v>
      </c>
      <c r="H91" s="38">
        <v>0.106821089375087</v>
      </c>
      <c r="I91" s="38">
        <f>0.107337904428586*100</f>
        <v>10.7337904428586</v>
      </c>
      <c r="J91" s="38">
        <f t="shared" si="9"/>
        <v>4.8979016355251614</v>
      </c>
    </row>
    <row r="92" spans="1:15" ht="15" thickBot="1" x14ac:dyDescent="0.4">
      <c r="A92" s="207"/>
      <c r="B92" s="198"/>
      <c r="C92" s="199"/>
      <c r="D92" s="16" t="s">
        <v>11</v>
      </c>
      <c r="E92" s="33">
        <v>0.52255200357820197</v>
      </c>
      <c r="F92" s="37">
        <v>0.15124986656876499</v>
      </c>
      <c r="G92" s="37">
        <v>7.0027122854037005E-2</v>
      </c>
      <c r="H92" s="38">
        <f>0.220200181090572*100</f>
        <v>22.020018109057197</v>
      </c>
      <c r="I92" s="38">
        <f>0.109981511647657*100</f>
        <v>10.9981511647657</v>
      </c>
      <c r="J92" s="38">
        <f t="shared" si="9"/>
        <v>15.89605280029086</v>
      </c>
    </row>
    <row r="93" spans="1:15" ht="15" thickBot="1" x14ac:dyDescent="0.4">
      <c r="A93" s="207"/>
      <c r="B93" s="3" t="s">
        <v>64</v>
      </c>
      <c r="C93" t="s">
        <v>65</v>
      </c>
      <c r="D93" s="52" t="s">
        <v>54</v>
      </c>
      <c r="E93" s="4">
        <f>AVERAGE(E88:E92)</f>
        <v>0.42199575060714462</v>
      </c>
      <c r="F93" s="4">
        <f>AVERAGE(F88:F92)</f>
        <v>8.48377400353022E-2</v>
      </c>
      <c r="G93" s="4">
        <f>AVERAGE(G88:G92)</f>
        <v>2.0473210354766801E-2</v>
      </c>
      <c r="H93" s="4">
        <f>AVERAGE(H88:H92)</f>
        <v>12.81932131189788</v>
      </c>
      <c r="I93" s="4">
        <f>AVERAGE(I88:I92)</f>
        <v>3.1792105600581722</v>
      </c>
      <c r="J93" s="64"/>
      <c r="K93"/>
    </row>
    <row r="94" spans="1:15" ht="15" thickBot="1" x14ac:dyDescent="0.4">
      <c r="A94" s="208"/>
      <c r="B94" s="3" t="s">
        <v>8</v>
      </c>
      <c r="C94" s="53" t="s">
        <v>72</v>
      </c>
      <c r="D94" s="200" t="s">
        <v>46</v>
      </c>
      <c r="E94" s="201"/>
      <c r="F94" s="201"/>
      <c r="G94" s="201"/>
      <c r="H94" s="201"/>
      <c r="I94" s="202"/>
      <c r="J94" s="63">
        <f>((AVERAGE(E88:E92))/STDEVP(E88:E92))</f>
        <v>0.56142804432991145</v>
      </c>
      <c r="K94" s="20"/>
      <c r="L94" s="20"/>
      <c r="M94" s="20"/>
      <c r="N94" s="20"/>
      <c r="O94" s="21"/>
    </row>
    <row r="95" spans="1:15" x14ac:dyDescent="0.35">
      <c r="A95" s="206" t="s">
        <v>60</v>
      </c>
      <c r="B95" s="6" t="s">
        <v>0</v>
      </c>
      <c r="C95" s="5" t="s">
        <v>59</v>
      </c>
      <c r="D95" s="14" t="s">
        <v>4</v>
      </c>
      <c r="E95" s="7">
        <v>1.6487740930253001</v>
      </c>
      <c r="F95" s="35">
        <v>0.12313785256747201</v>
      </c>
      <c r="G95" s="35">
        <v>0.21586048668785801</v>
      </c>
      <c r="H95" s="36">
        <f>-0.0702208494552356*100</f>
        <v>-7.0220849455235603</v>
      </c>
      <c r="I95" s="36">
        <f>0.225569500511854*100</f>
        <v>22.5569500511854</v>
      </c>
      <c r="J95" s="36">
        <f>I95</f>
        <v>22.5569500511854</v>
      </c>
      <c r="K95" s="17"/>
      <c r="L95" s="5"/>
      <c r="M95" s="5"/>
      <c r="N95" s="5"/>
      <c r="O95" s="18"/>
    </row>
    <row r="96" spans="1:15" x14ac:dyDescent="0.35">
      <c r="A96" s="207"/>
      <c r="B96" s="3" t="s">
        <v>2</v>
      </c>
      <c r="C96" s="49" t="s">
        <v>73</v>
      </c>
      <c r="D96" s="15" t="s">
        <v>12</v>
      </c>
      <c r="E96" s="33">
        <v>1.5831509906835</v>
      </c>
      <c r="F96" s="37">
        <v>3.7107389877549003E-2</v>
      </c>
      <c r="G96" s="37">
        <v>5.9772068306626999E-2</v>
      </c>
      <c r="H96" s="38">
        <f>0.0168361925808645*100</f>
        <v>1.68361925808645</v>
      </c>
      <c r="I96" s="38">
        <f>0.0623508899490312*100</f>
        <v>6.2350889949031201</v>
      </c>
      <c r="J96" s="38">
        <f>J95+I96</f>
        <v>28.792039046088519</v>
      </c>
    </row>
    <row r="97" spans="1:15" x14ac:dyDescent="0.35">
      <c r="A97" s="207"/>
      <c r="B97" s="3" t="s">
        <v>67</v>
      </c>
      <c r="C97" s="51" t="s">
        <v>66</v>
      </c>
      <c r="D97" s="15" t="s">
        <v>13</v>
      </c>
      <c r="E97" s="33">
        <v>-1.28938504216794</v>
      </c>
      <c r="F97" s="37">
        <v>0.170046256387126</v>
      </c>
      <c r="G97" s="37">
        <v>-0.20849073594562401</v>
      </c>
      <c r="H97" s="65">
        <f>0.303211583883689*100</f>
        <v>30.3211583883689</v>
      </c>
      <c r="I97" s="38">
        <f>-0.216803825795347*100</f>
        <v>-21.680382579534697</v>
      </c>
      <c r="J97" s="38">
        <f t="shared" ref="J97:J99" si="10">J96+I97</f>
        <v>7.1116564665538213</v>
      </c>
    </row>
    <row r="98" spans="1:15" x14ac:dyDescent="0.35">
      <c r="A98" s="207"/>
      <c r="B98" s="198" t="s">
        <v>49</v>
      </c>
      <c r="C98" s="199" t="s">
        <v>84</v>
      </c>
      <c r="D98" s="15" t="s">
        <v>14</v>
      </c>
      <c r="E98" s="33">
        <v>0.106493813729856</v>
      </c>
      <c r="F98" s="37">
        <v>8.5989398718067003E-2</v>
      </c>
      <c r="G98" s="37">
        <v>5.485348016904E-3</v>
      </c>
      <c r="H98" s="38">
        <f>0.127344197800547*100</f>
        <v>12.734419780054701</v>
      </c>
      <c r="I98" s="38">
        <f>0.00555448678185843*100</f>
        <v>0.55544867818584309</v>
      </c>
      <c r="J98" s="38">
        <f t="shared" si="10"/>
        <v>7.6671051447396641</v>
      </c>
    </row>
    <row r="99" spans="1:15" ht="15" thickBot="1" x14ac:dyDescent="0.4">
      <c r="A99" s="207"/>
      <c r="B99" s="198"/>
      <c r="C99" s="199"/>
      <c r="D99" s="16" t="s">
        <v>11</v>
      </c>
      <c r="E99" s="33">
        <v>0.33379447461138001</v>
      </c>
      <c r="F99" s="37">
        <v>0.30321790387811898</v>
      </c>
      <c r="G99" s="37">
        <v>5.6953636053298999E-2</v>
      </c>
      <c r="H99" s="65">
        <f>0.327278416918016*100</f>
        <v>32.727841691801601</v>
      </c>
      <c r="I99" s="38">
        <f>0.0572899213586315*100</f>
        <v>5.7289921358631499</v>
      </c>
      <c r="J99" s="38">
        <f t="shared" si="10"/>
        <v>13.396097280602813</v>
      </c>
    </row>
    <row r="100" spans="1:15" ht="15" thickBot="1" x14ac:dyDescent="0.4">
      <c r="A100" s="207"/>
      <c r="B100" s="3" t="s">
        <v>64</v>
      </c>
      <c r="C100" t="s">
        <v>65</v>
      </c>
      <c r="D100" s="52" t="s">
        <v>54</v>
      </c>
      <c r="E100" s="4">
        <f>AVERAGE(E95:E99)</f>
        <v>0.47656566597641925</v>
      </c>
      <c r="F100" s="4">
        <f>AVERAGE(F95:F99)</f>
        <v>0.14389976028566659</v>
      </c>
      <c r="G100" s="4">
        <f>AVERAGE(G95:G99)</f>
        <v>2.5916160623812808E-2</v>
      </c>
      <c r="H100" s="4">
        <f>AVERAGE(H95:H99)</f>
        <v>14.088990834557617</v>
      </c>
      <c r="I100" s="4">
        <f>AVERAGE(I95:I99)</f>
        <v>2.6792194561205624</v>
      </c>
      <c r="J100" s="64"/>
      <c r="K100"/>
    </row>
    <row r="101" spans="1:15" ht="15" thickBot="1" x14ac:dyDescent="0.4">
      <c r="A101" s="208"/>
      <c r="B101" s="3" t="s">
        <v>8</v>
      </c>
      <c r="C101" s="53" t="s">
        <v>109</v>
      </c>
      <c r="D101" s="200" t="s">
        <v>51</v>
      </c>
      <c r="E101" s="201"/>
      <c r="F101" s="201"/>
      <c r="G101" s="201"/>
      <c r="H101" s="201"/>
      <c r="I101" s="202"/>
      <c r="J101" s="63">
        <f>((AVERAGE(E95:E99))/STDEVP(E95:E99))</f>
        <v>0.4396645719930477</v>
      </c>
      <c r="K101" s="20"/>
      <c r="L101" s="20"/>
      <c r="M101" s="20"/>
      <c r="N101" s="20"/>
      <c r="O101" s="21"/>
    </row>
    <row r="102" spans="1:15" x14ac:dyDescent="0.35">
      <c r="A102" s="206" t="s">
        <v>62</v>
      </c>
      <c r="B102" s="6" t="s">
        <v>0</v>
      </c>
      <c r="C102" s="5" t="s">
        <v>58</v>
      </c>
      <c r="D102" s="14" t="s">
        <v>4</v>
      </c>
      <c r="E102" s="46">
        <v>0.942079850077156</v>
      </c>
      <c r="F102" s="46">
        <v>0.107502380971917</v>
      </c>
      <c r="G102" s="35">
        <v>0.100258279830869</v>
      </c>
      <c r="H102" s="36">
        <f>100*0.0600030194604363</f>
        <v>6.0003019460436295</v>
      </c>
      <c r="I102" s="36">
        <f>100*0.107874028623443</f>
        <v>10.787402862344301</v>
      </c>
      <c r="J102" s="36">
        <f>I102</f>
        <v>10.787402862344301</v>
      </c>
      <c r="K102" s="17"/>
      <c r="L102" s="5"/>
      <c r="M102" s="5"/>
      <c r="N102" s="5"/>
      <c r="O102" s="18"/>
    </row>
    <row r="103" spans="1:15" x14ac:dyDescent="0.35">
      <c r="A103" s="207"/>
      <c r="B103" s="3" t="s">
        <v>2</v>
      </c>
      <c r="C103" s="49" t="s">
        <v>73</v>
      </c>
      <c r="D103" s="15" t="s">
        <v>12</v>
      </c>
      <c r="E103" s="33">
        <v>0.53272539465379698</v>
      </c>
      <c r="F103" s="37">
        <v>6.3211412111712995E-2</v>
      </c>
      <c r="G103" s="37">
        <v>3.2186403367844001E-2</v>
      </c>
      <c r="H103" s="38">
        <f>100*0.0456663262222419</f>
        <v>4.5666326222241898</v>
      </c>
      <c r="I103" s="38">
        <f>100*0.032292298703344</f>
        <v>3.2292298703343998</v>
      </c>
      <c r="J103" s="38">
        <f>J102+I103</f>
        <v>14.016632732678701</v>
      </c>
    </row>
    <row r="104" spans="1:15" x14ac:dyDescent="0.35">
      <c r="A104" s="207"/>
      <c r="B104" s="3" t="s">
        <v>67</v>
      </c>
      <c r="C104" s="51" t="s">
        <v>66</v>
      </c>
      <c r="D104" s="15" t="s">
        <v>13</v>
      </c>
      <c r="E104" s="33">
        <v>-0.51603756577569104</v>
      </c>
      <c r="F104" s="37">
        <v>0.169131102959515</v>
      </c>
      <c r="G104" s="37">
        <v>-9.6610252709176003E-2</v>
      </c>
      <c r="H104" s="38">
        <f>100*0.207599269752329</f>
        <v>20.759926975232901</v>
      </c>
      <c r="I104" s="38">
        <f>100*-0.0969725922659885</f>
        <v>-9.6972592265988506</v>
      </c>
      <c r="J104" s="38">
        <f t="shared" ref="J104:J106" si="11">J103+I104</f>
        <v>4.3193735060798506</v>
      </c>
    </row>
    <row r="105" spans="1:15" x14ac:dyDescent="0.35">
      <c r="A105" s="207"/>
      <c r="B105" s="198" t="s">
        <v>49</v>
      </c>
      <c r="C105" s="199" t="s">
        <v>82</v>
      </c>
      <c r="D105" s="15" t="s">
        <v>14</v>
      </c>
      <c r="E105" s="33">
        <v>0.69942731604944097</v>
      </c>
      <c r="F105" s="37">
        <v>0.102196278091959</v>
      </c>
      <c r="G105" s="37">
        <v>6.8531061226162995E-2</v>
      </c>
      <c r="H105" s="38">
        <f>100*0.0804754120229115</f>
        <v>8.0475412022911499</v>
      </c>
      <c r="I105" s="38">
        <f>100*0.0687567536238464</f>
        <v>6.8756753623846398</v>
      </c>
      <c r="J105" s="38">
        <f t="shared" si="11"/>
        <v>11.19504886846449</v>
      </c>
    </row>
    <row r="106" spans="1:15" ht="15" thickBot="1" x14ac:dyDescent="0.4">
      <c r="A106" s="207"/>
      <c r="B106" s="198"/>
      <c r="C106" s="199"/>
      <c r="D106" s="16" t="s">
        <v>11</v>
      </c>
      <c r="E106" s="33">
        <v>0.107948519161169</v>
      </c>
      <c r="F106" s="37">
        <v>0.30537492553039097</v>
      </c>
      <c r="G106" s="37">
        <v>-1.4024839359274E-2</v>
      </c>
      <c r="H106" s="65">
        <f>100*0.356671893492117</f>
        <v>35.667189349211696</v>
      </c>
      <c r="I106" s="38">
        <f>100*-0.0142366488690087</f>
        <v>-1.4236648869008699</v>
      </c>
      <c r="J106" s="38">
        <f t="shared" si="11"/>
        <v>9.7713839815636199</v>
      </c>
    </row>
    <row r="107" spans="1:15" ht="15" thickBot="1" x14ac:dyDescent="0.4">
      <c r="A107" s="207"/>
      <c r="B107" s="3" t="s">
        <v>64</v>
      </c>
      <c r="C107" t="s">
        <v>65</v>
      </c>
      <c r="D107" s="52" t="s">
        <v>54</v>
      </c>
      <c r="E107" s="4">
        <f>AVERAGE(E102:E106)</f>
        <v>0.35322870283317442</v>
      </c>
      <c r="F107" s="4">
        <f>AVERAGE(F102:F106)</f>
        <v>0.14948321993309902</v>
      </c>
      <c r="G107" s="4">
        <f>AVERAGE(G102:G106)</f>
        <v>1.80681304712852E-2</v>
      </c>
      <c r="H107" s="4">
        <f>AVERAGE(H102:H106)</f>
        <v>15.008318419000712</v>
      </c>
      <c r="I107" s="4">
        <f>AVERAGE(I102:I106)</f>
        <v>1.9542767963127239</v>
      </c>
      <c r="J107" s="64"/>
      <c r="K107"/>
    </row>
    <row r="108" spans="1:15" ht="15" thickBot="1" x14ac:dyDescent="0.4">
      <c r="A108" s="208"/>
      <c r="B108" s="3" t="s">
        <v>8</v>
      </c>
      <c r="C108" s="53" t="s">
        <v>109</v>
      </c>
      <c r="D108" s="200" t="s">
        <v>96</v>
      </c>
      <c r="E108" s="201"/>
      <c r="F108" s="201"/>
      <c r="G108" s="201"/>
      <c r="H108" s="201"/>
      <c r="I108" s="202"/>
      <c r="J108" s="63">
        <f>((AVERAGE(E102:E106))/STDEVP(E102:E106))</f>
        <v>0.68887978851703724</v>
      </c>
      <c r="K108" s="20"/>
      <c r="L108" s="20"/>
      <c r="M108" s="20"/>
      <c r="N108" s="20"/>
      <c r="O108" s="21"/>
    </row>
    <row r="109" spans="1:15" x14ac:dyDescent="0.35">
      <c r="A109" s="206" t="s">
        <v>86</v>
      </c>
      <c r="B109" s="6" t="s">
        <v>0</v>
      </c>
      <c r="C109" s="5" t="s">
        <v>63</v>
      </c>
      <c r="D109" s="14" t="s">
        <v>4</v>
      </c>
      <c r="E109" s="46">
        <v>0.615186066998472</v>
      </c>
      <c r="F109" s="46">
        <v>8.6637526927335007E-2</v>
      </c>
      <c r="G109" s="35">
        <v>5.0842583395591001E-2</v>
      </c>
      <c r="H109" s="36">
        <f>0.0456880677386367*100</f>
        <v>4.5688067738636695</v>
      </c>
      <c r="I109" s="36">
        <f>0.053542327103383*100</f>
        <v>5.3542327103382998</v>
      </c>
      <c r="J109" s="36">
        <f>I109</f>
        <v>5.3542327103382998</v>
      </c>
      <c r="K109" s="17"/>
      <c r="L109" s="5"/>
      <c r="M109" s="5"/>
      <c r="N109" s="5"/>
      <c r="O109" s="18"/>
    </row>
    <row r="110" spans="1:15" x14ac:dyDescent="0.35">
      <c r="A110" s="207"/>
      <c r="B110" s="3" t="s">
        <v>2</v>
      </c>
      <c r="C110" s="49" t="s">
        <v>73</v>
      </c>
      <c r="D110" s="15" t="s">
        <v>12</v>
      </c>
      <c r="E110" s="33">
        <v>1.48799357359117</v>
      </c>
      <c r="F110" s="37">
        <v>6.0714613011818998E-2</v>
      </c>
      <c r="G110" s="37">
        <v>9.2523479943573003E-2</v>
      </c>
      <c r="H110" s="38">
        <f>0.0420444220967425*100</f>
        <v>4.2044422096742498</v>
      </c>
      <c r="I110" s="38">
        <f>0.0978419686496676*100</f>
        <v>9.7841968649667592</v>
      </c>
      <c r="J110" s="38">
        <f>J109+I110</f>
        <v>15.138429575305059</v>
      </c>
    </row>
    <row r="111" spans="1:15" x14ac:dyDescent="0.35">
      <c r="A111" s="207"/>
      <c r="B111" s="3" t="s">
        <v>67</v>
      </c>
      <c r="C111" s="51" t="s">
        <v>66</v>
      </c>
      <c r="D111" s="15" t="s">
        <v>13</v>
      </c>
      <c r="E111" s="33">
        <v>-0.30938864291933799</v>
      </c>
      <c r="F111" s="37">
        <v>0.12045144542975</v>
      </c>
      <c r="G111" s="37">
        <v>-4.3511209111741E-2</v>
      </c>
      <c r="H111" s="38">
        <f>0.143415916459651*100</f>
        <v>14.341591645965099</v>
      </c>
      <c r="I111" s="38">
        <f>-0.0463039893730939*100</f>
        <v>-4.6303989373093897</v>
      </c>
      <c r="J111" s="38">
        <f t="shared" ref="J111:J113" si="12">J110+I111</f>
        <v>10.50803063799567</v>
      </c>
    </row>
    <row r="112" spans="1:15" x14ac:dyDescent="0.35">
      <c r="A112" s="207"/>
      <c r="B112" s="198" t="s">
        <v>49</v>
      </c>
      <c r="C112" s="199" t="s">
        <v>84</v>
      </c>
      <c r="D112" s="15" t="s">
        <v>14</v>
      </c>
      <c r="E112" s="33">
        <v>0.63196308949555602</v>
      </c>
      <c r="F112" s="37">
        <v>0.110686348753925</v>
      </c>
      <c r="G112" s="37">
        <v>6.5901729725246994E-2</v>
      </c>
      <c r="H112" s="38">
        <f>0.123248212943167*100</f>
        <v>12.324821294316699</v>
      </c>
      <c r="I112" s="38">
        <f>0.0693365868858992*100</f>
        <v>6.9336586885899205</v>
      </c>
      <c r="J112" s="38">
        <f t="shared" si="12"/>
        <v>17.441689326585589</v>
      </c>
    </row>
    <row r="113" spans="1:17" ht="15" thickBot="1" x14ac:dyDescent="0.4">
      <c r="A113" s="207"/>
      <c r="B113" s="198"/>
      <c r="C113" s="199"/>
      <c r="D113" s="16" t="s">
        <v>11</v>
      </c>
      <c r="E113" s="33">
        <v>0.37204903251988802</v>
      </c>
      <c r="F113" s="37">
        <v>0.33165615694530898</v>
      </c>
      <c r="G113" s="37">
        <v>7.0626040763791004E-2</v>
      </c>
      <c r="H113" s="38">
        <f>0.312670065530399*100</f>
        <v>31.267006553039899</v>
      </c>
      <c r="I113" s="38">
        <f>0.0711945050432907*100</f>
        <v>7.1194505043290697</v>
      </c>
      <c r="J113" s="50">
        <f t="shared" si="12"/>
        <v>24.561139830914659</v>
      </c>
    </row>
    <row r="114" spans="1:17" ht="15" thickBot="1" x14ac:dyDescent="0.4">
      <c r="A114" s="207"/>
      <c r="B114" s="3" t="s">
        <v>64</v>
      </c>
      <c r="C114" t="s">
        <v>65</v>
      </c>
      <c r="D114" s="52" t="s">
        <v>54</v>
      </c>
      <c r="E114" s="4">
        <f>AVERAGE(E109:E113)</f>
        <v>0.55956062393714967</v>
      </c>
      <c r="F114" s="4">
        <f>AVERAGE(F109:F113)</f>
        <v>0.14202921821362763</v>
      </c>
      <c r="G114" s="4">
        <f>AVERAGE(G109:G113)</f>
        <v>4.7276524943292202E-2</v>
      </c>
      <c r="H114" s="4">
        <f>AVERAGE(H109:H113)</f>
        <v>13.341333695371924</v>
      </c>
      <c r="I114" s="4">
        <f>AVERAGE(I109:I113)</f>
        <v>4.9122279661829316</v>
      </c>
      <c r="J114" s="64"/>
      <c r="K114"/>
    </row>
    <row r="115" spans="1:17" ht="15" thickBot="1" x14ac:dyDescent="0.4">
      <c r="A115" s="208"/>
      <c r="B115" s="8" t="s">
        <v>8</v>
      </c>
      <c r="C115" s="48" t="s">
        <v>102</v>
      </c>
      <c r="D115" s="200" t="s">
        <v>99</v>
      </c>
      <c r="E115" s="201"/>
      <c r="F115" s="201"/>
      <c r="G115" s="201"/>
      <c r="H115" s="201"/>
      <c r="I115" s="202"/>
      <c r="J115" s="63">
        <f>((AVERAGE(E109:E113))/STDEVP(E109:E113))</f>
        <v>0.97096861454848626</v>
      </c>
      <c r="K115" s="20"/>
      <c r="L115" s="20"/>
      <c r="M115" s="20"/>
      <c r="N115" s="20"/>
      <c r="O115" s="21"/>
    </row>
    <row r="116" spans="1:17" x14ac:dyDescent="0.35">
      <c r="A116" s="195" t="s">
        <v>90</v>
      </c>
      <c r="B116" s="6" t="s">
        <v>0</v>
      </c>
      <c r="C116" s="5" t="s">
        <v>89</v>
      </c>
      <c r="D116" s="14" t="s">
        <v>4</v>
      </c>
      <c r="E116" s="46">
        <v>-2.10654104400985</v>
      </c>
      <c r="F116" s="46">
        <v>8.2000095211655993E-2</v>
      </c>
      <c r="G116" s="35">
        <v>-0.16151916712744499</v>
      </c>
      <c r="H116" s="36">
        <f>0.28386946908614*100</f>
        <v>28.386946908614004</v>
      </c>
      <c r="I116" s="47">
        <f>-0.273622266036107*100</f>
        <v>-27.362226603610701</v>
      </c>
      <c r="J116" s="36">
        <f>I116</f>
        <v>-27.362226603610701</v>
      </c>
      <c r="K116" s="17"/>
      <c r="L116" s="5"/>
      <c r="M116" s="5"/>
      <c r="N116" s="5"/>
      <c r="O116" s="18"/>
    </row>
    <row r="117" spans="1:17" x14ac:dyDescent="0.35">
      <c r="A117" s="196"/>
      <c r="B117" s="3" t="s">
        <v>2</v>
      </c>
      <c r="C117" s="49" t="s">
        <v>73</v>
      </c>
      <c r="D117" s="15" t="s">
        <v>12</v>
      </c>
      <c r="E117" s="33">
        <v>1.86842487719566</v>
      </c>
      <c r="F117" s="37">
        <v>2.3799685263445999E-2</v>
      </c>
      <c r="G117" s="37">
        <v>4.5172865811261002E-2</v>
      </c>
      <c r="H117" s="38">
        <f>0.0220191973494273*100</f>
        <v>2.20191973494273</v>
      </c>
      <c r="I117" s="38">
        <f>0.0817237239610584*100</f>
        <v>8.172372396105839</v>
      </c>
      <c r="J117" s="38">
        <f>J116+I117</f>
        <v>-19.189854207504862</v>
      </c>
    </row>
    <row r="118" spans="1:17" x14ac:dyDescent="0.35">
      <c r="A118" s="196"/>
      <c r="B118" s="3" t="s">
        <v>67</v>
      </c>
      <c r="C118" s="51" t="s">
        <v>66</v>
      </c>
      <c r="D118" s="15" t="s">
        <v>13</v>
      </c>
      <c r="E118" s="33">
        <v>-0.79569343361368094</v>
      </c>
      <c r="F118" s="37">
        <v>9.5373640568599996E-2</v>
      </c>
      <c r="G118" s="37">
        <v>-7.7302799394243005E-2</v>
      </c>
      <c r="H118" s="38">
        <f>0.22396456340442*100</f>
        <v>22.396456340442001</v>
      </c>
      <c r="I118" s="38">
        <f>-0.139519637293123*100</f>
        <v>-13.9519637293123</v>
      </c>
      <c r="J118" s="38">
        <f t="shared" ref="J118:J120" si="13">J117+I118</f>
        <v>-33.141817936817162</v>
      </c>
    </row>
    <row r="119" spans="1:17" x14ac:dyDescent="0.35">
      <c r="A119" s="196"/>
      <c r="B119" s="198" t="s">
        <v>49</v>
      </c>
      <c r="C119" s="199" t="s">
        <v>85</v>
      </c>
      <c r="D119" s="15" t="s">
        <v>14</v>
      </c>
      <c r="E119" s="33">
        <v>1.9109332699613999</v>
      </c>
      <c r="F119" s="37">
        <v>5.5741042427972003E-2</v>
      </c>
      <c r="G119" s="37">
        <v>0.11065395061362999</v>
      </c>
      <c r="H119" s="38">
        <f>0.0594672174415868*100</f>
        <v>5.9467217441586797</v>
      </c>
      <c r="I119" s="38">
        <f>0.203637443515039*100</f>
        <v>20.3637443515039</v>
      </c>
      <c r="J119" s="38">
        <f t="shared" si="13"/>
        <v>-12.778073585313262</v>
      </c>
    </row>
    <row r="120" spans="1:17" ht="15" thickBot="1" x14ac:dyDescent="0.4">
      <c r="A120" s="196"/>
      <c r="B120" s="198"/>
      <c r="C120" s="199"/>
      <c r="D120" s="16" t="s">
        <v>11</v>
      </c>
      <c r="E120" s="33">
        <v>0.61698714721048398</v>
      </c>
      <c r="F120" s="37">
        <v>0.162768488764446</v>
      </c>
      <c r="G120" s="37">
        <v>9.1132931185224003E-2</v>
      </c>
      <c r="H120" s="38">
        <f>0.160183877352144*100</f>
        <v>16.0183877352144</v>
      </c>
      <c r="I120" s="38">
        <f>0.147080772548224*100</f>
        <v>14.708077254822399</v>
      </c>
      <c r="J120" s="45">
        <f t="shared" si="13"/>
        <v>1.9300036695091372</v>
      </c>
    </row>
    <row r="121" spans="1:17" ht="15" thickBot="1" x14ac:dyDescent="0.4">
      <c r="A121" s="196"/>
      <c r="B121" s="3" t="s">
        <v>64</v>
      </c>
      <c r="C121" t="s">
        <v>65</v>
      </c>
      <c r="D121" s="52" t="s">
        <v>54</v>
      </c>
      <c r="E121" s="4">
        <f>AVERAGE(E116:E120)</f>
        <v>0.29882216334880257</v>
      </c>
      <c r="F121" s="4">
        <f>AVERAGE(F116:F120)</f>
        <v>8.3936590447223999E-2</v>
      </c>
      <c r="G121" s="4">
        <f>AVERAGE(G116:G120)</f>
        <v>1.6275562176854025E-3</v>
      </c>
      <c r="H121" s="4">
        <f>AVERAGE(H116:H120)</f>
        <v>14.990086492674362</v>
      </c>
      <c r="I121" s="4">
        <f>AVERAGE(I116:I120)</f>
        <v>0.38600073390182743</v>
      </c>
      <c r="J121" s="64"/>
      <c r="K121"/>
    </row>
    <row r="122" spans="1:17" ht="15" thickBot="1" x14ac:dyDescent="0.4">
      <c r="A122" s="197"/>
      <c r="B122" s="8" t="s">
        <v>8</v>
      </c>
      <c r="C122" s="53" t="s">
        <v>72</v>
      </c>
      <c r="D122" s="200" t="s">
        <v>97</v>
      </c>
      <c r="E122" s="201"/>
      <c r="F122" s="201"/>
      <c r="G122" s="201"/>
      <c r="H122" s="201"/>
      <c r="I122" s="202"/>
      <c r="J122" s="63">
        <f>((AVERAGE(E116:E120))/STDEVP(E116:E120))</f>
        <v>0.19171407082842687</v>
      </c>
      <c r="K122" s="20"/>
      <c r="L122" s="20"/>
      <c r="M122" s="20"/>
      <c r="N122" s="20"/>
      <c r="O122" s="21"/>
    </row>
    <row r="123" spans="1:17" x14ac:dyDescent="0.35">
      <c r="A123" s="195" t="s">
        <v>92</v>
      </c>
      <c r="B123" s="6" t="s">
        <v>0</v>
      </c>
      <c r="C123" s="5" t="s">
        <v>91</v>
      </c>
      <c r="D123" s="14" t="s">
        <v>4</v>
      </c>
      <c r="E123" s="46">
        <v>-0.183743773216406</v>
      </c>
      <c r="F123" s="46">
        <v>5.6315820568995999E-2</v>
      </c>
      <c r="G123" s="35">
        <v>-1.1858839838747E-2</v>
      </c>
      <c r="H123" s="36">
        <f>0.101629192867562*100</f>
        <v>10.1629192867562</v>
      </c>
      <c r="I123" s="47">
        <f>-0.0252948527919822*100</f>
        <v>-2.5294852791982203</v>
      </c>
      <c r="J123" s="36">
        <f>I123</f>
        <v>-2.5294852791982203</v>
      </c>
      <c r="K123" s="17"/>
      <c r="L123" s="5"/>
      <c r="M123" s="5"/>
      <c r="N123" s="5"/>
      <c r="O123" s="18"/>
      <c r="Q123" s="34">
        <v>-0.419894519851718</v>
      </c>
    </row>
    <row r="124" spans="1:17" x14ac:dyDescent="0.35">
      <c r="A124" s="196"/>
      <c r="B124" s="3" t="s">
        <v>2</v>
      </c>
      <c r="C124" s="49" t="s">
        <v>73</v>
      </c>
      <c r="D124" s="15" t="s">
        <v>12</v>
      </c>
      <c r="E124" s="22">
        <v>0.58293380039882903</v>
      </c>
      <c r="F124" s="37">
        <v>3.2315480968553002E-2</v>
      </c>
      <c r="G124" s="37">
        <v>1.8486202241653E-2</v>
      </c>
      <c r="H124" s="38">
        <f>0.0623928091987129*100</f>
        <v>6.2392809198712902</v>
      </c>
      <c r="I124" s="38">
        <f>0.0347520435047181*100</f>
        <v>3.4752043504718095</v>
      </c>
      <c r="J124" s="38">
        <f>J123+I124</f>
        <v>0.94571907127358923</v>
      </c>
      <c r="Q124" s="33">
        <v>-0.96287142197297004</v>
      </c>
    </row>
    <row r="125" spans="1:17" x14ac:dyDescent="0.35">
      <c r="A125" s="196"/>
      <c r="B125" s="3" t="s">
        <v>67</v>
      </c>
      <c r="C125" s="51" t="s">
        <v>66</v>
      </c>
      <c r="D125" s="15" t="s">
        <v>13</v>
      </c>
      <c r="E125" s="33">
        <v>-0.12557260382163901</v>
      </c>
      <c r="F125" s="37">
        <v>9.2990996406563997E-2</v>
      </c>
      <c r="G125" s="37">
        <v>-1.5842136969423E-2</v>
      </c>
      <c r="H125" s="38">
        <f>0.12402104252372*100</f>
        <v>12.402104252372</v>
      </c>
      <c r="I125" s="38">
        <f>-0.0373309267602238*100</f>
        <v>-3.7330926760223799</v>
      </c>
      <c r="J125" s="38">
        <f t="shared" ref="J125:J127" si="14">J124+I125</f>
        <v>-2.7873736047487907</v>
      </c>
      <c r="Q125" s="33">
        <v>-0.98068333740778701</v>
      </c>
    </row>
    <row r="126" spans="1:17" x14ac:dyDescent="0.35">
      <c r="A126" s="196"/>
      <c r="B126" s="198" t="s">
        <v>49</v>
      </c>
      <c r="C126" s="199" t="s">
        <v>111</v>
      </c>
      <c r="D126" s="15" t="s">
        <v>14</v>
      </c>
      <c r="E126" s="22">
        <v>1.2507718263755601</v>
      </c>
      <c r="F126" s="37">
        <v>8.7931690796278994E-2</v>
      </c>
      <c r="G126" s="37">
        <v>0.11193374958336801</v>
      </c>
      <c r="H126" s="38">
        <f>0.101135022984286*100</f>
        <v>10.1135022984286</v>
      </c>
      <c r="I126" s="38">
        <f>0.216921048008893*100</f>
        <v>21.6921048008893</v>
      </c>
      <c r="J126" s="38">
        <f t="shared" si="14"/>
        <v>18.90473119614051</v>
      </c>
      <c r="Q126" s="33">
        <v>7.8365109230458002E-2</v>
      </c>
    </row>
    <row r="127" spans="1:17" ht="15" thickBot="1" x14ac:dyDescent="0.4">
      <c r="A127" s="196"/>
      <c r="B127" s="198"/>
      <c r="C127" s="199"/>
      <c r="D127" s="16" t="s">
        <v>11</v>
      </c>
      <c r="E127" s="22">
        <v>1.2958767120602299</v>
      </c>
      <c r="F127" s="37">
        <v>0.122159100865405</v>
      </c>
      <c r="G127" s="37">
        <v>0.16272802692962199</v>
      </c>
      <c r="H127" s="38">
        <f>0.151017080689432*100</f>
        <v>15.101708068943202</v>
      </c>
      <c r="I127" s="38">
        <f>0.316893404717963*100</f>
        <v>31.689340471796299</v>
      </c>
      <c r="J127" s="50">
        <f t="shared" si="14"/>
        <v>50.594071667936809</v>
      </c>
      <c r="Q127" s="33">
        <v>0.70661947536510805</v>
      </c>
    </row>
    <row r="128" spans="1:17" ht="15" thickBot="1" x14ac:dyDescent="0.4">
      <c r="A128" s="196"/>
      <c r="B128" s="3" t="s">
        <v>64</v>
      </c>
      <c r="C128" t="s">
        <v>65</v>
      </c>
      <c r="D128" s="52" t="s">
        <v>54</v>
      </c>
      <c r="E128" s="62">
        <f>AVERAGE(E123:E127)</f>
        <v>0.56405319235931484</v>
      </c>
      <c r="F128" s="4">
        <f>AVERAGE(F123:F127)</f>
        <v>7.8342617921159402E-2</v>
      </c>
      <c r="G128" s="4">
        <f>AVERAGE(G123:G127)</f>
        <v>5.3089400389294591E-2</v>
      </c>
      <c r="H128" s="62">
        <f>AVERAGE(H123:H127)</f>
        <v>10.803902965274258</v>
      </c>
      <c r="I128" s="62">
        <f>AVERAGE(I123:I127)</f>
        <v>10.118814333587363</v>
      </c>
      <c r="J128" s="64"/>
      <c r="K128"/>
      <c r="Q128" s="4">
        <f>AVERAGE(Q123:Q127)</f>
        <v>-0.31569293892738182</v>
      </c>
    </row>
    <row r="129" spans="1:15" ht="15" thickBot="1" x14ac:dyDescent="0.4">
      <c r="A129" s="197"/>
      <c r="B129" s="8" t="s">
        <v>8</v>
      </c>
      <c r="C129" s="53" t="s">
        <v>72</v>
      </c>
      <c r="D129" s="200" t="s">
        <v>98</v>
      </c>
      <c r="E129" s="201"/>
      <c r="F129" s="201"/>
      <c r="G129" s="201"/>
      <c r="H129" s="201"/>
      <c r="I129" s="202"/>
      <c r="J129" s="63">
        <f>((AVERAGE(E123:E127))/STDEVP(E123:E127))</f>
        <v>0.8825645930337106</v>
      </c>
      <c r="K129" s="20"/>
      <c r="L129" s="20"/>
      <c r="M129" s="20"/>
      <c r="N129" s="20"/>
      <c r="O129" s="21"/>
    </row>
    <row r="130" spans="1:15" x14ac:dyDescent="0.35">
      <c r="A130" s="206" t="s">
        <v>100</v>
      </c>
      <c r="B130" s="6" t="s">
        <v>0</v>
      </c>
      <c r="C130" s="5" t="s">
        <v>101</v>
      </c>
      <c r="D130" s="14" t="s">
        <v>4</v>
      </c>
      <c r="E130" s="46">
        <v>1.08016821041124</v>
      </c>
      <c r="F130" s="46">
        <v>0.13447568151898301</v>
      </c>
      <c r="G130" s="35">
        <v>0.14598066851009001</v>
      </c>
      <c r="H130" s="36">
        <f>0.0898741516800382*100</f>
        <v>8.987415168003821</v>
      </c>
      <c r="I130" s="36">
        <f>0.13607633236466*100</f>
        <v>13.607633236465999</v>
      </c>
      <c r="J130" s="36">
        <f>I130</f>
        <v>13.607633236465999</v>
      </c>
      <c r="K130" s="17"/>
      <c r="L130" s="5"/>
      <c r="M130" s="5"/>
      <c r="N130" s="5"/>
      <c r="O130" s="18"/>
    </row>
    <row r="131" spans="1:15" x14ac:dyDescent="0.35">
      <c r="A131" s="207"/>
      <c r="B131" s="3" t="s">
        <v>2</v>
      </c>
      <c r="C131" s="49" t="s">
        <v>73</v>
      </c>
      <c r="D131" s="15" t="s">
        <v>12</v>
      </c>
      <c r="E131" s="33">
        <v>1.1860493119302</v>
      </c>
      <c r="F131" s="37">
        <v>4.2993163361283997E-2</v>
      </c>
      <c r="G131" s="37">
        <v>5.1340787020678E-2</v>
      </c>
      <c r="H131" s="38">
        <f>0.0195466980662462*100</f>
        <v>1.95466980662462</v>
      </c>
      <c r="I131" s="38">
        <f>0.0478364340047154*100</f>
        <v>4.78364340047154</v>
      </c>
      <c r="J131" s="38">
        <f>J130+I131</f>
        <v>18.39127663693754</v>
      </c>
    </row>
    <row r="132" spans="1:15" x14ac:dyDescent="0.35">
      <c r="A132" s="207"/>
      <c r="B132" s="3" t="s">
        <v>67</v>
      </c>
      <c r="C132" s="51" t="s">
        <v>66</v>
      </c>
      <c r="D132" s="15" t="s">
        <v>13</v>
      </c>
      <c r="E132" s="33">
        <v>-0.65115512740932302</v>
      </c>
      <c r="F132" s="37">
        <v>0.170838130722964</v>
      </c>
      <c r="G132" s="37">
        <v>-0.118267902358135</v>
      </c>
      <c r="H132" s="38">
        <f>0.213841274965724*100</f>
        <v>21.3841274965724</v>
      </c>
      <c r="I132" s="38">
        <f>-0.109878110030031*100</f>
        <v>-10.987811003003101</v>
      </c>
      <c r="J132" s="38">
        <f t="shared" ref="J132:J134" si="15">J131+I132</f>
        <v>7.4034656339344398</v>
      </c>
    </row>
    <row r="133" spans="1:15" x14ac:dyDescent="0.35">
      <c r="A133" s="207"/>
      <c r="B133" s="198" t="s">
        <v>49</v>
      </c>
      <c r="C133" s="199" t="s">
        <v>111</v>
      </c>
      <c r="D133" s="15" t="s">
        <v>14</v>
      </c>
      <c r="E133" s="33">
        <v>1.4006217953380899</v>
      </c>
      <c r="F133" s="37">
        <v>0.12613054971533999</v>
      </c>
      <c r="G133" s="37">
        <v>0.183725339341271</v>
      </c>
      <c r="H133" s="38">
        <f>0.0831125645346547*100</f>
        <v>8.3112564534654698</v>
      </c>
      <c r="I133" s="38">
        <f>0.17084728087487*100</f>
        <v>17.084728087487001</v>
      </c>
      <c r="J133" s="38">
        <f t="shared" si="15"/>
        <v>24.488193721421439</v>
      </c>
    </row>
    <row r="134" spans="1:15" ht="15" thickBot="1" x14ac:dyDescent="0.4">
      <c r="A134" s="207"/>
      <c r="B134" s="198"/>
      <c r="C134" s="199"/>
      <c r="D134" s="16" t="s">
        <v>11</v>
      </c>
      <c r="E134" s="33">
        <v>0.53267281339680095</v>
      </c>
      <c r="F134" s="37">
        <v>0.33015996602439002</v>
      </c>
      <c r="G134" s="37">
        <v>0.12885986900413501</v>
      </c>
      <c r="H134" s="65">
        <f>0.291193956660585*100</f>
        <v>29.119395666058502</v>
      </c>
      <c r="I134" s="38">
        <f>0.123519570010148*100</f>
        <v>12.351957001014799</v>
      </c>
      <c r="J134" s="50">
        <f t="shared" si="15"/>
        <v>36.840150722436235</v>
      </c>
    </row>
    <row r="135" spans="1:15" ht="15" thickBot="1" x14ac:dyDescent="0.4">
      <c r="A135" s="207"/>
      <c r="B135" s="3" t="s">
        <v>64</v>
      </c>
      <c r="C135" t="s">
        <v>65</v>
      </c>
      <c r="D135" s="52" t="s">
        <v>54</v>
      </c>
      <c r="E135" s="54">
        <f>AVERAGE(E130:E134)</f>
        <v>0.70967140073340151</v>
      </c>
      <c r="F135" s="4">
        <f>AVERAGE(F130:F134)</f>
        <v>0.1609194982685922</v>
      </c>
      <c r="G135" s="4">
        <f>AVERAGE(G130:G134)</f>
        <v>7.8327752303607806E-2</v>
      </c>
      <c r="H135" s="4">
        <f>AVERAGE(H130:H134)</f>
        <v>13.95137291814496</v>
      </c>
      <c r="I135" s="4">
        <f>AVERAGE(I130:I134)</f>
        <v>7.3680301444872471</v>
      </c>
      <c r="J135" s="64"/>
      <c r="K135"/>
    </row>
    <row r="136" spans="1:15" ht="15" thickBot="1" x14ac:dyDescent="0.4">
      <c r="A136" s="208"/>
      <c r="B136" s="8" t="s">
        <v>8</v>
      </c>
      <c r="C136" s="48" t="s">
        <v>103</v>
      </c>
      <c r="D136" s="200" t="s">
        <v>107</v>
      </c>
      <c r="E136" s="201"/>
      <c r="F136" s="201"/>
      <c r="G136" s="201"/>
      <c r="H136" s="201"/>
      <c r="I136" s="202"/>
      <c r="J136" s="63">
        <f>((AVERAGE(E130:E134))/STDEVP(E130:E134))</f>
        <v>0.96133665446918326</v>
      </c>
      <c r="K136" s="20"/>
      <c r="L136" s="20"/>
      <c r="M136" s="20"/>
      <c r="N136" s="20"/>
      <c r="O136" s="21"/>
    </row>
    <row r="137" spans="1:15" x14ac:dyDescent="0.35">
      <c r="A137" s="206" t="s">
        <v>106</v>
      </c>
      <c r="B137" s="6" t="s">
        <v>0</v>
      </c>
      <c r="C137" s="5" t="s">
        <v>104</v>
      </c>
      <c r="D137" s="14" t="s">
        <v>4</v>
      </c>
      <c r="E137" s="46">
        <v>0.12688868669911499</v>
      </c>
      <c r="F137" s="46">
        <v>0.125338986812075</v>
      </c>
      <c r="G137" s="35">
        <v>8.090620235291E-3</v>
      </c>
      <c r="H137" s="36">
        <f>0.132177897308399*100</f>
        <v>13.217789730839899</v>
      </c>
      <c r="I137" s="36">
        <f>0.00797259886217838*100</f>
        <v>0.79725988621783794</v>
      </c>
      <c r="J137" s="36">
        <f>I137</f>
        <v>0.79725988621783794</v>
      </c>
      <c r="K137" s="17"/>
      <c r="L137" s="5"/>
      <c r="M137" s="5"/>
      <c r="N137" s="5"/>
      <c r="O137" s="18"/>
    </row>
    <row r="138" spans="1:15" x14ac:dyDescent="0.35">
      <c r="A138" s="207"/>
      <c r="B138" s="3" t="s">
        <v>2</v>
      </c>
      <c r="C138" s="49" t="s">
        <v>73</v>
      </c>
      <c r="D138" s="15" t="s">
        <v>12</v>
      </c>
      <c r="E138" s="33">
        <v>2.58064216004365</v>
      </c>
      <c r="F138" s="37">
        <v>4.8912092228805E-2</v>
      </c>
      <c r="G138" s="37">
        <v>0.133150818355248</v>
      </c>
      <c r="H138" s="38">
        <f>0.0187132253542184*100</f>
        <v>1.8713225354218401</v>
      </c>
      <c r="I138" s="38">
        <f>0.152116822173526*100</f>
        <v>15.211682217352601</v>
      </c>
      <c r="J138" s="38">
        <f>J137+I138</f>
        <v>16.00894210357044</v>
      </c>
    </row>
    <row r="139" spans="1:15" x14ac:dyDescent="0.35">
      <c r="A139" s="207"/>
      <c r="B139" s="3" t="s">
        <v>67</v>
      </c>
      <c r="C139" s="51" t="s">
        <v>66</v>
      </c>
      <c r="D139" s="15" t="s">
        <v>13</v>
      </c>
      <c r="E139" s="33">
        <v>-0.47600032310944901</v>
      </c>
      <c r="F139" s="37">
        <v>0.16664358058801801</v>
      </c>
      <c r="G139" s="37">
        <v>-8.9001286038986993E-2</v>
      </c>
      <c r="H139" s="38">
        <f>0.242258484132867*100</f>
        <v>24.225848413286698</v>
      </c>
      <c r="I139" s="38">
        <f>-0.102242740334399*100</f>
        <v>-10.224274033439899</v>
      </c>
      <c r="J139" s="38">
        <f t="shared" ref="J139:J141" si="16">J138+I139</f>
        <v>5.7846680701305413</v>
      </c>
    </row>
    <row r="140" spans="1:15" x14ac:dyDescent="0.35">
      <c r="A140" s="207"/>
      <c r="B140" s="198" t="s">
        <v>49</v>
      </c>
      <c r="C140" s="199" t="s">
        <v>85</v>
      </c>
      <c r="D140" s="15" t="s">
        <v>14</v>
      </c>
      <c r="E140" s="33">
        <v>-0.82076225973053396</v>
      </c>
      <c r="F140" s="37">
        <v>9.7261239130071994E-2</v>
      </c>
      <c r="G140" s="37">
        <v>-8.1079513683206997E-2</v>
      </c>
      <c r="H140" s="38">
        <f>0.116604337694291*100</f>
        <v>11.660433769429099</v>
      </c>
      <c r="I140" s="38">
        <f>-0.0921083965083497*100</f>
        <v>-9.2108396508349699</v>
      </c>
      <c r="J140" s="38">
        <f t="shared" si="16"/>
        <v>-3.4261715807044286</v>
      </c>
    </row>
    <row r="141" spans="1:15" ht="15" thickBot="1" x14ac:dyDescent="0.4">
      <c r="A141" s="207"/>
      <c r="B141" s="198"/>
      <c r="C141" s="199"/>
      <c r="D141" s="16" t="s">
        <v>11</v>
      </c>
      <c r="E141" s="33">
        <v>-0.14578568183768201</v>
      </c>
      <c r="F141" s="37">
        <v>0.223057913789111</v>
      </c>
      <c r="G141" s="37">
        <v>-5.5740499881762003E-2</v>
      </c>
      <c r="H141" s="38">
        <f>0.19759752184762*100</f>
        <v>19.759752184762</v>
      </c>
      <c r="I141" s="38">
        <f>-0.0665353976602849*100</f>
        <v>-6.6535397660284907</v>
      </c>
      <c r="J141" s="50">
        <f t="shared" si="16"/>
        <v>-10.079711346732919</v>
      </c>
    </row>
    <row r="142" spans="1:15" ht="15" thickBot="1" x14ac:dyDescent="0.4">
      <c r="A142" s="207"/>
      <c r="B142" s="3" t="s">
        <v>64</v>
      </c>
      <c r="C142" t="s">
        <v>65</v>
      </c>
      <c r="D142" s="52" t="s">
        <v>54</v>
      </c>
      <c r="E142" s="4">
        <f>AVERAGE(E137:E141)</f>
        <v>0.25299651641302001</v>
      </c>
      <c r="F142" s="4">
        <f>AVERAGE(F137:F141)</f>
        <v>0.1322427625096162</v>
      </c>
      <c r="G142" s="4">
        <f>AVERAGE(G137:G141)</f>
        <v>-1.6915972202683399E-2</v>
      </c>
      <c r="H142" s="4">
        <f>AVERAGE(H137:H141)</f>
        <v>14.147029326747907</v>
      </c>
      <c r="I142" s="4">
        <f>AVERAGE(I137:I141)</f>
        <v>-2.015942269346584</v>
      </c>
      <c r="J142" s="64"/>
      <c r="K142"/>
    </row>
    <row r="143" spans="1:15" ht="15" thickBot="1" x14ac:dyDescent="0.4">
      <c r="A143" s="208"/>
      <c r="B143" s="8" t="s">
        <v>8</v>
      </c>
      <c r="C143" s="48" t="s">
        <v>105</v>
      </c>
      <c r="D143" s="200" t="s">
        <v>108</v>
      </c>
      <c r="E143" s="201"/>
      <c r="F143" s="201"/>
      <c r="G143" s="201"/>
      <c r="H143" s="201"/>
      <c r="I143" s="202"/>
      <c r="J143" s="63">
        <f>((AVERAGE(E137:E141))/STDEVP(E137:E141))</f>
        <v>0.2097083042258151</v>
      </c>
      <c r="K143" s="20"/>
      <c r="L143" s="20"/>
      <c r="M143" s="20"/>
      <c r="N143" s="20"/>
      <c r="O143" s="21"/>
    </row>
    <row r="144" spans="1:15" x14ac:dyDescent="0.35">
      <c r="B144" s="1"/>
      <c r="D144"/>
      <c r="E144" s="1"/>
      <c r="F144" s="1"/>
      <c r="G144" s="1"/>
      <c r="H144" s="1"/>
      <c r="I144" s="1"/>
      <c r="J144" s="1"/>
      <c r="K144"/>
      <c r="O144"/>
    </row>
    <row r="145" spans="2:15" x14ac:dyDescent="0.35">
      <c r="B145" s="1"/>
      <c r="D145"/>
      <c r="E145" s="1"/>
      <c r="F145" s="1"/>
      <c r="G145" s="1"/>
      <c r="H145" s="1"/>
      <c r="I145" s="1"/>
      <c r="J145" s="1"/>
      <c r="K145"/>
      <c r="O145"/>
    </row>
    <row r="146" spans="2:15" x14ac:dyDescent="0.35">
      <c r="B146" s="1"/>
      <c r="D146"/>
      <c r="E146" s="1"/>
      <c r="F146" s="1"/>
      <c r="G146" s="1"/>
      <c r="H146" s="1"/>
      <c r="I146" s="1"/>
      <c r="J146" s="1"/>
      <c r="K146"/>
      <c r="O146"/>
    </row>
    <row r="147" spans="2:15" x14ac:dyDescent="0.35">
      <c r="B147" s="1"/>
      <c r="D147"/>
      <c r="E147" s="1"/>
      <c r="F147" s="1"/>
      <c r="G147" s="1"/>
      <c r="H147" s="1"/>
      <c r="I147" s="1"/>
      <c r="J147" s="1"/>
      <c r="K147"/>
      <c r="O147"/>
    </row>
    <row r="148" spans="2:15" x14ac:dyDescent="0.35">
      <c r="B148" s="1"/>
      <c r="D148"/>
      <c r="E148" s="1"/>
      <c r="F148" s="1"/>
      <c r="G148" s="1"/>
      <c r="H148" s="1"/>
      <c r="I148" s="1"/>
      <c r="J148" s="1"/>
      <c r="K148"/>
      <c r="O148"/>
    </row>
    <row r="149" spans="2:15" x14ac:dyDescent="0.35">
      <c r="B149" s="1"/>
      <c r="D149"/>
      <c r="E149" s="1"/>
      <c r="F149" s="1"/>
      <c r="G149" s="1"/>
      <c r="H149" s="1"/>
      <c r="I149" s="1"/>
      <c r="J149" s="1"/>
      <c r="K149"/>
      <c r="O149"/>
    </row>
    <row r="150" spans="2:15" x14ac:dyDescent="0.35">
      <c r="B150" s="1"/>
      <c r="D150"/>
      <c r="E150" s="1"/>
      <c r="F150" s="1"/>
      <c r="G150" s="1"/>
      <c r="H150" s="1"/>
      <c r="I150" s="1"/>
      <c r="J150" s="1"/>
      <c r="K150"/>
      <c r="O150"/>
    </row>
    <row r="151" spans="2:15" x14ac:dyDescent="0.35">
      <c r="B151" s="1"/>
      <c r="D151"/>
      <c r="E151" s="1"/>
      <c r="F151" s="1"/>
      <c r="G151" s="1"/>
      <c r="H151" s="1"/>
      <c r="I151" s="1"/>
      <c r="J151" s="1"/>
      <c r="K151"/>
      <c r="O151"/>
    </row>
    <row r="152" spans="2:15" x14ac:dyDescent="0.35">
      <c r="B152" s="1"/>
      <c r="D152"/>
      <c r="E152" s="1"/>
      <c r="F152" s="1"/>
      <c r="G152" s="1"/>
      <c r="H152" s="1"/>
      <c r="I152" s="1"/>
      <c r="J152" s="1"/>
      <c r="K152"/>
      <c r="O152"/>
    </row>
    <row r="153" spans="2:15" x14ac:dyDescent="0.35">
      <c r="B153" s="1"/>
      <c r="D153"/>
      <c r="E153" s="1"/>
      <c r="F153" s="1"/>
      <c r="G153" s="1"/>
      <c r="H153" s="1"/>
      <c r="I153" s="1"/>
      <c r="J153" s="1"/>
      <c r="K153"/>
      <c r="O153"/>
    </row>
    <row r="154" spans="2:15" x14ac:dyDescent="0.35">
      <c r="B154" s="1"/>
      <c r="D154"/>
      <c r="E154" s="1"/>
      <c r="F154" s="1"/>
      <c r="G154" s="1"/>
      <c r="H154" s="1"/>
      <c r="I154" s="1"/>
      <c r="J154" s="1"/>
      <c r="K154"/>
      <c r="O154"/>
    </row>
    <row r="155" spans="2:15" x14ac:dyDescent="0.35">
      <c r="B155" s="1"/>
      <c r="D155"/>
      <c r="E155" s="1"/>
      <c r="F155" s="1"/>
      <c r="G155" s="1"/>
      <c r="H155" s="1"/>
      <c r="I155" s="1"/>
      <c r="J155" s="1"/>
      <c r="K155"/>
      <c r="O155"/>
    </row>
    <row r="156" spans="2:15" x14ac:dyDescent="0.35">
      <c r="B156" s="1"/>
      <c r="D156"/>
      <c r="E156" s="1"/>
      <c r="F156" s="1"/>
      <c r="G156" s="1"/>
      <c r="H156" s="1"/>
      <c r="I156" s="1"/>
      <c r="J156" s="1"/>
      <c r="K156"/>
      <c r="O156"/>
    </row>
    <row r="157" spans="2:15" x14ac:dyDescent="0.35">
      <c r="B157" s="1"/>
      <c r="D157"/>
      <c r="E157" s="1"/>
      <c r="F157" s="1"/>
      <c r="G157" s="1"/>
      <c r="H157" s="1"/>
      <c r="I157" s="1"/>
      <c r="J157" s="1"/>
      <c r="K157"/>
      <c r="O157"/>
    </row>
    <row r="158" spans="2:15" x14ac:dyDescent="0.35">
      <c r="B158" s="1"/>
      <c r="D158"/>
      <c r="E158" s="1"/>
      <c r="F158" s="1"/>
      <c r="G158" s="1"/>
      <c r="H158" s="1"/>
      <c r="I158" s="1"/>
      <c r="J158" s="1"/>
      <c r="K158"/>
      <c r="O158"/>
    </row>
    <row r="159" spans="2:15" x14ac:dyDescent="0.35">
      <c r="B159" s="1"/>
      <c r="D159"/>
      <c r="E159" s="1"/>
      <c r="F159" s="1"/>
      <c r="G159" s="1"/>
      <c r="H159" s="1"/>
      <c r="I159" s="1"/>
      <c r="J159" s="1"/>
      <c r="K159"/>
      <c r="O159"/>
    </row>
    <row r="160" spans="2:15" x14ac:dyDescent="0.35">
      <c r="B160" s="1"/>
      <c r="D160"/>
      <c r="E160" s="1"/>
      <c r="F160" s="1"/>
      <c r="G160" s="1"/>
      <c r="H160" s="1"/>
      <c r="I160" s="1"/>
      <c r="J160" s="1"/>
      <c r="K160"/>
      <c r="O160"/>
    </row>
    <row r="161" spans="2:15" x14ac:dyDescent="0.35">
      <c r="B161" s="1"/>
      <c r="D161"/>
      <c r="E161" s="1"/>
      <c r="F161" s="1"/>
      <c r="G161" s="1"/>
      <c r="H161" s="1"/>
      <c r="I161" s="1"/>
      <c r="J161" s="1"/>
      <c r="K161"/>
      <c r="O161"/>
    </row>
    <row r="162" spans="2:15" x14ac:dyDescent="0.35">
      <c r="B162" s="1"/>
      <c r="D162"/>
      <c r="E162" s="1"/>
      <c r="F162" s="1"/>
      <c r="G162" s="1"/>
      <c r="H162" s="1"/>
      <c r="I162" s="1"/>
      <c r="J162" s="1"/>
      <c r="K162"/>
      <c r="O162"/>
    </row>
    <row r="163" spans="2:15" x14ac:dyDescent="0.35">
      <c r="B163" s="1"/>
      <c r="D163"/>
      <c r="E163" s="1"/>
      <c r="F163" s="1"/>
      <c r="G163" s="1"/>
      <c r="H163" s="1"/>
      <c r="I163" s="1"/>
      <c r="J163" s="1"/>
      <c r="K163"/>
      <c r="O163"/>
    </row>
    <row r="164" spans="2:15" x14ac:dyDescent="0.35">
      <c r="B164" s="1"/>
      <c r="D164"/>
      <c r="E164" s="1"/>
      <c r="F164" s="1"/>
      <c r="G164" s="1"/>
      <c r="H164" s="1"/>
      <c r="I164" s="1"/>
      <c r="J164" s="1"/>
      <c r="K164"/>
      <c r="O164"/>
    </row>
    <row r="165" spans="2:15" x14ac:dyDescent="0.35">
      <c r="B165" s="1"/>
      <c r="D165"/>
      <c r="E165" s="1"/>
      <c r="F165" s="1"/>
      <c r="G165" s="1"/>
      <c r="H165" s="1"/>
      <c r="I165" s="1"/>
      <c r="J165" s="1"/>
      <c r="K165"/>
      <c r="O165"/>
    </row>
    <row r="166" spans="2:15" x14ac:dyDescent="0.35">
      <c r="B166" s="1"/>
      <c r="D166"/>
      <c r="E166" s="1"/>
      <c r="F166" s="1"/>
      <c r="G166" s="1"/>
      <c r="H166" s="1"/>
      <c r="I166" s="1"/>
      <c r="J166" s="1"/>
      <c r="K166"/>
      <c r="O166"/>
    </row>
    <row r="167" spans="2:15" x14ac:dyDescent="0.35">
      <c r="B167" s="1"/>
      <c r="D167"/>
      <c r="E167" s="1"/>
      <c r="F167" s="1"/>
      <c r="G167" s="1"/>
      <c r="H167" s="1"/>
      <c r="I167" s="1"/>
      <c r="J167" s="1"/>
      <c r="K167"/>
      <c r="O167"/>
    </row>
    <row r="168" spans="2:15" ht="14" customHeight="1" x14ac:dyDescent="0.35">
      <c r="B168" s="1"/>
      <c r="D168"/>
      <c r="E168" s="1"/>
      <c r="F168" s="1"/>
      <c r="G168" s="1"/>
      <c r="H168" s="1"/>
      <c r="I168" s="1"/>
      <c r="J168" s="1"/>
      <c r="K168"/>
      <c r="O168"/>
    </row>
    <row r="169" spans="2:15" x14ac:dyDescent="0.35">
      <c r="B169" s="1"/>
      <c r="D169" t="s">
        <v>35</v>
      </c>
      <c r="E169" s="1"/>
      <c r="F169" s="1"/>
      <c r="G169" s="1"/>
      <c r="H169" s="1"/>
      <c r="I169" s="1"/>
      <c r="J169" s="1"/>
      <c r="K169"/>
      <c r="O169"/>
    </row>
    <row r="170" spans="2:15" x14ac:dyDescent="0.35">
      <c r="B170" s="1"/>
      <c r="D170" s="170" t="s">
        <v>4</v>
      </c>
      <c r="E170" s="1">
        <v>0.28435991368598401</v>
      </c>
      <c r="F170" s="1">
        <v>-8.9130819785258997E-2</v>
      </c>
      <c r="G170" s="1">
        <v>0.24470598452106701</v>
      </c>
      <c r="H170" s="1"/>
      <c r="I170" s="1">
        <v>-0.419894519851718</v>
      </c>
      <c r="J170" s="1"/>
      <c r="K170"/>
      <c r="O170"/>
    </row>
    <row r="171" spans="2:15" x14ac:dyDescent="0.35">
      <c r="B171" s="1"/>
      <c r="D171" s="170" t="s">
        <v>12</v>
      </c>
      <c r="E171" s="171">
        <v>1.2643315592428599</v>
      </c>
      <c r="F171" s="171">
        <v>-1.74393035995079</v>
      </c>
      <c r="G171" s="175">
        <v>-0.45158415318947798</v>
      </c>
      <c r="H171" s="175"/>
      <c r="I171" s="171">
        <v>-0.96287142197297004</v>
      </c>
      <c r="J171" s="1"/>
      <c r="K171"/>
      <c r="O171"/>
    </row>
    <row r="172" spans="2:15" x14ac:dyDescent="0.35">
      <c r="B172" s="1"/>
      <c r="D172" s="170" t="s">
        <v>13</v>
      </c>
      <c r="E172" s="175">
        <v>-0.50149635448421503</v>
      </c>
      <c r="F172" s="175">
        <v>-4.1034259692029999E-3</v>
      </c>
      <c r="G172" s="175">
        <v>-0.69049851079265201</v>
      </c>
      <c r="H172" s="175"/>
      <c r="I172" s="175">
        <v>-0.98068333740778701</v>
      </c>
      <c r="J172" s="1"/>
      <c r="K172"/>
      <c r="O172"/>
    </row>
    <row r="173" spans="2:15" x14ac:dyDescent="0.35">
      <c r="B173" s="1"/>
      <c r="D173" s="170" t="s">
        <v>14</v>
      </c>
      <c r="E173" s="1">
        <v>0.83171096731891703</v>
      </c>
      <c r="F173" s="1">
        <v>1.60029441278283</v>
      </c>
      <c r="G173" s="1">
        <v>1.4751687211003299</v>
      </c>
      <c r="H173" s="1"/>
      <c r="I173" s="1">
        <v>7.8365109230458002E-2</v>
      </c>
      <c r="J173" s="1"/>
      <c r="K173"/>
      <c r="O173"/>
    </row>
    <row r="174" spans="2:15" x14ac:dyDescent="0.35">
      <c r="D174" s="16" t="s">
        <v>11</v>
      </c>
      <c r="E174" s="7">
        <v>4.60321166065632E-2</v>
      </c>
      <c r="F174" s="7">
        <v>0.647124470211903</v>
      </c>
      <c r="G174" s="7">
        <v>0.34563310694607602</v>
      </c>
      <c r="H174" s="7"/>
      <c r="I174" s="7">
        <v>0.70661947536510805</v>
      </c>
    </row>
    <row r="176" spans="2:15" ht="15" thickBot="1" x14ac:dyDescent="0.4">
      <c r="D176" s="2" t="s">
        <v>34</v>
      </c>
    </row>
    <row r="177" spans="4:9" x14ac:dyDescent="0.35">
      <c r="D177" s="14" t="s">
        <v>4</v>
      </c>
      <c r="E177" s="9">
        <v>3.9447220018197973</v>
      </c>
      <c r="F177" s="9">
        <v>-2.0410426365919085</v>
      </c>
      <c r="G177" s="9">
        <v>3.3009056579031615</v>
      </c>
      <c r="I177" s="10">
        <v>-7.0375901609087812</v>
      </c>
    </row>
    <row r="178" spans="4:9" x14ac:dyDescent="0.35">
      <c r="D178" s="15" t="s">
        <v>12</v>
      </c>
      <c r="E178" s="10">
        <v>22.956231469803598</v>
      </c>
      <c r="F178" s="10">
        <v>-27.057581930884226</v>
      </c>
      <c r="G178" s="10">
        <v>-3.8943648292617858</v>
      </c>
      <c r="I178" s="10">
        <v>-21.460494096148516</v>
      </c>
    </row>
    <row r="179" spans="4:9" x14ac:dyDescent="0.35">
      <c r="D179" s="15" t="s">
        <v>13</v>
      </c>
      <c r="E179" s="10">
        <v>14.767802371030685</v>
      </c>
      <c r="F179" s="10">
        <v>-28.068091844500053</v>
      </c>
      <c r="G179" s="10">
        <v>-14.708729904949156</v>
      </c>
      <c r="I179" s="10">
        <v>-36.102874995188444</v>
      </c>
    </row>
    <row r="180" spans="4:9" x14ac:dyDescent="0.35">
      <c r="D180" s="15" t="s">
        <v>14</v>
      </c>
      <c r="E180" s="10">
        <v>27.21878888288667</v>
      </c>
      <c r="F180" s="10">
        <v>-3.7231082761143801</v>
      </c>
      <c r="G180" s="10">
        <v>7.5622534691729584</v>
      </c>
      <c r="I180" s="10">
        <v>-35.773791621998107</v>
      </c>
    </row>
    <row r="181" spans="4:9" x14ac:dyDescent="0.35">
      <c r="D181" s="16" t="s">
        <v>11</v>
      </c>
      <c r="E181" s="10">
        <v>27.319117541911179</v>
      </c>
      <c r="F181" s="10">
        <v>5.8144558442851331</v>
      </c>
      <c r="G181" s="10">
        <v>12.236652861214599</v>
      </c>
      <c r="I181" s="10">
        <v>-25.834227947180018</v>
      </c>
    </row>
  </sheetData>
  <mergeCells count="58">
    <mergeCell ref="A130:A136"/>
    <mergeCell ref="B133:B134"/>
    <mergeCell ref="C133:C134"/>
    <mergeCell ref="D136:I136"/>
    <mergeCell ref="A137:A143"/>
    <mergeCell ref="B140:B141"/>
    <mergeCell ref="C140:C141"/>
    <mergeCell ref="D143:I143"/>
    <mergeCell ref="D94:I94"/>
    <mergeCell ref="D101:I101"/>
    <mergeCell ref="D129:I129"/>
    <mergeCell ref="D108:I108"/>
    <mergeCell ref="D115:I115"/>
    <mergeCell ref="D122:I122"/>
    <mergeCell ref="A31:A37"/>
    <mergeCell ref="A38:A44"/>
    <mergeCell ref="D30:I30"/>
    <mergeCell ref="D44:I44"/>
    <mergeCell ref="A1:O1"/>
    <mergeCell ref="D37:I37"/>
    <mergeCell ref="D23:I23"/>
    <mergeCell ref="D16:I16"/>
    <mergeCell ref="D9:I9"/>
    <mergeCell ref="B2:C2"/>
    <mergeCell ref="K2:O2"/>
    <mergeCell ref="A10:A16"/>
    <mergeCell ref="A17:A23"/>
    <mergeCell ref="A24:A30"/>
    <mergeCell ref="A3:A9"/>
    <mergeCell ref="C84:C85"/>
    <mergeCell ref="A67:A73"/>
    <mergeCell ref="A65:O65"/>
    <mergeCell ref="B66:C66"/>
    <mergeCell ref="K66:O66"/>
    <mergeCell ref="D73:I73"/>
    <mergeCell ref="D80:I80"/>
    <mergeCell ref="D87:I87"/>
    <mergeCell ref="A74:A80"/>
    <mergeCell ref="A109:A115"/>
    <mergeCell ref="B105:B106"/>
    <mergeCell ref="C105:C106"/>
    <mergeCell ref="B112:B113"/>
    <mergeCell ref="C112:C113"/>
    <mergeCell ref="A88:A94"/>
    <mergeCell ref="A95:A101"/>
    <mergeCell ref="A102:A108"/>
    <mergeCell ref="B98:B99"/>
    <mergeCell ref="C98:C99"/>
    <mergeCell ref="B91:B92"/>
    <mergeCell ref="C91:C92"/>
    <mergeCell ref="A81:A87"/>
    <mergeCell ref="B84:B85"/>
    <mergeCell ref="A123:A129"/>
    <mergeCell ref="B126:B127"/>
    <mergeCell ref="C126:C127"/>
    <mergeCell ref="A116:A122"/>
    <mergeCell ref="B119:B120"/>
    <mergeCell ref="C119:C120"/>
  </mergeCells>
  <phoneticPr fontId="4" type="noConversion"/>
  <conditionalFormatting sqref="E3:J7 E96:G99 F95:G95 F102">
    <cfRule type="cellIs" dxfId="245" priority="154" operator="lessThan">
      <formula>0</formula>
    </cfRule>
  </conditionalFormatting>
  <conditionalFormatting sqref="E10:J14">
    <cfRule type="cellIs" dxfId="244" priority="153" operator="lessThan">
      <formula>0</formula>
    </cfRule>
  </conditionalFormatting>
  <conditionalFormatting sqref="E17:J21">
    <cfRule type="cellIs" dxfId="243" priority="152" operator="lessThan">
      <formula>0</formula>
    </cfRule>
  </conditionalFormatting>
  <conditionalFormatting sqref="E24:J28">
    <cfRule type="cellIs" dxfId="242" priority="151" operator="lessThan">
      <formula>0</formula>
    </cfRule>
  </conditionalFormatting>
  <conditionalFormatting sqref="E31:J35">
    <cfRule type="cellIs" dxfId="241" priority="150" operator="lessThan">
      <formula>0</formula>
    </cfRule>
  </conditionalFormatting>
  <conditionalFormatting sqref="E38:I42">
    <cfRule type="cellIs" dxfId="240" priority="149" operator="lessThan">
      <formula>0</formula>
    </cfRule>
  </conditionalFormatting>
  <conditionalFormatting sqref="J38:J42">
    <cfRule type="cellIs" dxfId="239" priority="140" operator="lessThan">
      <formula>0</formula>
    </cfRule>
  </conditionalFormatting>
  <conditionalFormatting sqref="E67:J71">
    <cfRule type="cellIs" dxfId="238" priority="134" operator="lessThan">
      <formula>0</formula>
    </cfRule>
  </conditionalFormatting>
  <conditionalFormatting sqref="E81:J85">
    <cfRule type="cellIs" dxfId="237" priority="132" operator="lessThan">
      <formula>0</formula>
    </cfRule>
  </conditionalFormatting>
  <conditionalFormatting sqref="E88:G92 I88:J92">
    <cfRule type="cellIs" dxfId="236" priority="102" operator="lessThan">
      <formula>0</formula>
    </cfRule>
  </conditionalFormatting>
  <conditionalFormatting sqref="H88:H92">
    <cfRule type="cellIs" dxfId="235" priority="100" operator="lessThan">
      <formula>0</formula>
    </cfRule>
  </conditionalFormatting>
  <conditionalFormatting sqref="I95:J99">
    <cfRule type="cellIs" dxfId="234" priority="99" operator="lessThan">
      <formula>0</formula>
    </cfRule>
  </conditionalFormatting>
  <conditionalFormatting sqref="H95:H99">
    <cfRule type="cellIs" dxfId="233" priority="97" operator="lessThan">
      <formula>0</formula>
    </cfRule>
  </conditionalFormatting>
  <conditionalFormatting sqref="E29:I29">
    <cfRule type="cellIs" dxfId="232" priority="55" operator="lessThan">
      <formula>0</formula>
    </cfRule>
  </conditionalFormatting>
  <conditionalFormatting sqref="E102:G106 I102:J106">
    <cfRule type="cellIs" dxfId="231" priority="41" operator="lessThan">
      <formula>0</formula>
    </cfRule>
  </conditionalFormatting>
  <conditionalFormatting sqref="H102:H106">
    <cfRule type="cellIs" dxfId="230" priority="40" operator="lessThan">
      <formula>0</formula>
    </cfRule>
  </conditionalFormatting>
  <conditionalFormatting sqref="F109">
    <cfRule type="cellIs" dxfId="229" priority="38" operator="lessThan">
      <formula>0</formula>
    </cfRule>
  </conditionalFormatting>
  <conditionalFormatting sqref="E109:G113 I109:J113">
    <cfRule type="cellIs" dxfId="228" priority="37" operator="lessThan">
      <formula>0</formula>
    </cfRule>
  </conditionalFormatting>
  <conditionalFormatting sqref="H109:H113">
    <cfRule type="cellIs" dxfId="227" priority="36" operator="lessThan">
      <formula>0</formula>
    </cfRule>
  </conditionalFormatting>
  <conditionalFormatting sqref="F116">
    <cfRule type="cellIs" dxfId="226" priority="34" operator="lessThan">
      <formula>0</formula>
    </cfRule>
  </conditionalFormatting>
  <conditionalFormatting sqref="E116:G120 I116:J120">
    <cfRule type="cellIs" dxfId="225" priority="33" operator="lessThan">
      <formula>0</formula>
    </cfRule>
  </conditionalFormatting>
  <conditionalFormatting sqref="H116:H120">
    <cfRule type="cellIs" dxfId="224" priority="32" operator="lessThan">
      <formula>0</formula>
    </cfRule>
  </conditionalFormatting>
  <conditionalFormatting sqref="E74:J78">
    <cfRule type="cellIs" dxfId="223" priority="30" operator="lessThan">
      <formula>0</formula>
    </cfRule>
  </conditionalFormatting>
  <conditionalFormatting sqref="F123">
    <cfRule type="cellIs" dxfId="222" priority="28" operator="lessThan">
      <formula>0</formula>
    </cfRule>
  </conditionalFormatting>
  <conditionalFormatting sqref="E123:G127 I123:J127">
    <cfRule type="cellIs" dxfId="221" priority="27" operator="lessThan">
      <formula>0</formula>
    </cfRule>
  </conditionalFormatting>
  <conditionalFormatting sqref="H123:H127">
    <cfRule type="cellIs" dxfId="220" priority="26" operator="lessThan">
      <formula>0</formula>
    </cfRule>
  </conditionalFormatting>
  <conditionalFormatting sqref="E43:I43">
    <cfRule type="cellIs" dxfId="219" priority="24" operator="lessThan">
      <formula>0</formula>
    </cfRule>
  </conditionalFormatting>
  <conditionalFormatting sqref="E36:I36">
    <cfRule type="cellIs" dxfId="218" priority="23" operator="lessThan">
      <formula>0</formula>
    </cfRule>
  </conditionalFormatting>
  <conditionalFormatting sqref="E22:I22">
    <cfRule type="cellIs" dxfId="217" priority="22" operator="lessThan">
      <formula>0</formula>
    </cfRule>
  </conditionalFormatting>
  <conditionalFormatting sqref="E15:I15">
    <cfRule type="cellIs" dxfId="216" priority="21" operator="lessThan">
      <formula>0</formula>
    </cfRule>
  </conditionalFormatting>
  <conditionalFormatting sqref="E8:I8">
    <cfRule type="cellIs" dxfId="215" priority="20" operator="lessThan">
      <formula>0</formula>
    </cfRule>
  </conditionalFormatting>
  <conditionalFormatting sqref="E72:I72">
    <cfRule type="cellIs" dxfId="214" priority="19" operator="lessThan">
      <formula>0</formula>
    </cfRule>
  </conditionalFormatting>
  <conditionalFormatting sqref="E79:I79">
    <cfRule type="cellIs" dxfId="213" priority="18" operator="lessThan">
      <formula>0</formula>
    </cfRule>
  </conditionalFormatting>
  <conditionalFormatting sqref="E86:I86">
    <cfRule type="cellIs" dxfId="212" priority="17" operator="lessThan">
      <formula>0</formula>
    </cfRule>
  </conditionalFormatting>
  <conditionalFormatting sqref="E93:I93">
    <cfRule type="cellIs" dxfId="211" priority="16" operator="lessThan">
      <formula>0</formula>
    </cfRule>
  </conditionalFormatting>
  <conditionalFormatting sqref="E100:I100">
    <cfRule type="cellIs" dxfId="210" priority="15" operator="lessThan">
      <formula>0</formula>
    </cfRule>
  </conditionalFormatting>
  <conditionalFormatting sqref="E128:I128">
    <cfRule type="cellIs" dxfId="209" priority="14" operator="lessThan">
      <formula>0</formula>
    </cfRule>
  </conditionalFormatting>
  <conditionalFormatting sqref="E107:I107">
    <cfRule type="cellIs" dxfId="208" priority="13" operator="lessThan">
      <formula>0</formula>
    </cfRule>
  </conditionalFormatting>
  <conditionalFormatting sqref="E114:I114">
    <cfRule type="cellIs" dxfId="207" priority="12" operator="lessThan">
      <formula>0</formula>
    </cfRule>
  </conditionalFormatting>
  <conditionalFormatting sqref="E121:I121">
    <cfRule type="cellIs" dxfId="206" priority="11" operator="lessThan">
      <formula>0</formula>
    </cfRule>
  </conditionalFormatting>
  <conditionalFormatting sqref="F130">
    <cfRule type="cellIs" dxfId="205" priority="10" operator="lessThan">
      <formula>0</formula>
    </cfRule>
  </conditionalFormatting>
  <conditionalFormatting sqref="E130:G134 I130:J134">
    <cfRule type="cellIs" dxfId="204" priority="9" operator="lessThan">
      <formula>0</formula>
    </cfRule>
  </conditionalFormatting>
  <conditionalFormatting sqref="H130:H134">
    <cfRule type="cellIs" dxfId="203" priority="8" operator="lessThan">
      <formula>0</formula>
    </cfRule>
  </conditionalFormatting>
  <conditionalFormatting sqref="E135:I135">
    <cfRule type="cellIs" dxfId="202" priority="7" operator="lessThan">
      <formula>0</formula>
    </cfRule>
  </conditionalFormatting>
  <conditionalFormatting sqref="F137">
    <cfRule type="cellIs" dxfId="201" priority="6" operator="lessThan">
      <formula>0</formula>
    </cfRule>
  </conditionalFormatting>
  <conditionalFormatting sqref="E137:G141 I137:J141">
    <cfRule type="cellIs" dxfId="200" priority="5" operator="lessThan">
      <formula>0</formula>
    </cfRule>
  </conditionalFormatting>
  <conditionalFormatting sqref="H137:H141">
    <cfRule type="cellIs" dxfId="199" priority="4" operator="lessThan">
      <formula>0</formula>
    </cfRule>
  </conditionalFormatting>
  <conditionalFormatting sqref="E142:I142">
    <cfRule type="cellIs" dxfId="198" priority="3" operator="lessThan">
      <formula>0</formula>
    </cfRule>
  </conditionalFormatting>
  <conditionalFormatting sqref="Q123:Q127">
    <cfRule type="cellIs" dxfId="197" priority="2" operator="lessThan">
      <formula>0</formula>
    </cfRule>
  </conditionalFormatting>
  <conditionalFormatting sqref="Q128">
    <cfRule type="cellIs" dxfId="196" priority="1" operator="lessThan">
      <formula>0</formula>
    </cfRule>
  </conditionalFormatting>
  <pageMargins left="0.25" right="0.25" top="0.75" bottom="0.75" header="0.3" footer="0.3"/>
  <pageSetup scale="2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A2488-109D-4C6D-99DB-0A91F4D3322E}">
  <sheetPr>
    <pageSetUpPr fitToPage="1"/>
  </sheetPr>
  <dimension ref="A1:Q67"/>
  <sheetViews>
    <sheetView tabSelected="1" workbookViewId="0">
      <selection activeCell="D9" sqref="D9:I9"/>
    </sheetView>
  </sheetViews>
  <sheetFormatPr defaultRowHeight="14.5" x14ac:dyDescent="0.35"/>
  <cols>
    <col min="1" max="1" width="4" style="1" customWidth="1"/>
    <col min="2" max="2" width="14.81640625" style="3" customWidth="1"/>
    <col min="3" max="3" width="60.36328125" customWidth="1"/>
    <col min="4" max="4" width="10.26953125" style="2" customWidth="1"/>
    <col min="5" max="5" width="10.36328125" style="7" customWidth="1"/>
    <col min="6" max="7" width="10.36328125" style="3" customWidth="1"/>
    <col min="8" max="10" width="10.36328125" style="10" customWidth="1"/>
    <col min="11" max="11" width="13.81640625" style="12" customWidth="1"/>
    <col min="12" max="14" width="13.81640625" customWidth="1"/>
    <col min="15" max="15" width="13.81640625" style="13" customWidth="1"/>
    <col min="16" max="16" width="14.90625" customWidth="1"/>
  </cols>
  <sheetData>
    <row r="1" spans="1:17" ht="19" thickBot="1" x14ac:dyDescent="0.4">
      <c r="A1" s="209" t="s">
        <v>277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</row>
    <row r="2" spans="1:17" ht="58" customHeight="1" thickBot="1" x14ac:dyDescent="0.4">
      <c r="A2" s="39" t="s">
        <v>7</v>
      </c>
      <c r="B2" s="210" t="s">
        <v>48</v>
      </c>
      <c r="C2" s="211"/>
      <c r="D2" s="40" t="s">
        <v>5</v>
      </c>
      <c r="E2" s="39" t="s">
        <v>6</v>
      </c>
      <c r="F2" s="41" t="s">
        <v>37</v>
      </c>
      <c r="G2" s="41" t="s">
        <v>38</v>
      </c>
      <c r="H2" s="42" t="s">
        <v>93</v>
      </c>
      <c r="I2" s="43" t="s">
        <v>41</v>
      </c>
      <c r="J2" s="43" t="s">
        <v>40</v>
      </c>
      <c r="K2" s="212" t="s">
        <v>42</v>
      </c>
      <c r="L2" s="213"/>
      <c r="M2" s="213"/>
      <c r="N2" s="213"/>
      <c r="O2" s="214"/>
    </row>
    <row r="3" spans="1:17" x14ac:dyDescent="0.35">
      <c r="A3" s="203" t="s">
        <v>44</v>
      </c>
      <c r="B3" s="6" t="s">
        <v>0</v>
      </c>
      <c r="C3" s="5" t="s">
        <v>1</v>
      </c>
      <c r="D3" s="14" t="s">
        <v>4</v>
      </c>
      <c r="E3" s="46">
        <v>0.31310116435544699</v>
      </c>
      <c r="F3" s="35">
        <v>7.4356307324078996E-2</v>
      </c>
      <c r="G3" s="35">
        <v>2.0762250042736002E-2</v>
      </c>
      <c r="H3" s="36">
        <f>0.0744665324338522*100</f>
        <v>7.4466532433852208</v>
      </c>
      <c r="I3" s="36">
        <f>0.0264943342925947*100</f>
        <v>2.6494334292594699</v>
      </c>
      <c r="J3" s="36">
        <f>I3</f>
        <v>2.6494334292594699</v>
      </c>
      <c r="K3" s="17"/>
      <c r="L3" s="5"/>
      <c r="M3" s="5"/>
      <c r="N3" s="5"/>
      <c r="O3" s="18"/>
    </row>
    <row r="4" spans="1:17" x14ac:dyDescent="0.35">
      <c r="A4" s="204"/>
      <c r="B4" s="3" t="s">
        <v>2</v>
      </c>
      <c r="C4" s="169" t="s">
        <v>3</v>
      </c>
      <c r="D4" s="15" t="s">
        <v>12</v>
      </c>
      <c r="E4" s="33">
        <v>-2.6530672315072499</v>
      </c>
      <c r="F4" s="37">
        <v>0.146156254048214</v>
      </c>
      <c r="G4" s="37">
        <v>-0.32880485999582099</v>
      </c>
      <c r="H4" s="65">
        <f>0.413809388886598*100</f>
        <v>41.380938888659799</v>
      </c>
      <c r="I4" s="38">
        <f>-0.414432399183278*100</f>
        <v>-41.443239918327798</v>
      </c>
      <c r="J4" s="38">
        <f>J3+I4</f>
        <v>-38.793806489068331</v>
      </c>
    </row>
    <row r="5" spans="1:17" x14ac:dyDescent="0.35">
      <c r="A5" s="204"/>
      <c r="B5" s="3" t="s">
        <v>10</v>
      </c>
      <c r="C5" t="s">
        <v>9</v>
      </c>
      <c r="D5" s="15" t="s">
        <v>13</v>
      </c>
      <c r="E5" s="33">
        <v>-0.107100301726419</v>
      </c>
      <c r="F5" s="37">
        <v>0.111939580657996</v>
      </c>
      <c r="G5" s="37">
        <v>-1.810034627995E-2</v>
      </c>
      <c r="H5" s="38">
        <f>0.154532585017584*100</f>
        <v>15.453258501758398</v>
      </c>
      <c r="I5" s="38">
        <f>-0.0267159765328384*100</f>
        <v>-2.6715976532838401</v>
      </c>
      <c r="J5" s="38">
        <f t="shared" ref="J5:J7" si="0">J4+I5</f>
        <v>-41.46540414235217</v>
      </c>
    </row>
    <row r="6" spans="1:17" x14ac:dyDescent="0.35">
      <c r="A6" s="204"/>
      <c r="B6" s="3" t="s">
        <v>15</v>
      </c>
      <c r="C6" t="s">
        <v>9</v>
      </c>
      <c r="D6" s="15" t="s">
        <v>14</v>
      </c>
      <c r="E6" s="33">
        <v>-0.74377757460332505</v>
      </c>
      <c r="F6" s="37">
        <v>0.114229300809172</v>
      </c>
      <c r="G6" s="37">
        <v>-0.14278278568233499</v>
      </c>
      <c r="H6" s="38">
        <f>0.265491173727689*100</f>
        <v>26.549117372768897</v>
      </c>
      <c r="I6" s="38">
        <f>-0.187695240472553*100</f>
        <v>-18.769524047255302</v>
      </c>
      <c r="J6" s="38">
        <f t="shared" si="0"/>
        <v>-60.234928189607473</v>
      </c>
    </row>
    <row r="7" spans="1:17" ht="15" thickBot="1" x14ac:dyDescent="0.4">
      <c r="A7" s="204"/>
      <c r="B7" s="3" t="s">
        <v>49</v>
      </c>
      <c r="C7" t="s">
        <v>9</v>
      </c>
      <c r="D7" s="16" t="s">
        <v>11</v>
      </c>
      <c r="E7" s="33">
        <v>1.1748754052209999E-3</v>
      </c>
      <c r="F7" s="37">
        <v>0.11711629893911001</v>
      </c>
      <c r="G7" s="37">
        <v>-8.9714547474747997E-2</v>
      </c>
      <c r="H7" s="38">
        <f>0.18353417825697*100</f>
        <v>18.353417825697001</v>
      </c>
      <c r="I7" s="38">
        <f>-0.120229352543152*100</f>
        <v>-12.022935254315199</v>
      </c>
      <c r="J7" s="38">
        <f t="shared" si="0"/>
        <v>-72.257863443922673</v>
      </c>
    </row>
    <row r="8" spans="1:17" ht="15" thickBot="1" x14ac:dyDescent="0.4">
      <c r="A8" s="204"/>
      <c r="B8" s="3" t="s">
        <v>64</v>
      </c>
      <c r="C8" t="s">
        <v>65</v>
      </c>
      <c r="D8" s="52" t="s">
        <v>54</v>
      </c>
      <c r="E8" s="4">
        <f>AVERAGE(E3:E7)</f>
        <v>-0.63793381361526513</v>
      </c>
      <c r="F8" s="4">
        <f>AVERAGE(F3:F7)</f>
        <v>0.1127595483557142</v>
      </c>
      <c r="G8" s="4">
        <f>AVERAGE(G3:G7)</f>
        <v>-0.11172805787802358</v>
      </c>
      <c r="H8" s="4">
        <f>AVERAGE(H3:H7)</f>
        <v>21.836677166453864</v>
      </c>
      <c r="I8" s="4">
        <f>AVERAGE(I3:I7)</f>
        <v>-14.451572688784534</v>
      </c>
      <c r="J8" s="64"/>
      <c r="K8"/>
    </row>
    <row r="9" spans="1:17" ht="15" thickBot="1" x14ac:dyDescent="0.4">
      <c r="A9" s="205"/>
      <c r="B9" s="3" t="s">
        <v>8</v>
      </c>
      <c r="C9" s="53" t="s">
        <v>87</v>
      </c>
      <c r="D9" s="200" t="s">
        <v>47</v>
      </c>
      <c r="E9" s="201"/>
      <c r="F9" s="201"/>
      <c r="G9" s="201"/>
      <c r="H9" s="201"/>
      <c r="I9" s="202"/>
      <c r="J9" s="63">
        <f>((AVERAGE(E3:E7))/STDEVP(E3:E7))</f>
        <v>-0.59923391535326154</v>
      </c>
      <c r="K9" s="20"/>
      <c r="L9" s="20"/>
      <c r="M9" s="20"/>
      <c r="N9" s="20"/>
      <c r="O9" s="21"/>
      <c r="Q9">
        <v>-0.59923391535326154</v>
      </c>
    </row>
    <row r="10" spans="1:17" x14ac:dyDescent="0.35">
      <c r="A10" s="206" t="s">
        <v>50</v>
      </c>
      <c r="B10" s="6" t="s">
        <v>0</v>
      </c>
      <c r="C10" s="5" t="s">
        <v>52</v>
      </c>
      <c r="D10" s="14" t="s">
        <v>4</v>
      </c>
      <c r="E10" s="46">
        <v>1.3046063105441901</v>
      </c>
      <c r="F10" s="35">
        <v>7.5368078333404004E-2</v>
      </c>
      <c r="G10" s="35">
        <v>0.100197446965389</v>
      </c>
      <c r="H10" s="36">
        <f>0.0919444055045987*100</f>
        <v>9.1944405504598699</v>
      </c>
      <c r="I10" s="36">
        <f>0.176516465825088*100</f>
        <v>17.6516465825088</v>
      </c>
      <c r="J10" s="36">
        <f>I10</f>
        <v>17.6516465825088</v>
      </c>
      <c r="K10" s="17"/>
      <c r="L10" s="5"/>
      <c r="M10" s="5"/>
      <c r="N10" s="5"/>
      <c r="O10" s="18"/>
      <c r="Q10">
        <v>0.97195773969593557</v>
      </c>
    </row>
    <row r="11" spans="1:17" x14ac:dyDescent="0.35">
      <c r="A11" s="207"/>
      <c r="B11" s="3" t="s">
        <v>2</v>
      </c>
      <c r="C11" s="49" t="s">
        <v>73</v>
      </c>
      <c r="D11" s="15" t="s">
        <v>12</v>
      </c>
      <c r="E11" s="22">
        <v>1.1079653972741199</v>
      </c>
      <c r="F11" s="37">
        <v>2.9228055215663001E-2</v>
      </c>
      <c r="G11" s="37">
        <v>3.2472473539233999E-2</v>
      </c>
      <c r="H11" s="38">
        <f>0.0514378039169669*100</f>
        <v>5.1437803916966907</v>
      </c>
      <c r="I11" s="38">
        <f>0.056609755158244*100</f>
        <v>5.6609755158243997</v>
      </c>
      <c r="J11" s="38">
        <f>J10+I11</f>
        <v>23.3126220983332</v>
      </c>
      <c r="Q11">
        <v>0.56142804432991145</v>
      </c>
    </row>
    <row r="12" spans="1:17" x14ac:dyDescent="0.35">
      <c r="A12" s="207"/>
      <c r="B12" s="3" t="s">
        <v>67</v>
      </c>
      <c r="C12" s="51" t="s">
        <v>66</v>
      </c>
      <c r="D12" s="15" t="s">
        <v>13</v>
      </c>
      <c r="E12" s="33">
        <v>-0.63296341799060596</v>
      </c>
      <c r="F12" s="37">
        <v>0.12706449485077001</v>
      </c>
      <c r="G12" s="37">
        <v>-8.4681734961346997E-2</v>
      </c>
      <c r="H12" s="38">
        <f>0.238413898636158*100</f>
        <v>23.841389863615799</v>
      </c>
      <c r="I12" s="38">
        <f>-0.151585775187434*100</f>
        <v>-15.1585775187434</v>
      </c>
      <c r="J12" s="38">
        <f t="shared" ref="J12:J14" si="1">J11+I12</f>
        <v>8.1540445795898009</v>
      </c>
      <c r="Q12">
        <v>0.8825645930337106</v>
      </c>
    </row>
    <row r="13" spans="1:17" x14ac:dyDescent="0.35">
      <c r="A13" s="207"/>
      <c r="B13" s="198" t="s">
        <v>49</v>
      </c>
      <c r="C13" s="199" t="s">
        <v>84</v>
      </c>
      <c r="D13" s="15" t="s">
        <v>14</v>
      </c>
      <c r="E13" s="55">
        <v>2.05899460369695</v>
      </c>
      <c r="F13" s="37">
        <v>6.3972553256931006E-2</v>
      </c>
      <c r="G13" s="37">
        <v>0.13843406021195501</v>
      </c>
      <c r="H13" s="38">
        <f>0.050703032621022*100</f>
        <v>5.0703032621022004</v>
      </c>
      <c r="I13" s="38">
        <f>0.249817606319413*100</f>
        <v>24.981760631941299</v>
      </c>
      <c r="J13" s="38">
        <f t="shared" si="1"/>
        <v>33.1358052115311</v>
      </c>
      <c r="Q13">
        <v>0.19171407082842687</v>
      </c>
    </row>
    <row r="14" spans="1:17" ht="15" thickBot="1" x14ac:dyDescent="0.4">
      <c r="A14" s="207"/>
      <c r="B14" s="198"/>
      <c r="C14" s="199"/>
      <c r="D14" s="16" t="s">
        <v>11</v>
      </c>
      <c r="E14" s="33">
        <v>0.52735509624756005</v>
      </c>
      <c r="F14" s="37">
        <v>0.13531373273803299</v>
      </c>
      <c r="G14" s="37">
        <v>6.4237557614876997E-2</v>
      </c>
      <c r="H14" s="38">
        <f>100*0.144199607473798</f>
        <v>14.4199607473798</v>
      </c>
      <c r="I14" s="38">
        <f>0.101506918022144*100</f>
        <v>10.1506918022144</v>
      </c>
      <c r="J14" s="50">
        <f t="shared" si="1"/>
        <v>43.286497013745503</v>
      </c>
    </row>
    <row r="15" spans="1:17" ht="15" thickBot="1" x14ac:dyDescent="0.4">
      <c r="A15" s="207"/>
      <c r="B15" s="3" t="s">
        <v>64</v>
      </c>
      <c r="C15" t="s">
        <v>81</v>
      </c>
      <c r="D15" s="52" t="s">
        <v>54</v>
      </c>
      <c r="E15" s="4">
        <f>AVERAGE(E10:E14)</f>
        <v>0.8731915979544429</v>
      </c>
      <c r="F15" s="4">
        <f>AVERAGE(F10:F14)</f>
        <v>8.6189382878960205E-2</v>
      </c>
      <c r="G15" s="4">
        <f>AVERAGE(G10:G14)</f>
        <v>5.0131960674021606E-2</v>
      </c>
      <c r="H15" s="4">
        <f>AVERAGE(H10:H14)</f>
        <v>11.533974963050872</v>
      </c>
      <c r="I15" s="4">
        <f>AVERAGE(I10:I14)</f>
        <v>8.6572994027490999</v>
      </c>
      <c r="J15" s="64"/>
      <c r="K15"/>
    </row>
    <row r="16" spans="1:17" ht="15" thickBot="1" x14ac:dyDescent="0.4">
      <c r="A16" s="208"/>
      <c r="B16" s="3" t="s">
        <v>8</v>
      </c>
      <c r="C16" s="53" t="s">
        <v>71</v>
      </c>
      <c r="D16" s="200" t="s">
        <v>46</v>
      </c>
      <c r="E16" s="201"/>
      <c r="F16" s="201"/>
      <c r="G16" s="201"/>
      <c r="H16" s="201"/>
      <c r="I16" s="202"/>
      <c r="J16" s="63">
        <f>((AVERAGE(E10:E14))/STDEVP(E10:E14))</f>
        <v>0.97195773969593557</v>
      </c>
      <c r="K16" s="20"/>
      <c r="L16" s="20"/>
      <c r="M16" s="20"/>
      <c r="N16" s="20"/>
      <c r="O16" s="21"/>
    </row>
    <row r="17" spans="1:15" x14ac:dyDescent="0.35">
      <c r="A17" s="206" t="s">
        <v>55</v>
      </c>
      <c r="B17" s="6" t="s">
        <v>0</v>
      </c>
      <c r="C17" s="5" t="s">
        <v>53</v>
      </c>
      <c r="D17" s="14" t="s">
        <v>4</v>
      </c>
      <c r="E17" s="46">
        <v>-0.60134125902205404</v>
      </c>
      <c r="F17" s="35">
        <v>7.0300139658269006E-2</v>
      </c>
      <c r="G17" s="35">
        <v>-4.3747511084049E-2</v>
      </c>
      <c r="H17" s="36">
        <f>0.116455202693695*100</f>
        <v>11.6455202693695</v>
      </c>
      <c r="I17" s="36">
        <f>-0.07911275670425*100</f>
        <v>-7.9112756704249998</v>
      </c>
      <c r="J17" s="36">
        <f>I17</f>
        <v>-7.9112756704249998</v>
      </c>
      <c r="K17" s="17"/>
      <c r="L17" s="5"/>
      <c r="M17" s="5"/>
      <c r="N17" s="5"/>
      <c r="O17" s="18"/>
    </row>
    <row r="18" spans="1:15" x14ac:dyDescent="0.35">
      <c r="A18" s="207"/>
      <c r="B18" s="3" t="s">
        <v>2</v>
      </c>
      <c r="C18" s="49" t="s">
        <v>73</v>
      </c>
      <c r="D18" s="15" t="s">
        <v>12</v>
      </c>
      <c r="E18" s="22">
        <v>1.3805964267620201</v>
      </c>
      <c r="F18" s="37">
        <v>3.4602342066555998E-2</v>
      </c>
      <c r="G18" s="37">
        <v>4.8301186966160002E-2</v>
      </c>
      <c r="H18" s="38">
        <f>0.0536184872278622*100</f>
        <v>5.3618487227862204</v>
      </c>
      <c r="I18" s="38">
        <f>0.0860917888847527*100</f>
        <v>8.6091788884752702</v>
      </c>
      <c r="J18" s="38">
        <f>J17+I18</f>
        <v>0.69790321805027045</v>
      </c>
    </row>
    <row r="19" spans="1:15" x14ac:dyDescent="0.35">
      <c r="A19" s="207"/>
      <c r="B19" s="3" t="s">
        <v>67</v>
      </c>
      <c r="C19" s="51" t="s">
        <v>66</v>
      </c>
      <c r="D19" s="15" t="s">
        <v>13</v>
      </c>
      <c r="E19" s="33">
        <v>-0.24705923351918499</v>
      </c>
      <c r="F19" s="37">
        <v>0.110638159142085</v>
      </c>
      <c r="G19" s="37">
        <v>-3.2909520793979997E-2</v>
      </c>
      <c r="H19" s="38">
        <f>0.249623983689014*100</f>
        <v>24.9623983689014</v>
      </c>
      <c r="I19" s="38">
        <f>-0.0653379202538371*100</f>
        <v>-6.5337920253837094</v>
      </c>
      <c r="J19" s="38">
        <f t="shared" ref="J19:J21" si="2">J18+I19</f>
        <v>-5.835888807333439</v>
      </c>
    </row>
    <row r="20" spans="1:15" x14ac:dyDescent="0.35">
      <c r="A20" s="207"/>
      <c r="B20" s="198" t="s">
        <v>49</v>
      </c>
      <c r="C20" s="199" t="s">
        <v>83</v>
      </c>
      <c r="D20" s="15" t="s">
        <v>14</v>
      </c>
      <c r="E20" s="22">
        <v>1.05523081523674</v>
      </c>
      <c r="F20" s="37">
        <v>5.7398192740835997E-2</v>
      </c>
      <c r="G20" s="37">
        <v>6.0694773831666E-2</v>
      </c>
      <c r="H20" s="38">
        <v>0.106821089375087</v>
      </c>
      <c r="I20" s="38">
        <f>0.107337904428586*100</f>
        <v>10.7337904428586</v>
      </c>
      <c r="J20" s="38">
        <f t="shared" si="2"/>
        <v>4.8979016355251614</v>
      </c>
    </row>
    <row r="21" spans="1:15" ht="15" thickBot="1" x14ac:dyDescent="0.4">
      <c r="A21" s="207"/>
      <c r="B21" s="198"/>
      <c r="C21" s="199"/>
      <c r="D21" s="16" t="s">
        <v>11</v>
      </c>
      <c r="E21" s="33">
        <v>0.52255200357820197</v>
      </c>
      <c r="F21" s="37">
        <v>0.15124986656876499</v>
      </c>
      <c r="G21" s="37">
        <v>7.0027122854037005E-2</v>
      </c>
      <c r="H21" s="38">
        <f>0.220200181090572*100</f>
        <v>22.020018109057197</v>
      </c>
      <c r="I21" s="38">
        <f>0.109981511647657*100</f>
        <v>10.9981511647657</v>
      </c>
      <c r="J21" s="38">
        <f t="shared" si="2"/>
        <v>15.89605280029086</v>
      </c>
    </row>
    <row r="22" spans="1:15" ht="15" thickBot="1" x14ac:dyDescent="0.4">
      <c r="A22" s="207"/>
      <c r="B22" s="3" t="s">
        <v>64</v>
      </c>
      <c r="C22" t="s">
        <v>65</v>
      </c>
      <c r="D22" s="52" t="s">
        <v>54</v>
      </c>
      <c r="E22" s="4">
        <f>AVERAGE(E17:E21)</f>
        <v>0.42199575060714462</v>
      </c>
      <c r="F22" s="4">
        <f>AVERAGE(F17:F21)</f>
        <v>8.48377400353022E-2</v>
      </c>
      <c r="G22" s="4">
        <f>AVERAGE(G17:G21)</f>
        <v>2.0473210354766801E-2</v>
      </c>
      <c r="H22" s="4">
        <f>AVERAGE(H17:H21)</f>
        <v>12.81932131189788</v>
      </c>
      <c r="I22" s="4">
        <f>AVERAGE(I17:I21)</f>
        <v>3.1792105600581722</v>
      </c>
      <c r="J22" s="64"/>
      <c r="K22"/>
    </row>
    <row r="23" spans="1:15" ht="15" thickBot="1" x14ac:dyDescent="0.4">
      <c r="A23" s="208"/>
      <c r="B23" s="3" t="s">
        <v>8</v>
      </c>
      <c r="C23" s="53" t="s">
        <v>72</v>
      </c>
      <c r="D23" s="200" t="s">
        <v>46</v>
      </c>
      <c r="E23" s="201"/>
      <c r="F23" s="201"/>
      <c r="G23" s="201"/>
      <c r="H23" s="201"/>
      <c r="I23" s="202"/>
      <c r="J23" s="63">
        <f>((AVERAGE(E17:E21))/STDEVP(E17:E21))</f>
        <v>0.56142804432991145</v>
      </c>
      <c r="K23" s="20"/>
      <c r="L23" s="20"/>
      <c r="M23" s="20"/>
      <c r="N23" s="20"/>
      <c r="O23" s="21"/>
    </row>
    <row r="24" spans="1:15" x14ac:dyDescent="0.35">
      <c r="A24" s="206" t="s">
        <v>92</v>
      </c>
      <c r="B24" s="6" t="s">
        <v>0</v>
      </c>
      <c r="C24" s="5" t="s">
        <v>91</v>
      </c>
      <c r="D24" s="14" t="s">
        <v>4</v>
      </c>
      <c r="E24" s="34">
        <v>-0.183743773216406</v>
      </c>
      <c r="F24" s="34">
        <v>5.6315820568995999E-2</v>
      </c>
      <c r="G24" s="35">
        <v>-1.1858839838747E-2</v>
      </c>
      <c r="H24" s="36">
        <f>0.101629192867562*100</f>
        <v>10.1629192867562</v>
      </c>
      <c r="I24" s="36">
        <f>-0.0252948527919822*100</f>
        <v>-2.5294852791982203</v>
      </c>
      <c r="J24" s="36">
        <f>I24</f>
        <v>-2.5294852791982203</v>
      </c>
      <c r="K24" s="17"/>
      <c r="L24" s="5"/>
      <c r="M24" s="5"/>
      <c r="N24" s="5"/>
      <c r="O24" s="18"/>
    </row>
    <row r="25" spans="1:15" x14ac:dyDescent="0.35">
      <c r="A25" s="207"/>
      <c r="B25" s="3" t="s">
        <v>2</v>
      </c>
      <c r="C25" s="49" t="s">
        <v>73</v>
      </c>
      <c r="D25" s="15" t="s">
        <v>12</v>
      </c>
      <c r="E25" s="33">
        <v>0.58293380039882903</v>
      </c>
      <c r="F25" s="37">
        <v>3.2315480968553002E-2</v>
      </c>
      <c r="G25" s="37">
        <v>1.8486202241653E-2</v>
      </c>
      <c r="H25" s="38">
        <f>0.0623928091987129*100</f>
        <v>6.2392809198712902</v>
      </c>
      <c r="I25" s="38">
        <f>0.0347520435047181*100</f>
        <v>3.4752043504718095</v>
      </c>
      <c r="J25" s="38">
        <f>J24+I25</f>
        <v>0.94571907127358923</v>
      </c>
    </row>
    <row r="26" spans="1:15" x14ac:dyDescent="0.35">
      <c r="A26" s="207"/>
      <c r="B26" s="3" t="s">
        <v>67</v>
      </c>
      <c r="C26" s="51" t="s">
        <v>66</v>
      </c>
      <c r="D26" s="15" t="s">
        <v>13</v>
      </c>
      <c r="E26" s="33">
        <v>-0.12557260382163901</v>
      </c>
      <c r="F26" s="37">
        <v>9.2990996406563997E-2</v>
      </c>
      <c r="G26" s="37">
        <v>-1.5842136969423E-2</v>
      </c>
      <c r="H26" s="38">
        <f>0.12402104252372*100</f>
        <v>12.402104252372</v>
      </c>
      <c r="I26" s="38">
        <f>-0.0373309267602238*100</f>
        <v>-3.7330926760223799</v>
      </c>
      <c r="J26" s="38">
        <f t="shared" ref="J26:J28" si="3">J25+I26</f>
        <v>-2.7873736047487907</v>
      </c>
    </row>
    <row r="27" spans="1:15" x14ac:dyDescent="0.35">
      <c r="A27" s="207"/>
      <c r="B27" s="198" t="s">
        <v>49</v>
      </c>
      <c r="C27" s="199" t="s">
        <v>111</v>
      </c>
      <c r="D27" s="15" t="s">
        <v>14</v>
      </c>
      <c r="E27" s="22">
        <v>1.2507718263755601</v>
      </c>
      <c r="F27" s="37">
        <v>8.7931690796278994E-2</v>
      </c>
      <c r="G27" s="37">
        <v>0.11193374958336801</v>
      </c>
      <c r="H27" s="38">
        <f>0.101135022984286*100</f>
        <v>10.1135022984286</v>
      </c>
      <c r="I27" s="38">
        <f>0.216921048008893*100</f>
        <v>21.6921048008893</v>
      </c>
      <c r="J27" s="38">
        <f t="shared" si="3"/>
        <v>18.90473119614051</v>
      </c>
    </row>
    <row r="28" spans="1:15" ht="15" thickBot="1" x14ac:dyDescent="0.4">
      <c r="A28" s="207"/>
      <c r="B28" s="198"/>
      <c r="C28" s="199"/>
      <c r="D28" s="16" t="s">
        <v>11</v>
      </c>
      <c r="E28" s="22">
        <v>1.2958767120602299</v>
      </c>
      <c r="F28" s="37">
        <v>0.122159100865405</v>
      </c>
      <c r="G28" s="37">
        <v>0.16272802692962199</v>
      </c>
      <c r="H28" s="38">
        <f>0.151017080689432*100</f>
        <v>15.101708068943202</v>
      </c>
      <c r="I28" s="45">
        <f>0.316893404717963*100</f>
        <v>31.689340471796299</v>
      </c>
      <c r="J28" s="50">
        <f t="shared" si="3"/>
        <v>50.594071667936809</v>
      </c>
    </row>
    <row r="29" spans="1:15" ht="15" thickBot="1" x14ac:dyDescent="0.4">
      <c r="A29" s="207"/>
      <c r="B29" s="3" t="s">
        <v>64</v>
      </c>
      <c r="C29" t="s">
        <v>65</v>
      </c>
      <c r="D29" s="52" t="s">
        <v>54</v>
      </c>
      <c r="E29" s="62">
        <f>AVERAGE(E24:E28)</f>
        <v>0.56405319235931484</v>
      </c>
      <c r="F29" s="4">
        <f>AVERAGE(F24:F28)</f>
        <v>7.8342617921159402E-2</v>
      </c>
      <c r="G29" s="4">
        <f>AVERAGE(G24:G28)</f>
        <v>5.3089400389294591E-2</v>
      </c>
      <c r="H29" s="62">
        <f>AVERAGE(H24:H28)</f>
        <v>10.803902965274258</v>
      </c>
      <c r="I29" s="62">
        <f>AVERAGE(I24:I28)</f>
        <v>10.118814333587363</v>
      </c>
      <c r="J29" s="64"/>
      <c r="K29"/>
    </row>
    <row r="30" spans="1:15" ht="15" thickBot="1" x14ac:dyDescent="0.4">
      <c r="A30" s="208"/>
      <c r="B30" s="8" t="s">
        <v>8</v>
      </c>
      <c r="C30" s="53" t="s">
        <v>72</v>
      </c>
      <c r="D30" s="200" t="s">
        <v>98</v>
      </c>
      <c r="E30" s="201"/>
      <c r="F30" s="201"/>
      <c r="G30" s="201"/>
      <c r="H30" s="201"/>
      <c r="I30" s="202"/>
      <c r="J30" s="63">
        <f>((AVERAGE(E24:E28))/STDEVP(E24:E28))</f>
        <v>0.8825645930337106</v>
      </c>
      <c r="K30" s="20"/>
      <c r="L30" s="20"/>
      <c r="M30" s="20"/>
      <c r="N30" s="20"/>
      <c r="O30" s="21"/>
    </row>
    <row r="31" spans="1:15" x14ac:dyDescent="0.35">
      <c r="A31" s="206" t="s">
        <v>90</v>
      </c>
      <c r="B31" s="6" t="s">
        <v>0</v>
      </c>
      <c r="C31" s="5" t="s">
        <v>89</v>
      </c>
      <c r="D31" s="14" t="s">
        <v>4</v>
      </c>
      <c r="E31" s="46">
        <v>-2.10654104400985</v>
      </c>
      <c r="F31" s="46">
        <v>8.2000095211655993E-2</v>
      </c>
      <c r="G31" s="35">
        <v>-0.16151916712744499</v>
      </c>
      <c r="H31" s="36">
        <f>0.28386946908614*100</f>
        <v>28.386946908614004</v>
      </c>
      <c r="I31" s="47">
        <f>-0.273622266036107*100</f>
        <v>-27.362226603610701</v>
      </c>
      <c r="J31" s="36">
        <f>I31</f>
        <v>-27.362226603610701</v>
      </c>
      <c r="K31" s="17"/>
      <c r="L31" s="5"/>
      <c r="M31" s="5"/>
      <c r="N31" s="5"/>
      <c r="O31" s="18"/>
    </row>
    <row r="32" spans="1:15" x14ac:dyDescent="0.35">
      <c r="A32" s="207"/>
      <c r="B32" s="3" t="s">
        <v>2</v>
      </c>
      <c r="C32" s="49" t="s">
        <v>73</v>
      </c>
      <c r="D32" s="15" t="s">
        <v>12</v>
      </c>
      <c r="E32" s="22">
        <v>1.86842487719566</v>
      </c>
      <c r="F32" s="37">
        <v>2.3799685263445999E-2</v>
      </c>
      <c r="G32" s="37">
        <v>4.5172865811261002E-2</v>
      </c>
      <c r="H32" s="38">
        <f>0.0220191973494273*100</f>
        <v>2.20191973494273</v>
      </c>
      <c r="I32" s="38">
        <f>0.0817237239610584*100</f>
        <v>8.172372396105839</v>
      </c>
      <c r="J32" s="38">
        <f>J31+I32</f>
        <v>-19.189854207504862</v>
      </c>
    </row>
    <row r="33" spans="1:15" x14ac:dyDescent="0.35">
      <c r="A33" s="207"/>
      <c r="B33" s="3" t="s">
        <v>67</v>
      </c>
      <c r="C33" s="51" t="s">
        <v>66</v>
      </c>
      <c r="D33" s="15" t="s">
        <v>13</v>
      </c>
      <c r="E33" s="33">
        <v>-0.79569343361368094</v>
      </c>
      <c r="F33" s="37">
        <v>9.5373640568599996E-2</v>
      </c>
      <c r="G33" s="37">
        <v>-7.7302799394243005E-2</v>
      </c>
      <c r="H33" s="38">
        <f>0.22396456340442*100</f>
        <v>22.396456340442001</v>
      </c>
      <c r="I33" s="38">
        <f>-0.139519637293123*100</f>
        <v>-13.9519637293123</v>
      </c>
      <c r="J33" s="38">
        <f t="shared" ref="J33:J35" si="4">J32+I33</f>
        <v>-33.141817936817162</v>
      </c>
    </row>
    <row r="34" spans="1:15" x14ac:dyDescent="0.35">
      <c r="A34" s="207"/>
      <c r="B34" s="198" t="s">
        <v>49</v>
      </c>
      <c r="C34" s="199" t="s">
        <v>85</v>
      </c>
      <c r="D34" s="15" t="s">
        <v>14</v>
      </c>
      <c r="E34" s="22">
        <v>1.9109332699613999</v>
      </c>
      <c r="F34" s="37">
        <v>5.5741042427972003E-2</v>
      </c>
      <c r="G34" s="37">
        <v>0.11065395061362999</v>
      </c>
      <c r="H34" s="38">
        <f>0.0594672174415868*100</f>
        <v>5.9467217441586797</v>
      </c>
      <c r="I34" s="38">
        <f>0.203637443515039*100</f>
        <v>20.3637443515039</v>
      </c>
      <c r="J34" s="38">
        <f t="shared" si="4"/>
        <v>-12.778073585313262</v>
      </c>
    </row>
    <row r="35" spans="1:15" ht="15" thickBot="1" x14ac:dyDescent="0.4">
      <c r="A35" s="207"/>
      <c r="B35" s="198"/>
      <c r="C35" s="199"/>
      <c r="D35" s="16" t="s">
        <v>11</v>
      </c>
      <c r="E35" s="33">
        <v>0.61698714721048398</v>
      </c>
      <c r="F35" s="37">
        <v>0.162768488764446</v>
      </c>
      <c r="G35" s="37">
        <v>9.1132931185224003E-2</v>
      </c>
      <c r="H35" s="38">
        <f>0.160183877352144*100</f>
        <v>16.0183877352144</v>
      </c>
      <c r="I35" s="38">
        <f>0.147080772548224*100</f>
        <v>14.708077254822399</v>
      </c>
      <c r="J35" s="45">
        <f t="shared" si="4"/>
        <v>1.9300036695091372</v>
      </c>
    </row>
    <row r="36" spans="1:15" ht="15" thickBot="1" x14ac:dyDescent="0.4">
      <c r="A36" s="207"/>
      <c r="B36" s="3" t="s">
        <v>64</v>
      </c>
      <c r="C36" t="s">
        <v>65</v>
      </c>
      <c r="D36" s="52" t="s">
        <v>54</v>
      </c>
      <c r="E36" s="4">
        <f>AVERAGE(E31:E35)</f>
        <v>0.29882216334880257</v>
      </c>
      <c r="F36" s="4">
        <f>AVERAGE(F31:F35)</f>
        <v>8.3936590447223999E-2</v>
      </c>
      <c r="G36" s="4">
        <f>AVERAGE(G31:G35)</f>
        <v>1.6275562176854025E-3</v>
      </c>
      <c r="H36" s="4">
        <f>AVERAGE(H31:H35)</f>
        <v>14.990086492674362</v>
      </c>
      <c r="I36" s="4">
        <f>AVERAGE(I31:I35)</f>
        <v>0.38600073390182743</v>
      </c>
      <c r="J36" s="64"/>
      <c r="K36"/>
    </row>
    <row r="37" spans="1:15" ht="15" thickBot="1" x14ac:dyDescent="0.4">
      <c r="A37" s="208"/>
      <c r="B37" s="8" t="s">
        <v>8</v>
      </c>
      <c r="C37" s="53" t="s">
        <v>72</v>
      </c>
      <c r="D37" s="200" t="s">
        <v>97</v>
      </c>
      <c r="E37" s="201"/>
      <c r="F37" s="201"/>
      <c r="G37" s="201"/>
      <c r="H37" s="201"/>
      <c r="I37" s="202"/>
      <c r="J37" s="63">
        <f>((AVERAGE(E31:E35))/STDEVP(E31:E35))</f>
        <v>0.19171407082842687</v>
      </c>
      <c r="K37" s="20"/>
      <c r="L37" s="20"/>
      <c r="M37" s="20"/>
      <c r="N37" s="20"/>
      <c r="O37" s="21"/>
    </row>
    <row r="38" spans="1:15" x14ac:dyDescent="0.35">
      <c r="A38" s="219"/>
      <c r="B38" s="219"/>
      <c r="C38" s="219"/>
      <c r="D38" s="219"/>
      <c r="E38" s="219"/>
      <c r="F38" s="219"/>
      <c r="G38" s="219"/>
      <c r="H38" s="219"/>
      <c r="I38" s="219"/>
      <c r="J38" s="219"/>
      <c r="K38" s="219"/>
      <c r="L38" s="219"/>
      <c r="M38" s="219"/>
      <c r="N38" s="219"/>
      <c r="O38" s="219"/>
    </row>
    <row r="39" spans="1:15" x14ac:dyDescent="0.35">
      <c r="B39" s="1"/>
      <c r="D39"/>
      <c r="E39" s="1" t="s">
        <v>44</v>
      </c>
      <c r="F39" s="1" t="s">
        <v>50</v>
      </c>
      <c r="G39" s="1" t="s">
        <v>55</v>
      </c>
      <c r="H39" s="1" t="s">
        <v>92</v>
      </c>
      <c r="I39" s="1" t="s">
        <v>90</v>
      </c>
      <c r="J39"/>
      <c r="K39" s="1" t="s">
        <v>44</v>
      </c>
      <c r="L39" s="1" t="s">
        <v>50</v>
      </c>
      <c r="M39" s="1" t="s">
        <v>55</v>
      </c>
      <c r="N39" s="1" t="s">
        <v>92</v>
      </c>
      <c r="O39" s="1" t="s">
        <v>90</v>
      </c>
    </row>
    <row r="40" spans="1:15" x14ac:dyDescent="0.35">
      <c r="B40" s="1"/>
      <c r="D40" s="170" t="s">
        <v>4</v>
      </c>
      <c r="E40" s="171">
        <v>0.31310116435544699</v>
      </c>
      <c r="F40" s="171">
        <v>1.3046063105441901</v>
      </c>
      <c r="G40" s="171">
        <v>-0.60134125902205404</v>
      </c>
      <c r="H40" s="1">
        <f>H46</f>
        <v>-0.183743773216406</v>
      </c>
      <c r="I40" s="171">
        <v>-2.10654104400985</v>
      </c>
      <c r="J40" s="170" t="s">
        <v>4</v>
      </c>
      <c r="K40" s="171">
        <v>2.6494334292594699</v>
      </c>
      <c r="L40" s="171">
        <v>17.6516465825088</v>
      </c>
      <c r="M40" s="171">
        <v>-7.9112756704249998</v>
      </c>
      <c r="N40" s="1">
        <v>-2.5294852791982203</v>
      </c>
      <c r="O40" s="171">
        <v>-27.362226603610701</v>
      </c>
    </row>
    <row r="41" spans="1:15" x14ac:dyDescent="0.35">
      <c r="B41" s="1"/>
      <c r="D41" s="170" t="s">
        <v>12</v>
      </c>
      <c r="E41" s="172">
        <f>E40+E47</f>
        <v>-2.3399660671518028</v>
      </c>
      <c r="F41" s="172">
        <f t="shared" ref="F41:I44" si="5">F40+F47</f>
        <v>2.41257170781831</v>
      </c>
      <c r="G41" s="172">
        <f t="shared" si="5"/>
        <v>0.77925516773996606</v>
      </c>
      <c r="H41" s="172">
        <f t="shared" si="5"/>
        <v>0.39919002718242302</v>
      </c>
      <c r="I41" s="172">
        <f t="shared" si="5"/>
        <v>-0.23811616681419001</v>
      </c>
      <c r="J41" s="170" t="s">
        <v>12</v>
      </c>
      <c r="K41" s="172">
        <v>-38.793806489068331</v>
      </c>
      <c r="L41" s="172">
        <v>23.3126220983332</v>
      </c>
      <c r="M41" s="172">
        <v>0.69790321805027045</v>
      </c>
      <c r="N41" s="172">
        <v>0.94571907127358923</v>
      </c>
      <c r="O41" s="172">
        <v>-19.189854207504862</v>
      </c>
    </row>
    <row r="42" spans="1:15" x14ac:dyDescent="0.35">
      <c r="B42" s="1"/>
      <c r="D42" s="170" t="s">
        <v>13</v>
      </c>
      <c r="E42" s="172">
        <f t="shared" ref="E42:E44" si="6">E41+E48</f>
        <v>-2.4470663688782217</v>
      </c>
      <c r="F42" s="172">
        <f t="shared" si="5"/>
        <v>1.7796082898277041</v>
      </c>
      <c r="G42" s="172">
        <f t="shared" si="5"/>
        <v>0.53219593422078104</v>
      </c>
      <c r="H42" s="172">
        <f t="shared" si="5"/>
        <v>0.27361742336078398</v>
      </c>
      <c r="I42" s="172">
        <f t="shared" si="5"/>
        <v>-1.033809600427871</v>
      </c>
      <c r="J42" s="170" t="s">
        <v>13</v>
      </c>
      <c r="K42" s="172">
        <v>-41.46540414235217</v>
      </c>
      <c r="L42" s="172">
        <v>8.1540445795898009</v>
      </c>
      <c r="M42" s="172">
        <v>-5.835888807333439</v>
      </c>
      <c r="N42" s="172">
        <v>-2.7873736047487907</v>
      </c>
      <c r="O42" s="172">
        <v>-33.141817936817162</v>
      </c>
    </row>
    <row r="43" spans="1:15" x14ac:dyDescent="0.35">
      <c r="B43" s="1"/>
      <c r="D43" s="170" t="s">
        <v>14</v>
      </c>
      <c r="E43" s="172">
        <f t="shared" si="6"/>
        <v>-3.1908439434815468</v>
      </c>
      <c r="F43" s="172">
        <f t="shared" si="5"/>
        <v>3.8386028935246541</v>
      </c>
      <c r="G43" s="172">
        <f t="shared" si="5"/>
        <v>1.5874267494575212</v>
      </c>
      <c r="H43" s="172">
        <f t="shared" si="5"/>
        <v>1.524389249736344</v>
      </c>
      <c r="I43" s="172">
        <f t="shared" si="5"/>
        <v>0.87712366953352894</v>
      </c>
      <c r="J43" s="170" t="s">
        <v>14</v>
      </c>
      <c r="K43" s="172">
        <v>-60.234928189607473</v>
      </c>
      <c r="L43" s="172">
        <v>33.1358052115311</v>
      </c>
      <c r="M43" s="172">
        <v>4.8979016355251614</v>
      </c>
      <c r="N43" s="172">
        <v>18.90473119614051</v>
      </c>
      <c r="O43" s="172">
        <v>-12.778073585313262</v>
      </c>
    </row>
    <row r="44" spans="1:15" x14ac:dyDescent="0.35">
      <c r="B44" s="1"/>
      <c r="D44" s="173" t="s">
        <v>11</v>
      </c>
      <c r="E44" s="172">
        <f t="shared" si="6"/>
        <v>-3.1896690680763258</v>
      </c>
      <c r="F44" s="172">
        <f t="shared" si="5"/>
        <v>4.3659579897722143</v>
      </c>
      <c r="G44" s="172">
        <f t="shared" si="5"/>
        <v>2.109978753035723</v>
      </c>
      <c r="H44" s="172">
        <f t="shared" si="5"/>
        <v>2.820265961796574</v>
      </c>
      <c r="I44" s="172">
        <f t="shared" si="5"/>
        <v>1.4941108167440129</v>
      </c>
      <c r="J44" s="173" t="s">
        <v>11</v>
      </c>
      <c r="K44" s="172">
        <v>-72.257863443922673</v>
      </c>
      <c r="L44" s="172">
        <v>43.286497013745503</v>
      </c>
      <c r="M44" s="172">
        <v>15.89605280029086</v>
      </c>
      <c r="N44" s="172">
        <v>50.594071667936809</v>
      </c>
      <c r="O44" s="172">
        <v>1.9300036695091372</v>
      </c>
    </row>
    <row r="45" spans="1:15" x14ac:dyDescent="0.35">
      <c r="B45" s="1"/>
      <c r="D45" s="218"/>
      <c r="E45" s="218"/>
      <c r="F45" s="218"/>
      <c r="G45" s="218"/>
      <c r="H45" s="218"/>
      <c r="I45" s="218"/>
      <c r="J45"/>
      <c r="K45" s="1" t="s">
        <v>44</v>
      </c>
      <c r="L45" s="1" t="s">
        <v>50</v>
      </c>
      <c r="M45" s="1" t="s">
        <v>55</v>
      </c>
      <c r="N45" s="1" t="s">
        <v>92</v>
      </c>
      <c r="O45" s="1" t="s">
        <v>90</v>
      </c>
    </row>
    <row r="46" spans="1:15" x14ac:dyDescent="0.35">
      <c r="B46" s="1"/>
      <c r="D46" s="170" t="s">
        <v>4</v>
      </c>
      <c r="E46" s="171">
        <v>0.31310116435544699</v>
      </c>
      <c r="F46" s="171">
        <v>1.3046063105441901</v>
      </c>
      <c r="G46" s="171">
        <v>-0.60134125902205404</v>
      </c>
      <c r="H46" s="171">
        <v>-0.183743773216406</v>
      </c>
      <c r="I46" s="171">
        <v>-2.10654104400985</v>
      </c>
      <c r="J46" s="170" t="s">
        <v>4</v>
      </c>
      <c r="K46" s="171">
        <v>7.4466532433852208</v>
      </c>
      <c r="L46" s="171">
        <v>9.1944405504598699</v>
      </c>
      <c r="M46" s="171">
        <v>11.6455202693695</v>
      </c>
      <c r="N46" s="1">
        <v>10.1629192867562</v>
      </c>
      <c r="O46" s="171">
        <v>28.386946908614004</v>
      </c>
    </row>
    <row r="47" spans="1:15" x14ac:dyDescent="0.35">
      <c r="B47" s="1"/>
      <c r="D47" s="170" t="s">
        <v>12</v>
      </c>
      <c r="E47" s="172">
        <v>-2.6530672315072499</v>
      </c>
      <c r="F47" s="171">
        <v>1.1079653972741199</v>
      </c>
      <c r="G47" s="171">
        <v>1.3805964267620201</v>
      </c>
      <c r="H47" s="172">
        <v>0.58293380039882903</v>
      </c>
      <c r="I47" s="171">
        <v>1.86842487719566</v>
      </c>
      <c r="J47" s="170" t="s">
        <v>12</v>
      </c>
      <c r="K47" s="172">
        <v>41.380938888659799</v>
      </c>
      <c r="L47" s="171">
        <v>5.1437803916966907</v>
      </c>
      <c r="M47" s="172">
        <v>5.3618487227862204</v>
      </c>
      <c r="N47" s="1">
        <v>6.2392809198712902</v>
      </c>
      <c r="O47" s="172">
        <v>2.20191973494273</v>
      </c>
    </row>
    <row r="48" spans="1:15" x14ac:dyDescent="0.35">
      <c r="B48" s="1"/>
      <c r="D48" s="170" t="s">
        <v>13</v>
      </c>
      <c r="E48" s="172">
        <v>-0.107100301726419</v>
      </c>
      <c r="F48" s="172">
        <v>-0.63296341799060596</v>
      </c>
      <c r="G48" s="172">
        <v>-0.24705923351918499</v>
      </c>
      <c r="H48" s="172">
        <v>-0.12557260382163901</v>
      </c>
      <c r="I48" s="172">
        <v>-0.79569343361368094</v>
      </c>
      <c r="J48" s="170" t="s">
        <v>13</v>
      </c>
      <c r="K48" s="172">
        <v>15.453258501758398</v>
      </c>
      <c r="L48" s="172">
        <v>23.841389863615799</v>
      </c>
      <c r="M48" s="172">
        <v>24.9623983689014</v>
      </c>
      <c r="N48" s="1">
        <v>12.402104252372</v>
      </c>
      <c r="O48" s="172">
        <v>22.396456340442001</v>
      </c>
    </row>
    <row r="49" spans="2:15" x14ac:dyDescent="0.35">
      <c r="B49" s="1"/>
      <c r="D49" s="170" t="s">
        <v>14</v>
      </c>
      <c r="E49" s="172">
        <v>-0.74377757460332505</v>
      </c>
      <c r="F49" s="174">
        <v>2.05899460369695</v>
      </c>
      <c r="G49" s="172">
        <v>1.05523081523674</v>
      </c>
      <c r="H49" s="171">
        <v>1.2507718263755601</v>
      </c>
      <c r="I49" s="171">
        <v>1.9109332699613999</v>
      </c>
      <c r="J49" s="170" t="s">
        <v>14</v>
      </c>
      <c r="K49" s="172">
        <v>26.549117372768897</v>
      </c>
      <c r="L49" s="174">
        <v>5.0703032621022004</v>
      </c>
      <c r="M49" s="172">
        <v>0.106821089375087</v>
      </c>
      <c r="N49" s="1">
        <v>10.1135022984286</v>
      </c>
      <c r="O49" s="172">
        <v>5.9467217441586797</v>
      </c>
    </row>
    <row r="50" spans="2:15" x14ac:dyDescent="0.35">
      <c r="B50" s="1"/>
      <c r="D50" s="173" t="s">
        <v>11</v>
      </c>
      <c r="E50" s="172">
        <v>1.1748754052209999E-3</v>
      </c>
      <c r="F50" s="172">
        <v>0.52735509624756005</v>
      </c>
      <c r="G50" s="172">
        <v>0.52255200357820197</v>
      </c>
      <c r="H50" s="171">
        <v>1.2958767120602299</v>
      </c>
      <c r="I50" s="172">
        <v>0.61698714721048398</v>
      </c>
      <c r="J50" s="173" t="s">
        <v>11</v>
      </c>
      <c r="K50" s="172">
        <v>18.353417825697001</v>
      </c>
      <c r="L50" s="172">
        <v>14.4199607473798</v>
      </c>
      <c r="M50" s="172">
        <v>22.020018109057197</v>
      </c>
      <c r="N50" s="1">
        <v>15.101708068943202</v>
      </c>
      <c r="O50" s="172">
        <v>16.0183877352144</v>
      </c>
    </row>
    <row r="51" spans="2:15" x14ac:dyDescent="0.35">
      <c r="B51" s="1"/>
      <c r="D51"/>
      <c r="E51" s="1"/>
      <c r="F51" s="1"/>
      <c r="G51" s="1"/>
      <c r="H51" s="1"/>
      <c r="I51" s="1"/>
      <c r="J51" s="1"/>
      <c r="K51"/>
      <c r="O51"/>
    </row>
    <row r="52" spans="2:15" x14ac:dyDescent="0.35">
      <c r="B52" s="1"/>
      <c r="D52"/>
      <c r="E52" s="1"/>
      <c r="F52" s="1"/>
      <c r="G52" s="1"/>
      <c r="H52" s="1"/>
      <c r="I52" s="1"/>
      <c r="J52" s="1"/>
      <c r="K52"/>
      <c r="O52"/>
    </row>
    <row r="53" spans="2:15" x14ac:dyDescent="0.35">
      <c r="B53" s="1"/>
      <c r="D53"/>
      <c r="E53" s="1"/>
      <c r="F53" s="1"/>
      <c r="G53" s="1"/>
      <c r="H53" s="1"/>
      <c r="I53" s="1"/>
      <c r="J53" s="1"/>
      <c r="K53"/>
      <c r="O53"/>
    </row>
    <row r="54" spans="2:15" x14ac:dyDescent="0.35">
      <c r="B54" s="1"/>
      <c r="D54"/>
      <c r="E54" s="1"/>
      <c r="F54" s="1"/>
      <c r="G54" s="1"/>
      <c r="H54" s="1"/>
      <c r="I54" s="1"/>
      <c r="J54" s="1"/>
      <c r="K54"/>
      <c r="O54"/>
    </row>
    <row r="55" spans="2:15" x14ac:dyDescent="0.35">
      <c r="B55" s="1"/>
      <c r="D55"/>
      <c r="E55" s="1"/>
      <c r="F55" s="1"/>
      <c r="G55" s="1"/>
      <c r="H55" s="1"/>
      <c r="I55" s="1"/>
      <c r="J55" s="1"/>
      <c r="K55"/>
      <c r="O55"/>
    </row>
    <row r="56" spans="2:15" x14ac:dyDescent="0.35">
      <c r="B56" s="1"/>
      <c r="D56"/>
      <c r="E56" s="1"/>
      <c r="F56" s="1"/>
      <c r="G56" s="1"/>
      <c r="H56" s="1"/>
      <c r="I56" s="1"/>
      <c r="J56" s="1"/>
      <c r="K56"/>
      <c r="O56"/>
    </row>
    <row r="57" spans="2:15" x14ac:dyDescent="0.35">
      <c r="B57" s="1"/>
      <c r="D57"/>
      <c r="E57" s="1"/>
      <c r="F57" s="1"/>
      <c r="G57" s="1"/>
      <c r="H57" s="1"/>
      <c r="I57" s="1"/>
      <c r="J57" s="1"/>
      <c r="K57"/>
      <c r="O57"/>
    </row>
    <row r="58" spans="2:15" x14ac:dyDescent="0.35">
      <c r="B58" s="1"/>
      <c r="D58"/>
      <c r="E58" s="1"/>
      <c r="F58" s="1"/>
      <c r="G58" s="1"/>
      <c r="H58" s="1"/>
      <c r="I58" s="1"/>
      <c r="J58" s="1"/>
      <c r="K58"/>
      <c r="O58"/>
    </row>
    <row r="59" spans="2:15" x14ac:dyDescent="0.35">
      <c r="B59" s="1"/>
      <c r="D59"/>
      <c r="E59" s="1"/>
      <c r="F59" s="1"/>
      <c r="G59" s="1"/>
      <c r="H59" s="1"/>
      <c r="I59" s="1"/>
      <c r="J59" s="1"/>
      <c r="K59"/>
      <c r="O59"/>
    </row>
    <row r="60" spans="2:15" x14ac:dyDescent="0.35">
      <c r="B60" s="1"/>
      <c r="D60"/>
      <c r="E60" s="1"/>
      <c r="F60" s="1"/>
      <c r="G60" s="1"/>
      <c r="H60" s="1"/>
      <c r="I60" s="1"/>
      <c r="J60" s="1"/>
      <c r="K60"/>
      <c r="O60"/>
    </row>
    <row r="61" spans="2:15" x14ac:dyDescent="0.35">
      <c r="B61" s="1"/>
      <c r="D61"/>
      <c r="E61" s="1"/>
      <c r="F61" s="1"/>
      <c r="G61" s="1"/>
      <c r="H61" s="1"/>
      <c r="I61" s="1"/>
      <c r="J61" s="1"/>
      <c r="K61"/>
      <c r="O61"/>
    </row>
    <row r="62" spans="2:15" x14ac:dyDescent="0.35">
      <c r="B62" s="1"/>
      <c r="D62"/>
      <c r="E62" s="1"/>
      <c r="F62" s="1"/>
      <c r="G62" s="1"/>
      <c r="H62" s="1"/>
      <c r="I62" s="1"/>
      <c r="J62" s="1"/>
      <c r="K62"/>
      <c r="O62"/>
    </row>
    <row r="63" spans="2:15" x14ac:dyDescent="0.35">
      <c r="B63" s="1"/>
      <c r="D63"/>
      <c r="E63" s="1"/>
      <c r="F63" s="1"/>
      <c r="G63" s="1"/>
      <c r="H63" s="1"/>
      <c r="I63" s="1"/>
      <c r="J63" s="1"/>
      <c r="K63"/>
      <c r="O63"/>
    </row>
    <row r="64" spans="2:15" x14ac:dyDescent="0.35">
      <c r="B64" s="1"/>
      <c r="D64"/>
      <c r="E64" s="1"/>
      <c r="F64" s="1"/>
      <c r="G64" s="1"/>
      <c r="H64" s="1"/>
      <c r="I64" s="1"/>
      <c r="J64" s="1"/>
      <c r="K64"/>
      <c r="O64"/>
    </row>
    <row r="65" spans="2:15" x14ac:dyDescent="0.35">
      <c r="B65" s="1"/>
      <c r="D65"/>
      <c r="E65" s="1"/>
      <c r="F65" s="1"/>
      <c r="G65" s="1"/>
      <c r="H65" s="1"/>
      <c r="I65" s="1"/>
      <c r="J65" s="1"/>
      <c r="K65"/>
      <c r="O65"/>
    </row>
    <row r="66" spans="2:15" x14ac:dyDescent="0.35">
      <c r="B66" s="1"/>
      <c r="D66"/>
      <c r="E66" s="1"/>
      <c r="F66" s="1"/>
      <c r="G66" s="1"/>
      <c r="H66" s="1"/>
      <c r="I66" s="1"/>
      <c r="J66" s="1"/>
      <c r="K66"/>
      <c r="O66"/>
    </row>
    <row r="67" spans="2:15" x14ac:dyDescent="0.35">
      <c r="B67" s="1"/>
      <c r="D67"/>
      <c r="E67" s="1"/>
      <c r="F67" s="1"/>
      <c r="G67" s="1"/>
      <c r="H67" s="1"/>
      <c r="I67" s="1"/>
      <c r="J67" s="1"/>
      <c r="K67"/>
      <c r="O67"/>
    </row>
  </sheetData>
  <mergeCells count="23">
    <mergeCell ref="C34:C35"/>
    <mergeCell ref="A10:A16"/>
    <mergeCell ref="D9:I9"/>
    <mergeCell ref="D16:I16"/>
    <mergeCell ref="D23:I23"/>
    <mergeCell ref="A3:A9"/>
    <mergeCell ref="A17:A23"/>
    <mergeCell ref="D45:I45"/>
    <mergeCell ref="A38:O38"/>
    <mergeCell ref="B27:B28"/>
    <mergeCell ref="C27:C28"/>
    <mergeCell ref="A1:O1"/>
    <mergeCell ref="B2:C2"/>
    <mergeCell ref="K2:O2"/>
    <mergeCell ref="B20:B21"/>
    <mergeCell ref="C20:C21"/>
    <mergeCell ref="A24:A30"/>
    <mergeCell ref="A31:A37"/>
    <mergeCell ref="D30:I30"/>
    <mergeCell ref="D37:I37"/>
    <mergeCell ref="B13:B14"/>
    <mergeCell ref="C13:C14"/>
    <mergeCell ref="B34:B35"/>
  </mergeCells>
  <conditionalFormatting sqref="E40:E44 F41:I44">
    <cfRule type="cellIs" dxfId="195" priority="39" operator="lessThan">
      <formula>0</formula>
    </cfRule>
  </conditionalFormatting>
  <conditionalFormatting sqref="F40">
    <cfRule type="cellIs" dxfId="194" priority="38" operator="lessThan">
      <formula>0</formula>
    </cfRule>
  </conditionalFormatting>
  <conditionalFormatting sqref="G40">
    <cfRule type="cellIs" dxfId="193" priority="37" operator="lessThan">
      <formula>0</formula>
    </cfRule>
  </conditionalFormatting>
  <conditionalFormatting sqref="I40">
    <cfRule type="cellIs" dxfId="192" priority="36" operator="lessThan">
      <formula>0</formula>
    </cfRule>
  </conditionalFormatting>
  <conditionalFormatting sqref="E46:E50">
    <cfRule type="cellIs" dxfId="191" priority="35" operator="lessThan">
      <formula>0</formula>
    </cfRule>
  </conditionalFormatting>
  <conditionalFormatting sqref="F46:F50">
    <cfRule type="cellIs" dxfId="190" priority="34" operator="lessThan">
      <formula>0</formula>
    </cfRule>
  </conditionalFormatting>
  <conditionalFormatting sqref="G46:G50">
    <cfRule type="cellIs" dxfId="189" priority="33" operator="lessThan">
      <formula>0</formula>
    </cfRule>
  </conditionalFormatting>
  <conditionalFormatting sqref="I46:I50">
    <cfRule type="cellIs" dxfId="188" priority="32" operator="lessThan">
      <formula>0</formula>
    </cfRule>
  </conditionalFormatting>
  <conditionalFormatting sqref="K40:K44 L41:O44">
    <cfRule type="cellIs" dxfId="187" priority="31" operator="lessThan">
      <formula>0</formula>
    </cfRule>
  </conditionalFormatting>
  <conditionalFormatting sqref="L40">
    <cfRule type="cellIs" dxfId="186" priority="30" operator="lessThan">
      <formula>0</formula>
    </cfRule>
  </conditionalFormatting>
  <conditionalFormatting sqref="M40">
    <cfRule type="cellIs" dxfId="185" priority="29" operator="lessThan">
      <formula>0</formula>
    </cfRule>
  </conditionalFormatting>
  <conditionalFormatting sqref="O40">
    <cfRule type="cellIs" dxfId="184" priority="28" operator="lessThan">
      <formula>0</formula>
    </cfRule>
  </conditionalFormatting>
  <conditionalFormatting sqref="K46:K50">
    <cfRule type="cellIs" dxfId="183" priority="27" operator="lessThan">
      <formula>0</formula>
    </cfRule>
  </conditionalFormatting>
  <conditionalFormatting sqref="L46:L50">
    <cfRule type="cellIs" dxfId="182" priority="26" operator="lessThan">
      <formula>0</formula>
    </cfRule>
  </conditionalFormatting>
  <conditionalFormatting sqref="M46:M50">
    <cfRule type="cellIs" dxfId="181" priority="25" operator="lessThan">
      <formula>0</formula>
    </cfRule>
  </conditionalFormatting>
  <conditionalFormatting sqref="O46:O50">
    <cfRule type="cellIs" dxfId="180" priority="24" operator="lessThan">
      <formula>0</formula>
    </cfRule>
  </conditionalFormatting>
  <conditionalFormatting sqref="H46:H50">
    <cfRule type="cellIs" dxfId="179" priority="16" operator="lessThan">
      <formula>0</formula>
    </cfRule>
  </conditionalFormatting>
  <conditionalFormatting sqref="E3:J7">
    <cfRule type="cellIs" dxfId="178" priority="15" operator="lessThan">
      <formula>0</formula>
    </cfRule>
  </conditionalFormatting>
  <conditionalFormatting sqref="E8:I8">
    <cfRule type="cellIs" dxfId="177" priority="14" operator="lessThan">
      <formula>0</formula>
    </cfRule>
  </conditionalFormatting>
  <conditionalFormatting sqref="E10:J14">
    <cfRule type="cellIs" dxfId="176" priority="13" operator="lessThan">
      <formula>0</formula>
    </cfRule>
  </conditionalFormatting>
  <conditionalFormatting sqref="E15:I15">
    <cfRule type="cellIs" dxfId="175" priority="12" operator="lessThan">
      <formula>0</formula>
    </cfRule>
  </conditionalFormatting>
  <conditionalFormatting sqref="E17:G21 I17:J21">
    <cfRule type="cellIs" dxfId="174" priority="11" operator="lessThan">
      <formula>0</formula>
    </cfRule>
  </conditionalFormatting>
  <conditionalFormatting sqref="H17:H21">
    <cfRule type="cellIs" dxfId="173" priority="10" operator="lessThan">
      <formula>0</formula>
    </cfRule>
  </conditionalFormatting>
  <conditionalFormatting sqref="E22:I22">
    <cfRule type="cellIs" dxfId="172" priority="9" operator="lessThan">
      <formula>0</formula>
    </cfRule>
  </conditionalFormatting>
  <conditionalFormatting sqref="F24">
    <cfRule type="cellIs" dxfId="171" priority="8" operator="lessThan">
      <formula>0</formula>
    </cfRule>
  </conditionalFormatting>
  <conditionalFormatting sqref="E24:G28 I24:J28">
    <cfRule type="cellIs" dxfId="170" priority="7" operator="lessThan">
      <formula>0</formula>
    </cfRule>
  </conditionalFormatting>
  <conditionalFormatting sqref="H24:H28">
    <cfRule type="cellIs" dxfId="169" priority="6" operator="lessThan">
      <formula>0</formula>
    </cfRule>
  </conditionalFormatting>
  <conditionalFormatting sqref="E29:I29">
    <cfRule type="cellIs" dxfId="168" priority="5" operator="lessThan">
      <formula>0</formula>
    </cfRule>
  </conditionalFormatting>
  <conditionalFormatting sqref="F31">
    <cfRule type="cellIs" dxfId="167" priority="4" operator="lessThan">
      <formula>0</formula>
    </cfRule>
  </conditionalFormatting>
  <conditionalFormatting sqref="E31:G35 I31:J35">
    <cfRule type="cellIs" dxfId="166" priority="3" operator="lessThan">
      <formula>0</formula>
    </cfRule>
  </conditionalFormatting>
  <conditionalFormatting sqref="H31:H35">
    <cfRule type="cellIs" dxfId="165" priority="2" operator="lessThan">
      <formula>0</formula>
    </cfRule>
  </conditionalFormatting>
  <conditionalFormatting sqref="E36:I36">
    <cfRule type="cellIs" dxfId="164" priority="1" operator="lessThan">
      <formula>0</formula>
    </cfRule>
  </conditionalFormatting>
  <pageMargins left="0.25" right="0.25" top="0.75" bottom="0.75" header="0.3" footer="0.3"/>
  <pageSetup scale="2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1266-2974-4509-A605-933C1A4F28DC}">
  <sheetPr>
    <pageSetUpPr fitToPage="1"/>
  </sheetPr>
  <dimension ref="A1:O216"/>
  <sheetViews>
    <sheetView workbookViewId="0">
      <selection activeCell="J23" sqref="J23"/>
    </sheetView>
  </sheetViews>
  <sheetFormatPr defaultRowHeight="14.5" x14ac:dyDescent="0.35"/>
  <cols>
    <col min="1" max="1" width="4" style="1" customWidth="1"/>
    <col min="2" max="2" width="14.81640625" style="3" customWidth="1"/>
    <col min="3" max="3" width="60.36328125" customWidth="1"/>
    <col min="4" max="4" width="10.26953125" style="2" customWidth="1"/>
    <col min="5" max="5" width="10.36328125" style="7" customWidth="1"/>
    <col min="6" max="7" width="10.36328125" style="3" customWidth="1"/>
    <col min="8" max="10" width="10.36328125" style="10" customWidth="1"/>
    <col min="11" max="11" width="13.81640625" style="12" customWidth="1"/>
    <col min="12" max="14" width="13.81640625" customWidth="1"/>
    <col min="15" max="15" width="13.81640625" style="13" customWidth="1"/>
    <col min="16" max="16" width="14.90625" customWidth="1"/>
  </cols>
  <sheetData>
    <row r="1" spans="1:15" ht="19" thickBot="1" x14ac:dyDescent="0.4">
      <c r="A1" s="209" t="s">
        <v>278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</row>
    <row r="2" spans="1:15" ht="58" customHeight="1" thickBot="1" x14ac:dyDescent="0.4">
      <c r="A2" s="39" t="s">
        <v>7</v>
      </c>
      <c r="B2" s="210" t="s">
        <v>48</v>
      </c>
      <c r="C2" s="211"/>
      <c r="D2" s="40" t="s">
        <v>5</v>
      </c>
      <c r="E2" s="39" t="s">
        <v>6</v>
      </c>
      <c r="F2" s="41" t="s">
        <v>37</v>
      </c>
      <c r="G2" s="41" t="s">
        <v>38</v>
      </c>
      <c r="H2" s="42" t="s">
        <v>43</v>
      </c>
      <c r="I2" s="43" t="s">
        <v>41</v>
      </c>
      <c r="J2" s="43" t="s">
        <v>40</v>
      </c>
      <c r="K2" s="212" t="s">
        <v>42</v>
      </c>
      <c r="L2" s="213"/>
      <c r="M2" s="213"/>
      <c r="N2" s="213"/>
      <c r="O2" s="214"/>
    </row>
    <row r="3" spans="1:15" x14ac:dyDescent="0.35">
      <c r="A3" s="203" t="s">
        <v>45</v>
      </c>
      <c r="B3" s="6" t="s">
        <v>0</v>
      </c>
      <c r="C3" s="5" t="s">
        <v>39</v>
      </c>
      <c r="D3" s="14" t="s">
        <v>4</v>
      </c>
      <c r="E3" s="46">
        <v>-0.67623058270677705</v>
      </c>
      <c r="F3" s="35">
        <v>0.123580248249252</v>
      </c>
      <c r="G3" s="35">
        <v>-8.7091111663713E-2</v>
      </c>
      <c r="H3" s="36">
        <f>0.167012682827485*100</f>
        <v>16.701268282748501</v>
      </c>
      <c r="I3" s="36">
        <f>-0.126848432828048*100</f>
        <v>-12.684843282804801</v>
      </c>
      <c r="J3" s="36">
        <f>I3</f>
        <v>-12.684843282804801</v>
      </c>
      <c r="K3" s="17"/>
      <c r="L3" s="5"/>
      <c r="M3" s="5"/>
      <c r="N3" s="5"/>
      <c r="O3" s="18"/>
    </row>
    <row r="4" spans="1:15" x14ac:dyDescent="0.35">
      <c r="A4" s="204"/>
      <c r="B4" s="3" t="s">
        <v>2</v>
      </c>
      <c r="C4" s="169" t="s">
        <v>3</v>
      </c>
      <c r="D4" s="15" t="s">
        <v>12</v>
      </c>
      <c r="E4" s="33">
        <v>-1.7467175601642699</v>
      </c>
      <c r="F4" s="37">
        <v>0.13687800124336</v>
      </c>
      <c r="G4" s="37">
        <v>-0.22006440624514401</v>
      </c>
      <c r="H4" s="65">
        <f>0.315094130510028*100</f>
        <v>31.509413051002799</v>
      </c>
      <c r="I4" s="38">
        <f>-0.304533249615821*100</f>
        <v>-30.453324961582101</v>
      </c>
      <c r="J4" s="38">
        <f>J3+I4</f>
        <v>-43.138168244386904</v>
      </c>
    </row>
    <row r="5" spans="1:15" x14ac:dyDescent="0.35">
      <c r="A5" s="204"/>
      <c r="B5" s="3" t="s">
        <v>10</v>
      </c>
      <c r="C5" s="49" t="s">
        <v>32</v>
      </c>
      <c r="D5" s="15" t="s">
        <v>13</v>
      </c>
      <c r="E5" s="33">
        <v>-1.09666146519081</v>
      </c>
      <c r="F5" s="37">
        <v>9.6325170278041994E-2</v>
      </c>
      <c r="G5" s="37">
        <v>-0.104465818010229</v>
      </c>
      <c r="H5" s="38">
        <f>0.200429142075597*100</f>
        <v>20.042914207559701</v>
      </c>
      <c r="I5" s="38">
        <f>-0.149203472339982*100</f>
        <v>-14.9203472339982</v>
      </c>
      <c r="J5" s="38">
        <f t="shared" ref="J5:J7" si="0">J4+I5</f>
        <v>-58.058515478385104</v>
      </c>
    </row>
    <row r="6" spans="1:15" x14ac:dyDescent="0.35">
      <c r="A6" s="204"/>
      <c r="B6" s="3" t="s">
        <v>15</v>
      </c>
      <c r="C6" t="s">
        <v>9</v>
      </c>
      <c r="D6" s="15" t="s">
        <v>14</v>
      </c>
      <c r="E6" s="33">
        <v>0.25127400921972698</v>
      </c>
      <c r="F6" s="37">
        <v>8.0141656761666E-2</v>
      </c>
      <c r="G6" s="37">
        <v>1.70946271632E-2</v>
      </c>
      <c r="H6" s="38">
        <f>0.118932039114738*100</f>
        <v>11.893203911473799</v>
      </c>
      <c r="I6" s="38">
        <f>0.0226206104316806*100</f>
        <v>2.2620610431680599</v>
      </c>
      <c r="J6" s="38">
        <f t="shared" si="0"/>
        <v>-55.796454435217044</v>
      </c>
    </row>
    <row r="7" spans="1:15" ht="15" thickBot="1" x14ac:dyDescent="0.4">
      <c r="A7" s="204"/>
      <c r="B7" s="3" t="s">
        <v>49</v>
      </c>
      <c r="C7" t="s">
        <v>9</v>
      </c>
      <c r="D7" s="16" t="s">
        <v>11</v>
      </c>
      <c r="E7" s="33">
        <v>1.43361638167039</v>
      </c>
      <c r="F7" s="37">
        <v>8.4912009458371004E-2</v>
      </c>
      <c r="G7" s="37">
        <v>0.125360084821381</v>
      </c>
      <c r="H7" s="38">
        <f>0.137536300685311*100</f>
        <v>13.7536300685311</v>
      </c>
      <c r="I7" s="38">
        <f>0.182290277151165*100</f>
        <v>18.229027715116501</v>
      </c>
      <c r="J7" s="38">
        <f t="shared" si="0"/>
        <v>-37.567426720100542</v>
      </c>
    </row>
    <row r="8" spans="1:15" ht="15" thickBot="1" x14ac:dyDescent="0.4">
      <c r="A8" s="204"/>
      <c r="B8" s="3" t="s">
        <v>64</v>
      </c>
      <c r="C8" t="s">
        <v>65</v>
      </c>
      <c r="D8" s="52" t="s">
        <v>54</v>
      </c>
      <c r="E8" s="4">
        <f>AVERAGE(E3:E7)</f>
        <v>-0.36694384343434805</v>
      </c>
      <c r="F8" s="4">
        <f>AVERAGE(F3:F7)</f>
        <v>0.1043674171981382</v>
      </c>
      <c r="G8" s="4">
        <f>AVERAGE(G3:G7)</f>
        <v>-5.3833324786901005E-2</v>
      </c>
      <c r="H8" s="4">
        <f>AVERAGE(H3:H7)</f>
        <v>18.780085904263181</v>
      </c>
      <c r="I8" s="4">
        <f>AVERAGE(I3:I7)</f>
        <v>-7.5134853440201086</v>
      </c>
      <c r="J8" s="64"/>
      <c r="K8"/>
    </row>
    <row r="9" spans="1:15" ht="15" thickBot="1" x14ac:dyDescent="0.4">
      <c r="A9" s="205"/>
      <c r="B9" s="3" t="s">
        <v>8</v>
      </c>
      <c r="C9" s="53" t="s">
        <v>88</v>
      </c>
      <c r="D9" s="200" t="s">
        <v>61</v>
      </c>
      <c r="E9" s="201"/>
      <c r="F9" s="201"/>
      <c r="G9" s="201"/>
      <c r="H9" s="201"/>
      <c r="I9" s="202"/>
      <c r="J9" s="63">
        <f>((AVERAGE(E3:E7))/STDEVP(E3:E7))</f>
        <v>-0.33069729651070606</v>
      </c>
      <c r="K9" s="20"/>
      <c r="L9" s="20"/>
      <c r="M9" s="20"/>
      <c r="N9" s="20"/>
      <c r="O9" s="21"/>
    </row>
    <row r="10" spans="1:15" x14ac:dyDescent="0.35">
      <c r="A10" s="206" t="s">
        <v>86</v>
      </c>
      <c r="B10" s="6" t="s">
        <v>0</v>
      </c>
      <c r="C10" s="5" t="s">
        <v>63</v>
      </c>
      <c r="D10" s="14" t="s">
        <v>4</v>
      </c>
      <c r="E10" s="46">
        <v>0.615186066998472</v>
      </c>
      <c r="F10" s="46">
        <v>8.6637526927335007E-2</v>
      </c>
      <c r="G10" s="35">
        <v>5.0842583395591001E-2</v>
      </c>
      <c r="H10" s="36">
        <f>0.0456880677386367*100</f>
        <v>4.5688067738636695</v>
      </c>
      <c r="I10" s="36">
        <f>0.053542327103383*100</f>
        <v>5.3542327103382998</v>
      </c>
      <c r="J10" s="36">
        <f>I10</f>
        <v>5.3542327103382998</v>
      </c>
      <c r="K10" s="17"/>
      <c r="L10" s="5"/>
      <c r="M10" s="5"/>
      <c r="N10" s="5"/>
      <c r="O10" s="18"/>
    </row>
    <row r="11" spans="1:15" x14ac:dyDescent="0.35">
      <c r="A11" s="207"/>
      <c r="B11" s="3" t="s">
        <v>2</v>
      </c>
      <c r="C11" s="49" t="s">
        <v>73</v>
      </c>
      <c r="D11" s="15" t="s">
        <v>12</v>
      </c>
      <c r="E11" s="33">
        <v>1.48799357359117</v>
      </c>
      <c r="F11" s="37">
        <v>6.0714613011818998E-2</v>
      </c>
      <c r="G11" s="37">
        <v>9.2523479943573003E-2</v>
      </c>
      <c r="H11" s="38">
        <f>0.0420444220967425*100</f>
        <v>4.2044422096742498</v>
      </c>
      <c r="I11" s="38">
        <f>0.0978419686496676*100</f>
        <v>9.7841968649667592</v>
      </c>
      <c r="J11" s="38">
        <f>J10+I11</f>
        <v>15.138429575305059</v>
      </c>
    </row>
    <row r="12" spans="1:15" x14ac:dyDescent="0.35">
      <c r="A12" s="207"/>
      <c r="B12" s="3" t="s">
        <v>67</v>
      </c>
      <c r="C12" s="51" t="s">
        <v>66</v>
      </c>
      <c r="D12" s="15" t="s">
        <v>13</v>
      </c>
      <c r="E12" s="33">
        <v>-0.30938864291933799</v>
      </c>
      <c r="F12" s="37">
        <v>0.12045144542975</v>
      </c>
      <c r="G12" s="37">
        <v>-4.3511209111741E-2</v>
      </c>
      <c r="H12" s="38">
        <f>0.143415916459651*100</f>
        <v>14.341591645965099</v>
      </c>
      <c r="I12" s="38">
        <f>-0.0463039893730939*100</f>
        <v>-4.6303989373093897</v>
      </c>
      <c r="J12" s="38">
        <f t="shared" ref="J12:J14" si="1">J11+I12</f>
        <v>10.50803063799567</v>
      </c>
    </row>
    <row r="13" spans="1:15" x14ac:dyDescent="0.35">
      <c r="A13" s="207"/>
      <c r="B13" s="198" t="s">
        <v>49</v>
      </c>
      <c r="C13" s="199" t="s">
        <v>110</v>
      </c>
      <c r="D13" s="15" t="s">
        <v>14</v>
      </c>
      <c r="E13" s="33">
        <v>0.63196308949555602</v>
      </c>
      <c r="F13" s="37">
        <v>0.110686348753925</v>
      </c>
      <c r="G13" s="37">
        <v>6.5901729725246994E-2</v>
      </c>
      <c r="H13" s="38">
        <f>0.123248212943167*100</f>
        <v>12.324821294316699</v>
      </c>
      <c r="I13" s="38">
        <f>0.0693365868858992*100</f>
        <v>6.9336586885899205</v>
      </c>
      <c r="J13" s="38">
        <f t="shared" si="1"/>
        <v>17.441689326585589</v>
      </c>
    </row>
    <row r="14" spans="1:15" ht="15" thickBot="1" x14ac:dyDescent="0.4">
      <c r="A14" s="207"/>
      <c r="B14" s="198"/>
      <c r="C14" s="199"/>
      <c r="D14" s="16" t="s">
        <v>11</v>
      </c>
      <c r="E14" s="33">
        <v>0.37204903251988802</v>
      </c>
      <c r="F14" s="37">
        <v>0.33165615694530898</v>
      </c>
      <c r="G14" s="37">
        <v>7.0626040763791004E-2</v>
      </c>
      <c r="H14" s="65">
        <f>0.312670065530399*100</f>
        <v>31.267006553039899</v>
      </c>
      <c r="I14" s="38">
        <f>0.0711945050432907*100</f>
        <v>7.1194505043290697</v>
      </c>
      <c r="J14" s="50">
        <f t="shared" si="1"/>
        <v>24.561139830914659</v>
      </c>
    </row>
    <row r="15" spans="1:15" ht="15" thickBot="1" x14ac:dyDescent="0.4">
      <c r="A15" s="207"/>
      <c r="B15" s="3" t="s">
        <v>64</v>
      </c>
      <c r="C15" t="s">
        <v>65</v>
      </c>
      <c r="D15" s="52" t="s">
        <v>54</v>
      </c>
      <c r="E15" s="4">
        <f>AVERAGE(E10:E14)</f>
        <v>0.55956062393714967</v>
      </c>
      <c r="F15" s="4">
        <f>AVERAGE(F10:F14)</f>
        <v>0.14202921821362763</v>
      </c>
      <c r="G15" s="4">
        <f>AVERAGE(G10:G14)</f>
        <v>4.7276524943292202E-2</v>
      </c>
      <c r="H15" s="4">
        <f>AVERAGE(H10:H14)</f>
        <v>13.341333695371924</v>
      </c>
      <c r="I15" s="4">
        <f>AVERAGE(I10:I14)</f>
        <v>4.9122279661829316</v>
      </c>
      <c r="J15" s="64"/>
      <c r="K15"/>
    </row>
    <row r="16" spans="1:15" ht="15" thickBot="1" x14ac:dyDescent="0.4">
      <c r="A16" s="208"/>
      <c r="B16" s="8" t="s">
        <v>8</v>
      </c>
      <c r="C16" s="48" t="s">
        <v>102</v>
      </c>
      <c r="D16" s="200" t="s">
        <v>99</v>
      </c>
      <c r="E16" s="201"/>
      <c r="F16" s="201"/>
      <c r="G16" s="201"/>
      <c r="H16" s="201"/>
      <c r="I16" s="202"/>
      <c r="J16" s="63">
        <f>((AVERAGE(E10:E14))/STDEVP(E10:E14))</f>
        <v>0.97096861454848626</v>
      </c>
      <c r="K16" s="20"/>
      <c r="L16" s="20"/>
      <c r="M16" s="20"/>
      <c r="N16" s="20"/>
      <c r="O16" s="21"/>
    </row>
    <row r="17" spans="1:15" x14ac:dyDescent="0.35">
      <c r="A17" s="206" t="s">
        <v>100</v>
      </c>
      <c r="B17" s="6" t="s">
        <v>0</v>
      </c>
      <c r="C17" s="5" t="s">
        <v>101</v>
      </c>
      <c r="D17" s="14" t="s">
        <v>4</v>
      </c>
      <c r="E17" s="46">
        <v>1.08016821041124</v>
      </c>
      <c r="F17" s="46">
        <v>0.13447568151898301</v>
      </c>
      <c r="G17" s="35">
        <v>0.14598066851009001</v>
      </c>
      <c r="H17" s="36">
        <f>0.0898741516800382*100</f>
        <v>8.987415168003821</v>
      </c>
      <c r="I17" s="36">
        <f>0.13607633236466*100</f>
        <v>13.607633236465999</v>
      </c>
      <c r="J17" s="36">
        <f>I17</f>
        <v>13.607633236465999</v>
      </c>
      <c r="K17" s="17"/>
      <c r="L17" s="5"/>
      <c r="M17" s="5"/>
      <c r="N17" s="5"/>
      <c r="O17" s="18"/>
    </row>
    <row r="18" spans="1:15" x14ac:dyDescent="0.35">
      <c r="A18" s="207"/>
      <c r="B18" s="3" t="s">
        <v>2</v>
      </c>
      <c r="C18" s="49" t="s">
        <v>73</v>
      </c>
      <c r="D18" s="15" t="s">
        <v>12</v>
      </c>
      <c r="E18" s="33">
        <v>1.1860493119302</v>
      </c>
      <c r="F18" s="37">
        <v>4.2993163361283997E-2</v>
      </c>
      <c r="G18" s="37">
        <v>5.1340787020678E-2</v>
      </c>
      <c r="H18" s="38">
        <f>0.0195466980662462*100</f>
        <v>1.95466980662462</v>
      </c>
      <c r="I18" s="38">
        <f>0.0478364340047154*100</f>
        <v>4.78364340047154</v>
      </c>
      <c r="J18" s="38">
        <f>J17+I18</f>
        <v>18.39127663693754</v>
      </c>
    </row>
    <row r="19" spans="1:15" x14ac:dyDescent="0.35">
      <c r="A19" s="207"/>
      <c r="B19" s="3" t="s">
        <v>67</v>
      </c>
      <c r="C19" s="51" t="s">
        <v>66</v>
      </c>
      <c r="D19" s="15" t="s">
        <v>13</v>
      </c>
      <c r="E19" s="33">
        <v>-0.65115512740932302</v>
      </c>
      <c r="F19" s="37">
        <v>0.170838130722964</v>
      </c>
      <c r="G19" s="37">
        <v>-0.118267902358135</v>
      </c>
      <c r="H19" s="38">
        <f>0.213841274965724*100</f>
        <v>21.3841274965724</v>
      </c>
      <c r="I19" s="38">
        <f>-0.109878110030031*100</f>
        <v>-10.987811003003101</v>
      </c>
      <c r="J19" s="38">
        <f t="shared" ref="J19:J21" si="2">J18+I19</f>
        <v>7.4034656339344398</v>
      </c>
    </row>
    <row r="20" spans="1:15" x14ac:dyDescent="0.35">
      <c r="A20" s="207"/>
      <c r="B20" s="198" t="s">
        <v>49</v>
      </c>
      <c r="C20" s="199" t="s">
        <v>111</v>
      </c>
      <c r="D20" s="15" t="s">
        <v>14</v>
      </c>
      <c r="E20" s="33">
        <v>1.4006217953380899</v>
      </c>
      <c r="F20" s="37">
        <v>0.12613054971533999</v>
      </c>
      <c r="G20" s="37">
        <v>0.183725339341271</v>
      </c>
      <c r="H20" s="38">
        <f>0.0831125645346547*100</f>
        <v>8.3112564534654698</v>
      </c>
      <c r="I20" s="38">
        <f>0.17084728087487*100</f>
        <v>17.084728087487001</v>
      </c>
      <c r="J20" s="38">
        <f t="shared" si="2"/>
        <v>24.488193721421439</v>
      </c>
    </row>
    <row r="21" spans="1:15" ht="15" thickBot="1" x14ac:dyDescent="0.4">
      <c r="A21" s="207"/>
      <c r="B21" s="198"/>
      <c r="C21" s="199"/>
      <c r="D21" s="16" t="s">
        <v>11</v>
      </c>
      <c r="E21" s="33">
        <v>0.53267281339680095</v>
      </c>
      <c r="F21" s="37">
        <v>0.33015996602439002</v>
      </c>
      <c r="G21" s="37">
        <v>0.12885986900413501</v>
      </c>
      <c r="H21" s="65">
        <f>0.291193956660585*100</f>
        <v>29.119395666058502</v>
      </c>
      <c r="I21" s="38">
        <f>0.123519570010148*100</f>
        <v>12.351957001014799</v>
      </c>
      <c r="J21" s="50">
        <f t="shared" si="2"/>
        <v>36.840150722436235</v>
      </c>
    </row>
    <row r="22" spans="1:15" ht="15" thickBot="1" x14ac:dyDescent="0.4">
      <c r="A22" s="207"/>
      <c r="B22" s="3" t="s">
        <v>64</v>
      </c>
      <c r="C22" t="s">
        <v>65</v>
      </c>
      <c r="D22" s="52" t="s">
        <v>54</v>
      </c>
      <c r="E22" s="54">
        <f>AVERAGE(E17:E21)</f>
        <v>0.70967140073340151</v>
      </c>
      <c r="F22" s="4">
        <f>AVERAGE(F17:F21)</f>
        <v>0.1609194982685922</v>
      </c>
      <c r="G22" s="4">
        <f>AVERAGE(G17:G21)</f>
        <v>7.8327752303607806E-2</v>
      </c>
      <c r="H22" s="4">
        <f>AVERAGE(H17:H21)</f>
        <v>13.95137291814496</v>
      </c>
      <c r="I22" s="4">
        <f>AVERAGE(I17:I21)</f>
        <v>7.3680301444872471</v>
      </c>
      <c r="J22" s="64"/>
      <c r="K22"/>
    </row>
    <row r="23" spans="1:15" ht="15" thickBot="1" x14ac:dyDescent="0.4">
      <c r="A23" s="208"/>
      <c r="B23" s="8" t="s">
        <v>8</v>
      </c>
      <c r="C23" s="48" t="s">
        <v>103</v>
      </c>
      <c r="D23" s="200" t="s">
        <v>107</v>
      </c>
      <c r="E23" s="201"/>
      <c r="F23" s="201"/>
      <c r="G23" s="201"/>
      <c r="H23" s="201"/>
      <c r="I23" s="202"/>
      <c r="J23" s="63">
        <f>((AVERAGE(E17:E21))/STDEVP(E17:E21))</f>
        <v>0.96133665446918326</v>
      </c>
      <c r="K23" s="20"/>
      <c r="L23" s="20"/>
      <c r="M23" s="20"/>
      <c r="N23" s="20"/>
      <c r="O23" s="21"/>
    </row>
    <row r="24" spans="1:15" x14ac:dyDescent="0.35">
      <c r="A24" s="206" t="s">
        <v>106</v>
      </c>
      <c r="B24" s="6" t="s">
        <v>0</v>
      </c>
      <c r="C24" s="5" t="s">
        <v>104</v>
      </c>
      <c r="D24" s="14" t="s">
        <v>4</v>
      </c>
      <c r="E24" s="46">
        <v>0.12688868669911499</v>
      </c>
      <c r="F24" s="46">
        <v>0.125338986812075</v>
      </c>
      <c r="G24" s="35">
        <v>8.090620235291E-3</v>
      </c>
      <c r="H24" s="36">
        <f>0.132177897308399*100</f>
        <v>13.217789730839899</v>
      </c>
      <c r="I24" s="36">
        <f>0.00797259886217838*100</f>
        <v>0.79725988621783794</v>
      </c>
      <c r="J24" s="36">
        <f>I24</f>
        <v>0.79725988621783794</v>
      </c>
      <c r="K24" s="17"/>
      <c r="L24" s="5"/>
      <c r="M24" s="5"/>
      <c r="N24" s="5"/>
      <c r="O24" s="18"/>
    </row>
    <row r="25" spans="1:15" x14ac:dyDescent="0.35">
      <c r="A25" s="207"/>
      <c r="B25" s="3" t="s">
        <v>2</v>
      </c>
      <c r="C25" s="49" t="s">
        <v>73</v>
      </c>
      <c r="D25" s="15" t="s">
        <v>12</v>
      </c>
      <c r="E25" s="33">
        <v>2.58064216004365</v>
      </c>
      <c r="F25" s="37">
        <v>4.8912092228805E-2</v>
      </c>
      <c r="G25" s="37">
        <v>0.133150818355248</v>
      </c>
      <c r="H25" s="38">
        <f>0.0187132253542184*100</f>
        <v>1.8713225354218401</v>
      </c>
      <c r="I25" s="38">
        <f>0.152116822173526*100</f>
        <v>15.211682217352601</v>
      </c>
      <c r="J25" s="38">
        <f>J24+I25</f>
        <v>16.00894210357044</v>
      </c>
    </row>
    <row r="26" spans="1:15" x14ac:dyDescent="0.35">
      <c r="A26" s="207"/>
      <c r="B26" s="3" t="s">
        <v>67</v>
      </c>
      <c r="C26" s="51" t="s">
        <v>66</v>
      </c>
      <c r="D26" s="15" t="s">
        <v>13</v>
      </c>
      <c r="E26" s="33">
        <v>-0.47600032310944901</v>
      </c>
      <c r="F26" s="37">
        <v>0.16664358058801801</v>
      </c>
      <c r="G26" s="37">
        <v>-8.9001286038986993E-2</v>
      </c>
      <c r="H26" s="38">
        <f>0.242258484132867*100</f>
        <v>24.225848413286698</v>
      </c>
      <c r="I26" s="38">
        <f>-0.102242740334399*100</f>
        <v>-10.224274033439899</v>
      </c>
      <c r="J26" s="38">
        <f t="shared" ref="J26:J28" si="3">J25+I26</f>
        <v>5.7846680701305413</v>
      </c>
    </row>
    <row r="27" spans="1:15" x14ac:dyDescent="0.35">
      <c r="A27" s="207"/>
      <c r="B27" s="198" t="s">
        <v>49</v>
      </c>
      <c r="C27" s="199" t="s">
        <v>85</v>
      </c>
      <c r="D27" s="15" t="s">
        <v>14</v>
      </c>
      <c r="E27" s="33">
        <v>-0.82076225973053396</v>
      </c>
      <c r="F27" s="37">
        <v>9.7261239130071994E-2</v>
      </c>
      <c r="G27" s="37">
        <v>-8.1079513683206997E-2</v>
      </c>
      <c r="H27" s="38">
        <f>0.116604337694291*100</f>
        <v>11.660433769429099</v>
      </c>
      <c r="I27" s="38">
        <f>-0.0921083965083497*100</f>
        <v>-9.2108396508349699</v>
      </c>
      <c r="J27" s="38">
        <f t="shared" si="3"/>
        <v>-3.4261715807044286</v>
      </c>
    </row>
    <row r="28" spans="1:15" ht="15" thickBot="1" x14ac:dyDescent="0.4">
      <c r="A28" s="207"/>
      <c r="B28" s="198"/>
      <c r="C28" s="199"/>
      <c r="D28" s="16" t="s">
        <v>11</v>
      </c>
      <c r="E28" s="33">
        <v>-0.14578568183768201</v>
      </c>
      <c r="F28" s="37">
        <v>0.223057913789111</v>
      </c>
      <c r="G28" s="37">
        <v>-5.5740499881762003E-2</v>
      </c>
      <c r="H28" s="38">
        <f>0.19759752184762*100</f>
        <v>19.759752184762</v>
      </c>
      <c r="I28" s="38">
        <f>-0.0665353976602849*100</f>
        <v>-6.6535397660284907</v>
      </c>
      <c r="J28" s="50">
        <f t="shared" si="3"/>
        <v>-10.079711346732919</v>
      </c>
    </row>
    <row r="29" spans="1:15" ht="15" thickBot="1" x14ac:dyDescent="0.4">
      <c r="A29" s="207"/>
      <c r="B29" s="3" t="s">
        <v>64</v>
      </c>
      <c r="C29" t="s">
        <v>65</v>
      </c>
      <c r="D29" s="52" t="s">
        <v>54</v>
      </c>
      <c r="E29" s="4">
        <f>AVERAGE(E24:E28)</f>
        <v>0.25299651641302001</v>
      </c>
      <c r="F29" s="4">
        <f>AVERAGE(F24:F28)</f>
        <v>0.1322427625096162</v>
      </c>
      <c r="G29" s="4">
        <f>AVERAGE(G24:G28)</f>
        <v>-1.6915972202683399E-2</v>
      </c>
      <c r="H29" s="4">
        <f>AVERAGE(H24:H28)</f>
        <v>14.147029326747907</v>
      </c>
      <c r="I29" s="4">
        <f>AVERAGE(I24:I28)</f>
        <v>-2.015942269346584</v>
      </c>
      <c r="J29" s="64"/>
      <c r="K29"/>
    </row>
    <row r="30" spans="1:15" ht="15" thickBot="1" x14ac:dyDescent="0.4">
      <c r="A30" s="208"/>
      <c r="B30" s="8" t="s">
        <v>8</v>
      </c>
      <c r="C30" s="48" t="s">
        <v>105</v>
      </c>
      <c r="D30" s="200" t="s">
        <v>108</v>
      </c>
      <c r="E30" s="201"/>
      <c r="F30" s="201"/>
      <c r="G30" s="201"/>
      <c r="H30" s="201"/>
      <c r="I30" s="202"/>
      <c r="J30" s="63">
        <f>((AVERAGE(E24:E28))/STDEVP(E24:E28))</f>
        <v>0.2097083042258151</v>
      </c>
      <c r="K30" s="20"/>
      <c r="L30" s="20"/>
      <c r="M30" s="20"/>
      <c r="N30" s="20"/>
      <c r="O30" s="21"/>
    </row>
    <row r="31" spans="1:15" x14ac:dyDescent="0.35">
      <c r="A31" s="219"/>
      <c r="B31" s="219"/>
      <c r="C31" s="219"/>
      <c r="D31" s="219"/>
      <c r="E31" s="219"/>
      <c r="F31" s="219"/>
      <c r="G31" s="219"/>
      <c r="H31" s="219"/>
      <c r="I31" s="219"/>
      <c r="J31" s="219"/>
      <c r="K31" s="219"/>
      <c r="L31" s="219"/>
      <c r="M31" s="219"/>
      <c r="N31" s="219"/>
      <c r="O31" s="219"/>
    </row>
    <row r="32" spans="1:15" x14ac:dyDescent="0.35">
      <c r="B32" s="1"/>
      <c r="D32"/>
      <c r="E32" s="1" t="s">
        <v>45</v>
      </c>
      <c r="F32" s="1" t="s">
        <v>86</v>
      </c>
      <c r="G32" s="1" t="s">
        <v>100</v>
      </c>
      <c r="H32" s="1" t="s">
        <v>106</v>
      </c>
      <c r="I32" s="1"/>
      <c r="J32"/>
      <c r="K32" s="1" t="s">
        <v>45</v>
      </c>
      <c r="L32" s="1" t="s">
        <v>86</v>
      </c>
      <c r="M32" s="1" t="s">
        <v>100</v>
      </c>
      <c r="N32" s="1" t="s">
        <v>106</v>
      </c>
      <c r="O32" s="1"/>
    </row>
    <row r="33" spans="2:15" x14ac:dyDescent="0.35">
      <c r="B33" s="1"/>
      <c r="D33" s="170" t="s">
        <v>4</v>
      </c>
      <c r="E33" s="171">
        <f>E39</f>
        <v>-0.67623058270677705</v>
      </c>
      <c r="F33" s="171">
        <f>F39</f>
        <v>0.615186066998472</v>
      </c>
      <c r="G33" s="171">
        <f>G39</f>
        <v>1.08016821041124</v>
      </c>
      <c r="H33" s="171">
        <f>H39</f>
        <v>0.12688868669911499</v>
      </c>
      <c r="I33" s="171">
        <f>I39</f>
        <v>0</v>
      </c>
      <c r="J33" s="170" t="s">
        <v>4</v>
      </c>
      <c r="K33" s="171">
        <f>J3</f>
        <v>-12.684843282804801</v>
      </c>
      <c r="L33" s="171">
        <f>J10</f>
        <v>5.3542327103382998</v>
      </c>
      <c r="M33" s="171">
        <f>J17</f>
        <v>13.607633236465999</v>
      </c>
      <c r="N33" s="1">
        <f>J24</f>
        <v>0.79725988621783794</v>
      </c>
      <c r="O33" s="171"/>
    </row>
    <row r="34" spans="2:15" x14ac:dyDescent="0.35">
      <c r="B34" s="1"/>
      <c r="D34" s="170" t="s">
        <v>12</v>
      </c>
      <c r="E34" s="172">
        <f>E33+E40</f>
        <v>-2.4229481428710469</v>
      </c>
      <c r="F34" s="172">
        <f>F33+F40</f>
        <v>2.1031796405896421</v>
      </c>
      <c r="G34" s="172">
        <f>G33+G40</f>
        <v>2.26621752234144</v>
      </c>
      <c r="H34" s="172">
        <f>H33+H40</f>
        <v>2.707530846742765</v>
      </c>
      <c r="I34" s="172">
        <f>I33+I40</f>
        <v>0</v>
      </c>
      <c r="J34" s="170" t="s">
        <v>12</v>
      </c>
      <c r="K34" s="171">
        <f t="shared" ref="K34:K37" si="4">J4</f>
        <v>-43.138168244386904</v>
      </c>
      <c r="L34" s="171">
        <f t="shared" ref="L34:L37" si="5">J11</f>
        <v>15.138429575305059</v>
      </c>
      <c r="M34" s="171">
        <f t="shared" ref="M34:M37" si="6">J18</f>
        <v>18.39127663693754</v>
      </c>
      <c r="N34" s="1">
        <f t="shared" ref="N34:N37" si="7">J25</f>
        <v>16.00894210357044</v>
      </c>
      <c r="O34" s="172"/>
    </row>
    <row r="35" spans="2:15" x14ac:dyDescent="0.35">
      <c r="B35" s="1"/>
      <c r="D35" s="170" t="s">
        <v>13</v>
      </c>
      <c r="E35" s="172">
        <f t="shared" ref="E35:E37" si="8">E34+E41</f>
        <v>-3.5196096080618569</v>
      </c>
      <c r="F35" s="172">
        <f t="shared" ref="F35:F37" si="9">F34+F41</f>
        <v>1.7937909976703041</v>
      </c>
      <c r="G35" s="172">
        <f t="shared" ref="G35:I35" si="10">G34+G41</f>
        <v>1.615062394932117</v>
      </c>
      <c r="H35" s="172">
        <f t="shared" si="10"/>
        <v>2.2315305236333161</v>
      </c>
      <c r="I35" s="172">
        <f t="shared" si="10"/>
        <v>0</v>
      </c>
      <c r="J35" s="170" t="s">
        <v>13</v>
      </c>
      <c r="K35" s="171">
        <f t="shared" si="4"/>
        <v>-58.058515478385104</v>
      </c>
      <c r="L35" s="171">
        <f t="shared" si="5"/>
        <v>10.50803063799567</v>
      </c>
      <c r="M35" s="171">
        <f t="shared" si="6"/>
        <v>7.4034656339344398</v>
      </c>
      <c r="N35" s="1">
        <f t="shared" si="7"/>
        <v>5.7846680701305413</v>
      </c>
      <c r="O35" s="172"/>
    </row>
    <row r="36" spans="2:15" x14ac:dyDescent="0.35">
      <c r="B36" s="1"/>
      <c r="D36" s="170" t="s">
        <v>14</v>
      </c>
      <c r="E36" s="172">
        <f t="shared" si="8"/>
        <v>-3.2683355988421301</v>
      </c>
      <c r="F36" s="172">
        <f t="shared" si="9"/>
        <v>2.4257540871658603</v>
      </c>
      <c r="G36" s="172">
        <f t="shared" ref="G36:I36" si="11">G35+G42</f>
        <v>3.015684190270207</v>
      </c>
      <c r="H36" s="172">
        <f t="shared" si="11"/>
        <v>1.4107682639027821</v>
      </c>
      <c r="I36" s="172">
        <f t="shared" si="11"/>
        <v>0</v>
      </c>
      <c r="J36" s="170" t="s">
        <v>14</v>
      </c>
      <c r="K36" s="171">
        <f t="shared" si="4"/>
        <v>-55.796454435217044</v>
      </c>
      <c r="L36" s="171">
        <f t="shared" si="5"/>
        <v>17.441689326585589</v>
      </c>
      <c r="M36" s="171">
        <f t="shared" si="6"/>
        <v>24.488193721421439</v>
      </c>
      <c r="N36" s="1">
        <f t="shared" si="7"/>
        <v>-3.4261715807044286</v>
      </c>
      <c r="O36" s="172"/>
    </row>
    <row r="37" spans="2:15" x14ac:dyDescent="0.35">
      <c r="B37" s="1"/>
      <c r="D37" s="173" t="s">
        <v>11</v>
      </c>
      <c r="E37" s="172">
        <f t="shared" si="8"/>
        <v>-1.8347192171717401</v>
      </c>
      <c r="F37" s="172">
        <f t="shared" si="9"/>
        <v>2.7978031196857485</v>
      </c>
      <c r="G37" s="172">
        <f t="shared" ref="G37:I37" si="12">G36+G43</f>
        <v>3.5483570036670078</v>
      </c>
      <c r="H37" s="172">
        <f t="shared" si="12"/>
        <v>1.2649825820651002</v>
      </c>
      <c r="I37" s="172">
        <f t="shared" si="12"/>
        <v>0</v>
      </c>
      <c r="J37" s="173" t="s">
        <v>11</v>
      </c>
      <c r="K37" s="171">
        <f t="shared" si="4"/>
        <v>-37.567426720100542</v>
      </c>
      <c r="L37" s="171">
        <f t="shared" si="5"/>
        <v>24.561139830914659</v>
      </c>
      <c r="M37" s="171">
        <f t="shared" si="6"/>
        <v>36.840150722436235</v>
      </c>
      <c r="N37" s="1">
        <f t="shared" si="7"/>
        <v>-10.079711346732919</v>
      </c>
      <c r="O37" s="172"/>
    </row>
    <row r="38" spans="2:15" x14ac:dyDescent="0.35">
      <c r="B38" s="1"/>
      <c r="D38" s="218"/>
      <c r="E38" s="218"/>
      <c r="F38" s="218"/>
      <c r="G38" s="218"/>
      <c r="H38" s="218"/>
      <c r="I38" s="218"/>
      <c r="J38"/>
      <c r="K38" s="1" t="s">
        <v>45</v>
      </c>
      <c r="L38" s="1" t="s">
        <v>86</v>
      </c>
      <c r="M38" s="1" t="s">
        <v>100</v>
      </c>
      <c r="N38" s="1" t="s">
        <v>106</v>
      </c>
      <c r="O38" s="1"/>
    </row>
    <row r="39" spans="2:15" x14ac:dyDescent="0.35">
      <c r="B39" s="1"/>
      <c r="D39" s="170" t="s">
        <v>4</v>
      </c>
      <c r="E39" s="171">
        <f>E3</f>
        <v>-0.67623058270677705</v>
      </c>
      <c r="F39" s="171">
        <v>0.615186066998472</v>
      </c>
      <c r="G39" s="171">
        <v>1.08016821041124</v>
      </c>
      <c r="H39" s="171">
        <f>E24</f>
        <v>0.12688868669911499</v>
      </c>
      <c r="I39" s="171"/>
      <c r="J39" s="170" t="s">
        <v>4</v>
      </c>
      <c r="K39" s="171">
        <f>H3</f>
        <v>16.701268282748501</v>
      </c>
      <c r="L39" s="171">
        <f>H10</f>
        <v>4.5688067738636695</v>
      </c>
      <c r="M39" s="171">
        <f>H17</f>
        <v>8.987415168003821</v>
      </c>
      <c r="N39" s="1">
        <f>H24</f>
        <v>13.217789730839899</v>
      </c>
      <c r="O39" s="171"/>
    </row>
    <row r="40" spans="2:15" x14ac:dyDescent="0.35">
      <c r="B40" s="1"/>
      <c r="D40" s="170" t="s">
        <v>12</v>
      </c>
      <c r="E40" s="171">
        <f t="shared" ref="E40:E43" si="13">E4</f>
        <v>-1.7467175601642699</v>
      </c>
      <c r="F40" s="171">
        <v>1.48799357359117</v>
      </c>
      <c r="G40" s="171">
        <v>1.1860493119302</v>
      </c>
      <c r="H40" s="171">
        <f t="shared" ref="H40:H43" si="14">E25</f>
        <v>2.58064216004365</v>
      </c>
      <c r="I40" s="171"/>
      <c r="J40" s="170" t="s">
        <v>12</v>
      </c>
      <c r="K40" s="171">
        <f t="shared" ref="K40:K43" si="15">H4</f>
        <v>31.509413051002799</v>
      </c>
      <c r="L40" s="171">
        <f t="shared" ref="L40:L43" si="16">H11</f>
        <v>4.2044422096742498</v>
      </c>
      <c r="M40" s="171">
        <f t="shared" ref="M40:M43" si="17">H18</f>
        <v>1.95466980662462</v>
      </c>
      <c r="N40" s="1">
        <f t="shared" ref="N40:N43" si="18">H25</f>
        <v>1.8713225354218401</v>
      </c>
      <c r="O40" s="172"/>
    </row>
    <row r="41" spans="2:15" x14ac:dyDescent="0.35">
      <c r="B41" s="1"/>
      <c r="D41" s="170" t="s">
        <v>13</v>
      </c>
      <c r="E41" s="171">
        <f t="shared" si="13"/>
        <v>-1.09666146519081</v>
      </c>
      <c r="F41" s="172">
        <v>-0.30938864291933799</v>
      </c>
      <c r="G41" s="172">
        <v>-0.65115512740932302</v>
      </c>
      <c r="H41" s="171">
        <f t="shared" si="14"/>
        <v>-0.47600032310944901</v>
      </c>
      <c r="I41" s="172"/>
      <c r="J41" s="170" t="s">
        <v>13</v>
      </c>
      <c r="K41" s="171">
        <f t="shared" si="15"/>
        <v>20.042914207559701</v>
      </c>
      <c r="L41" s="171">
        <f t="shared" si="16"/>
        <v>14.341591645965099</v>
      </c>
      <c r="M41" s="171">
        <f t="shared" si="17"/>
        <v>21.3841274965724</v>
      </c>
      <c r="N41" s="1">
        <f t="shared" si="18"/>
        <v>24.225848413286698</v>
      </c>
      <c r="O41" s="172"/>
    </row>
    <row r="42" spans="2:15" x14ac:dyDescent="0.35">
      <c r="B42" s="1"/>
      <c r="D42" s="170" t="s">
        <v>14</v>
      </c>
      <c r="E42" s="171">
        <f t="shared" si="13"/>
        <v>0.25127400921972698</v>
      </c>
      <c r="F42" s="174">
        <v>0.63196308949555602</v>
      </c>
      <c r="G42" s="172">
        <v>1.4006217953380899</v>
      </c>
      <c r="H42" s="171">
        <f t="shared" si="14"/>
        <v>-0.82076225973053396</v>
      </c>
      <c r="I42" s="171"/>
      <c r="J42" s="170" t="s">
        <v>14</v>
      </c>
      <c r="K42" s="171">
        <f t="shared" si="15"/>
        <v>11.893203911473799</v>
      </c>
      <c r="L42" s="171">
        <f t="shared" si="16"/>
        <v>12.324821294316699</v>
      </c>
      <c r="M42" s="171">
        <f t="shared" si="17"/>
        <v>8.3112564534654698</v>
      </c>
      <c r="N42" s="1">
        <f t="shared" si="18"/>
        <v>11.660433769429099</v>
      </c>
      <c r="O42" s="172"/>
    </row>
    <row r="43" spans="2:15" x14ac:dyDescent="0.35">
      <c r="B43" s="1"/>
      <c r="D43" s="173" t="s">
        <v>11</v>
      </c>
      <c r="E43" s="171">
        <f t="shared" si="13"/>
        <v>1.43361638167039</v>
      </c>
      <c r="F43" s="172">
        <v>0.37204903251988802</v>
      </c>
      <c r="G43" s="172">
        <v>0.53267281339680095</v>
      </c>
      <c r="H43" s="171">
        <f t="shared" si="14"/>
        <v>-0.14578568183768201</v>
      </c>
      <c r="I43" s="172"/>
      <c r="J43" s="173" t="s">
        <v>11</v>
      </c>
      <c r="K43" s="171">
        <f t="shared" si="15"/>
        <v>13.7536300685311</v>
      </c>
      <c r="L43" s="171">
        <f t="shared" si="16"/>
        <v>31.267006553039899</v>
      </c>
      <c r="M43" s="171">
        <f t="shared" si="17"/>
        <v>29.119395666058502</v>
      </c>
      <c r="N43" s="1">
        <f t="shared" si="18"/>
        <v>19.759752184762</v>
      </c>
      <c r="O43" s="172"/>
    </row>
    <row r="44" spans="2:15" x14ac:dyDescent="0.35">
      <c r="B44" s="1"/>
      <c r="D44"/>
      <c r="E44" s="1"/>
      <c r="F44" s="1"/>
      <c r="G44" s="1"/>
      <c r="H44" s="1"/>
      <c r="I44" s="1"/>
      <c r="J44" s="1"/>
      <c r="K44"/>
      <c r="O44"/>
    </row>
    <row r="45" spans="2:15" x14ac:dyDescent="0.35">
      <c r="B45" s="1"/>
      <c r="D45"/>
      <c r="E45" s="1"/>
      <c r="F45" s="1"/>
      <c r="G45" s="1"/>
      <c r="H45" s="1"/>
      <c r="I45" s="1"/>
      <c r="J45" s="1"/>
      <c r="K45"/>
      <c r="O45"/>
    </row>
    <row r="46" spans="2:15" x14ac:dyDescent="0.35">
      <c r="B46" s="1"/>
      <c r="D46"/>
      <c r="E46" s="1"/>
      <c r="F46" s="1"/>
      <c r="G46" s="1"/>
      <c r="H46" s="1"/>
      <c r="I46" s="1"/>
      <c r="J46" s="1"/>
      <c r="K46"/>
      <c r="O46"/>
    </row>
    <row r="47" spans="2:15" x14ac:dyDescent="0.35">
      <c r="B47" s="1"/>
      <c r="D47"/>
      <c r="E47" s="1"/>
      <c r="F47" s="1"/>
      <c r="G47" s="1"/>
      <c r="H47" s="1"/>
      <c r="I47" s="1"/>
      <c r="J47" s="1"/>
      <c r="K47"/>
      <c r="O47"/>
    </row>
    <row r="48" spans="2:15" x14ac:dyDescent="0.35">
      <c r="B48" s="1"/>
      <c r="D48"/>
      <c r="E48" s="1"/>
      <c r="F48" s="1"/>
      <c r="G48" s="1"/>
      <c r="H48" s="1"/>
      <c r="I48" s="1"/>
      <c r="J48" s="1"/>
      <c r="K48"/>
      <c r="O48"/>
    </row>
    <row r="49" spans="2:15" x14ac:dyDescent="0.35">
      <c r="B49" s="1"/>
      <c r="D49"/>
      <c r="E49" s="1"/>
      <c r="F49" s="1"/>
      <c r="G49" s="1"/>
      <c r="H49" s="1"/>
      <c r="I49" s="1"/>
      <c r="J49" s="1"/>
      <c r="K49"/>
      <c r="O49"/>
    </row>
    <row r="50" spans="2:15" x14ac:dyDescent="0.35">
      <c r="B50" s="1"/>
      <c r="D50"/>
      <c r="E50" s="1"/>
      <c r="F50" s="1"/>
      <c r="G50" s="1"/>
      <c r="H50" s="1"/>
      <c r="I50" s="1"/>
      <c r="J50" s="1"/>
      <c r="K50"/>
      <c r="O50"/>
    </row>
    <row r="51" spans="2:15" x14ac:dyDescent="0.35">
      <c r="B51" s="1"/>
      <c r="D51"/>
      <c r="E51" s="1"/>
      <c r="F51" s="1"/>
      <c r="G51" s="1"/>
      <c r="H51" s="1"/>
      <c r="I51" s="1"/>
      <c r="J51" s="1"/>
      <c r="K51"/>
      <c r="O51"/>
    </row>
    <row r="52" spans="2:15" x14ac:dyDescent="0.35">
      <c r="B52" s="1"/>
      <c r="D52"/>
      <c r="E52" s="1"/>
      <c r="F52" s="1"/>
      <c r="G52" s="1"/>
      <c r="H52" s="1"/>
      <c r="I52" s="1"/>
      <c r="J52" s="1"/>
      <c r="K52"/>
      <c r="O52"/>
    </row>
    <row r="53" spans="2:15" x14ac:dyDescent="0.35">
      <c r="B53" s="1"/>
      <c r="D53"/>
      <c r="E53" s="1"/>
      <c r="F53" s="1"/>
      <c r="G53" s="1"/>
      <c r="H53" s="1"/>
      <c r="I53" s="1"/>
      <c r="J53" s="1"/>
      <c r="K53"/>
      <c r="O53"/>
    </row>
    <row r="54" spans="2:15" x14ac:dyDescent="0.35">
      <c r="B54" s="1"/>
      <c r="D54"/>
      <c r="E54" s="1"/>
      <c r="F54" s="1"/>
      <c r="G54" s="1"/>
      <c r="H54" s="1"/>
      <c r="I54" s="1"/>
      <c r="J54" s="1"/>
      <c r="K54"/>
      <c r="O54"/>
    </row>
    <row r="55" spans="2:15" x14ac:dyDescent="0.35">
      <c r="B55" s="1"/>
      <c r="D55"/>
      <c r="E55" s="1"/>
      <c r="F55" s="1"/>
      <c r="G55" s="1"/>
      <c r="H55" s="1"/>
      <c r="I55" s="1"/>
      <c r="J55" s="1"/>
      <c r="K55"/>
      <c r="O55"/>
    </row>
    <row r="56" spans="2:15" x14ac:dyDescent="0.35">
      <c r="B56" s="1"/>
      <c r="D56"/>
      <c r="E56" s="1"/>
      <c r="F56" s="1"/>
      <c r="G56" s="1"/>
      <c r="H56" s="1"/>
      <c r="I56" s="1"/>
      <c r="J56" s="1"/>
      <c r="K56"/>
      <c r="O56"/>
    </row>
    <row r="57" spans="2:15" x14ac:dyDescent="0.35">
      <c r="B57" s="1"/>
      <c r="D57"/>
      <c r="E57" s="1"/>
      <c r="F57" s="1"/>
      <c r="G57" s="1"/>
      <c r="H57" s="1"/>
      <c r="I57" s="1"/>
      <c r="J57" s="1"/>
      <c r="K57"/>
      <c r="O57"/>
    </row>
    <row r="58" spans="2:15" x14ac:dyDescent="0.35">
      <c r="B58" s="1"/>
      <c r="D58"/>
      <c r="E58" s="1"/>
      <c r="F58" s="1"/>
      <c r="G58" s="1"/>
      <c r="H58" s="1"/>
      <c r="I58" s="1"/>
      <c r="J58" s="1"/>
      <c r="K58"/>
      <c r="O58"/>
    </row>
    <row r="59" spans="2:15" x14ac:dyDescent="0.35">
      <c r="B59" s="1"/>
      <c r="D59"/>
      <c r="E59" s="1"/>
      <c r="F59" s="1"/>
      <c r="G59" s="1"/>
      <c r="H59" s="1"/>
      <c r="I59" s="1"/>
      <c r="J59" s="1"/>
      <c r="K59"/>
      <c r="O59"/>
    </row>
    <row r="60" spans="2:15" x14ac:dyDescent="0.35">
      <c r="B60" s="1"/>
      <c r="D60"/>
      <c r="E60" s="1"/>
      <c r="F60" s="1"/>
      <c r="G60" s="1"/>
      <c r="H60" s="1"/>
      <c r="I60" s="1"/>
      <c r="J60" s="1"/>
      <c r="K60"/>
      <c r="O60"/>
    </row>
    <row r="61" spans="2:15" x14ac:dyDescent="0.35">
      <c r="B61" s="1"/>
      <c r="D61"/>
      <c r="E61" s="1"/>
      <c r="F61" s="1"/>
      <c r="G61" s="1"/>
      <c r="H61" s="1"/>
      <c r="I61" s="1"/>
      <c r="J61" s="1"/>
      <c r="K61"/>
      <c r="O61"/>
    </row>
    <row r="62" spans="2:15" x14ac:dyDescent="0.35">
      <c r="B62" s="1"/>
      <c r="D62"/>
      <c r="E62" s="1"/>
      <c r="F62" s="1"/>
      <c r="G62" s="1"/>
      <c r="H62" s="1"/>
      <c r="I62" s="1"/>
      <c r="J62" s="1"/>
      <c r="K62"/>
      <c r="O62"/>
    </row>
    <row r="63" spans="2:15" x14ac:dyDescent="0.35">
      <c r="B63" s="1"/>
      <c r="D63"/>
      <c r="E63" s="1"/>
      <c r="F63" s="1"/>
      <c r="G63" s="1"/>
      <c r="H63" s="1"/>
      <c r="I63" s="1"/>
      <c r="J63" s="1"/>
      <c r="K63"/>
      <c r="O63"/>
    </row>
    <row r="64" spans="2:15" x14ac:dyDescent="0.35">
      <c r="B64" s="1"/>
      <c r="D64"/>
      <c r="E64" s="1"/>
      <c r="F64" s="1"/>
      <c r="G64" s="1"/>
      <c r="H64" s="1"/>
      <c r="I64" s="1"/>
      <c r="J64" s="1"/>
      <c r="K64"/>
      <c r="O64"/>
    </row>
    <row r="65" spans="2:15" x14ac:dyDescent="0.35">
      <c r="B65" s="1"/>
      <c r="D65"/>
      <c r="E65" s="1"/>
      <c r="F65" s="1"/>
      <c r="G65" s="1"/>
      <c r="H65" s="1"/>
      <c r="I65" s="1"/>
      <c r="J65" s="1"/>
      <c r="K65"/>
      <c r="O65"/>
    </row>
    <row r="66" spans="2:15" x14ac:dyDescent="0.35">
      <c r="B66" s="1"/>
      <c r="D66"/>
      <c r="E66" s="1"/>
      <c r="F66" s="1"/>
      <c r="G66" s="1"/>
      <c r="H66" s="1"/>
      <c r="I66" s="1"/>
      <c r="J66" s="1"/>
      <c r="K66"/>
      <c r="O66"/>
    </row>
    <row r="67" spans="2:15" x14ac:dyDescent="0.35">
      <c r="B67" s="1"/>
      <c r="D67"/>
      <c r="E67" s="1"/>
      <c r="F67" s="1"/>
      <c r="G67" s="1"/>
      <c r="H67" s="1"/>
      <c r="I67" s="1"/>
      <c r="J67" s="1"/>
      <c r="K67"/>
      <c r="O67"/>
    </row>
    <row r="68" spans="2:15" x14ac:dyDescent="0.35">
      <c r="B68" s="1"/>
      <c r="D68"/>
      <c r="E68" s="1"/>
      <c r="F68" s="1"/>
      <c r="G68" s="1"/>
      <c r="H68" s="1"/>
      <c r="I68" s="1"/>
      <c r="J68" s="1"/>
      <c r="K68"/>
      <c r="O68"/>
    </row>
    <row r="69" spans="2:15" x14ac:dyDescent="0.35">
      <c r="B69" s="1"/>
      <c r="D69"/>
      <c r="E69" s="1"/>
      <c r="F69" s="1"/>
      <c r="G69" s="1"/>
      <c r="H69" s="1"/>
      <c r="I69" s="1"/>
      <c r="J69" s="1"/>
      <c r="K69"/>
      <c r="O69"/>
    </row>
    <row r="70" spans="2:15" x14ac:dyDescent="0.35">
      <c r="B70" s="1"/>
      <c r="D70"/>
      <c r="E70" s="1"/>
      <c r="F70" s="1"/>
      <c r="G70" s="1"/>
      <c r="H70" s="1"/>
      <c r="I70" s="1"/>
      <c r="J70" s="1"/>
      <c r="K70"/>
      <c r="O70"/>
    </row>
    <row r="71" spans="2:15" x14ac:dyDescent="0.35">
      <c r="B71" s="1"/>
      <c r="D71"/>
      <c r="E71" s="1"/>
      <c r="F71" s="1"/>
      <c r="G71" s="1"/>
      <c r="H71" s="1"/>
      <c r="I71" s="1"/>
      <c r="J71" s="1"/>
      <c r="K71"/>
      <c r="O71"/>
    </row>
    <row r="72" spans="2:15" x14ac:dyDescent="0.35">
      <c r="B72" s="1"/>
      <c r="D72"/>
      <c r="E72" s="1"/>
      <c r="F72" s="1"/>
      <c r="G72" s="1"/>
      <c r="H72" s="1"/>
      <c r="I72" s="1"/>
      <c r="J72" s="1"/>
      <c r="K72"/>
      <c r="O72"/>
    </row>
    <row r="73" spans="2:15" x14ac:dyDescent="0.35">
      <c r="B73" s="1"/>
      <c r="D73"/>
      <c r="E73" s="1"/>
      <c r="F73" s="1"/>
      <c r="G73" s="1"/>
      <c r="H73" s="1"/>
      <c r="I73" s="1"/>
      <c r="J73" s="1"/>
      <c r="K73"/>
      <c r="O73"/>
    </row>
    <row r="74" spans="2:15" x14ac:dyDescent="0.35">
      <c r="B74" s="1"/>
      <c r="D74"/>
      <c r="E74" s="1"/>
      <c r="F74" s="1"/>
      <c r="G74" s="1"/>
      <c r="H74" s="1"/>
      <c r="I74" s="1"/>
      <c r="J74" s="1"/>
      <c r="K74"/>
      <c r="O74"/>
    </row>
    <row r="75" spans="2:15" x14ac:dyDescent="0.35">
      <c r="B75" s="1"/>
      <c r="D75"/>
      <c r="E75" s="1"/>
      <c r="F75" s="1"/>
      <c r="G75" s="1"/>
      <c r="H75" s="1"/>
      <c r="I75" s="1"/>
      <c r="J75" s="1"/>
      <c r="K75"/>
      <c r="O75"/>
    </row>
    <row r="76" spans="2:15" x14ac:dyDescent="0.35">
      <c r="B76" s="1"/>
      <c r="D76"/>
      <c r="E76" s="1"/>
      <c r="F76" s="1"/>
      <c r="G76" s="1"/>
      <c r="H76" s="1"/>
      <c r="I76" s="1"/>
      <c r="J76" s="1"/>
      <c r="K76"/>
      <c r="O76"/>
    </row>
    <row r="77" spans="2:15" x14ac:dyDescent="0.35">
      <c r="B77" s="1"/>
      <c r="D77"/>
      <c r="E77" s="1"/>
      <c r="F77" s="1"/>
      <c r="G77" s="1"/>
      <c r="H77" s="1"/>
      <c r="I77" s="1"/>
      <c r="J77" s="1"/>
      <c r="K77"/>
      <c r="O77"/>
    </row>
    <row r="78" spans="2:15" x14ac:dyDescent="0.35">
      <c r="B78" s="1"/>
      <c r="D78"/>
      <c r="E78" s="1"/>
      <c r="F78" s="1"/>
      <c r="G78" s="1"/>
      <c r="H78" s="1"/>
      <c r="I78" s="1"/>
      <c r="J78" s="1"/>
      <c r="K78"/>
      <c r="O78"/>
    </row>
    <row r="79" spans="2:15" x14ac:dyDescent="0.35">
      <c r="B79" s="1"/>
      <c r="D79"/>
      <c r="E79" s="1"/>
      <c r="F79" s="1"/>
      <c r="G79" s="1"/>
      <c r="H79" s="1"/>
      <c r="I79" s="1"/>
      <c r="J79" s="1"/>
      <c r="K79"/>
      <c r="O79"/>
    </row>
    <row r="80" spans="2:15" x14ac:dyDescent="0.35">
      <c r="B80" s="1"/>
      <c r="D80"/>
      <c r="E80" s="1"/>
      <c r="F80" s="1"/>
      <c r="G80" s="1"/>
      <c r="H80" s="1"/>
      <c r="I80" s="1"/>
      <c r="J80" s="1"/>
      <c r="K80"/>
      <c r="O80"/>
    </row>
    <row r="81" spans="2:15" x14ac:dyDescent="0.35">
      <c r="B81" s="1"/>
      <c r="D81"/>
      <c r="E81" s="1"/>
      <c r="F81" s="1"/>
      <c r="G81" s="1"/>
      <c r="H81" s="1"/>
      <c r="I81" s="1"/>
      <c r="J81" s="1"/>
      <c r="K81"/>
      <c r="O81"/>
    </row>
    <row r="82" spans="2:15" x14ac:dyDescent="0.35">
      <c r="B82" s="1"/>
      <c r="D82"/>
      <c r="E82" s="1"/>
      <c r="F82" s="1"/>
      <c r="G82" s="1"/>
      <c r="H82" s="1"/>
      <c r="I82" s="1"/>
      <c r="J82" s="1"/>
      <c r="K82"/>
      <c r="O82"/>
    </row>
    <row r="83" spans="2:15" x14ac:dyDescent="0.35">
      <c r="B83" s="1"/>
      <c r="D83"/>
      <c r="E83" s="1"/>
      <c r="F83" s="1"/>
      <c r="G83" s="1"/>
      <c r="H83" s="1"/>
      <c r="I83" s="1"/>
      <c r="J83" s="1"/>
      <c r="K83"/>
      <c r="O83"/>
    </row>
    <row r="84" spans="2:15" x14ac:dyDescent="0.35">
      <c r="B84" s="1"/>
      <c r="D84"/>
      <c r="E84" s="1"/>
      <c r="F84" s="1"/>
      <c r="G84" s="1"/>
      <c r="H84" s="1"/>
      <c r="I84" s="1"/>
      <c r="J84" s="1"/>
      <c r="K84"/>
      <c r="O84"/>
    </row>
    <row r="85" spans="2:15" x14ac:dyDescent="0.35">
      <c r="B85" s="1"/>
      <c r="D85"/>
      <c r="E85" s="1"/>
      <c r="F85" s="1"/>
      <c r="G85" s="1"/>
      <c r="H85" s="1"/>
      <c r="I85" s="1"/>
      <c r="J85" s="1"/>
      <c r="K85"/>
      <c r="O85"/>
    </row>
    <row r="86" spans="2:15" x14ac:dyDescent="0.35">
      <c r="B86" s="1"/>
      <c r="D86"/>
      <c r="E86" s="1"/>
      <c r="F86" s="1"/>
      <c r="G86" s="1"/>
      <c r="H86" s="1"/>
      <c r="I86" s="1"/>
      <c r="J86" s="1"/>
      <c r="K86"/>
      <c r="O86"/>
    </row>
    <row r="87" spans="2:15" x14ac:dyDescent="0.35">
      <c r="B87" s="1"/>
      <c r="D87"/>
      <c r="E87" s="1"/>
      <c r="F87" s="1"/>
      <c r="G87" s="1"/>
      <c r="H87" s="1"/>
      <c r="I87" s="1"/>
      <c r="J87" s="1"/>
      <c r="K87"/>
      <c r="O87"/>
    </row>
    <row r="88" spans="2:15" x14ac:dyDescent="0.35">
      <c r="B88" s="1"/>
      <c r="D88"/>
      <c r="E88" s="1"/>
      <c r="F88" s="1"/>
      <c r="G88" s="1"/>
      <c r="H88" s="1"/>
      <c r="I88" s="1"/>
      <c r="J88" s="1"/>
      <c r="K88"/>
      <c r="O88"/>
    </row>
    <row r="89" spans="2:15" x14ac:dyDescent="0.35">
      <c r="B89" s="1"/>
      <c r="D89"/>
      <c r="E89" s="1"/>
      <c r="F89" s="1"/>
      <c r="G89" s="1"/>
      <c r="H89" s="1"/>
      <c r="I89" s="1"/>
      <c r="J89" s="1"/>
      <c r="K89"/>
      <c r="O89"/>
    </row>
    <row r="90" spans="2:15" x14ac:dyDescent="0.35">
      <c r="B90" s="1"/>
      <c r="D90"/>
      <c r="E90" s="1"/>
      <c r="F90" s="1"/>
      <c r="G90" s="1"/>
      <c r="H90" s="1"/>
      <c r="I90" s="1"/>
      <c r="J90" s="1"/>
      <c r="K90"/>
      <c r="O90"/>
    </row>
    <row r="91" spans="2:15" x14ac:dyDescent="0.35">
      <c r="B91" s="1"/>
      <c r="D91"/>
      <c r="E91" s="1"/>
      <c r="F91" s="1"/>
      <c r="G91" s="1"/>
      <c r="H91" s="1"/>
      <c r="I91" s="1"/>
      <c r="J91" s="1"/>
      <c r="K91"/>
      <c r="O91"/>
    </row>
    <row r="92" spans="2:15" x14ac:dyDescent="0.35">
      <c r="B92" s="1"/>
      <c r="D92"/>
      <c r="E92" s="1"/>
      <c r="F92" s="1"/>
      <c r="G92" s="1"/>
      <c r="H92" s="1"/>
      <c r="I92" s="1"/>
      <c r="J92" s="1"/>
      <c r="K92"/>
      <c r="O92"/>
    </row>
    <row r="93" spans="2:15" x14ac:dyDescent="0.35">
      <c r="B93" s="1"/>
      <c r="D93"/>
      <c r="E93" s="1"/>
      <c r="F93" s="1"/>
      <c r="G93" s="1"/>
      <c r="H93" s="1"/>
      <c r="I93" s="1"/>
      <c r="J93" s="1"/>
      <c r="K93"/>
      <c r="O93"/>
    </row>
    <row r="94" spans="2:15" x14ac:dyDescent="0.35">
      <c r="B94" s="1"/>
      <c r="D94"/>
      <c r="E94" s="1"/>
      <c r="F94" s="1"/>
      <c r="G94" s="1"/>
      <c r="H94" s="1"/>
      <c r="I94" s="1"/>
      <c r="J94" s="1"/>
      <c r="K94"/>
      <c r="O94"/>
    </row>
    <row r="95" spans="2:15" x14ac:dyDescent="0.35">
      <c r="B95" s="1"/>
      <c r="D95"/>
      <c r="E95" s="1"/>
      <c r="F95" s="1"/>
      <c r="G95" s="1"/>
      <c r="H95" s="1"/>
      <c r="I95" s="1"/>
      <c r="J95" s="1"/>
      <c r="K95"/>
      <c r="O95"/>
    </row>
    <row r="96" spans="2:15" x14ac:dyDescent="0.35">
      <c r="B96" s="1"/>
      <c r="D96"/>
      <c r="E96" s="1"/>
      <c r="F96" s="1"/>
      <c r="G96" s="1"/>
      <c r="H96" s="1"/>
      <c r="I96" s="1"/>
      <c r="J96" s="1"/>
      <c r="K96"/>
      <c r="O96"/>
    </row>
    <row r="97" spans="2:15" x14ac:dyDescent="0.35">
      <c r="B97" s="1"/>
      <c r="D97"/>
      <c r="E97" s="1"/>
      <c r="F97" s="1"/>
      <c r="G97" s="1"/>
      <c r="H97" s="1"/>
      <c r="I97" s="1"/>
      <c r="J97" s="1"/>
      <c r="K97"/>
      <c r="O97"/>
    </row>
    <row r="98" spans="2:15" x14ac:dyDescent="0.35">
      <c r="B98" s="1"/>
      <c r="D98"/>
      <c r="E98" s="1"/>
      <c r="F98" s="1"/>
      <c r="G98" s="1"/>
      <c r="H98" s="1"/>
      <c r="I98" s="1"/>
      <c r="J98" s="1"/>
      <c r="K98"/>
      <c r="O98"/>
    </row>
    <row r="99" spans="2:15" x14ac:dyDescent="0.35">
      <c r="B99" s="1"/>
      <c r="D99"/>
      <c r="E99" s="1"/>
      <c r="F99" s="1"/>
      <c r="G99" s="1"/>
      <c r="H99" s="1"/>
      <c r="I99" s="1"/>
      <c r="J99" s="1"/>
      <c r="K99"/>
      <c r="O99"/>
    </row>
    <row r="100" spans="2:15" x14ac:dyDescent="0.35">
      <c r="B100" s="1"/>
      <c r="D100"/>
      <c r="E100" s="1"/>
      <c r="F100" s="1"/>
      <c r="G100" s="1"/>
      <c r="H100" s="1"/>
      <c r="I100" s="1"/>
      <c r="J100" s="1"/>
      <c r="K100"/>
      <c r="O100"/>
    </row>
    <row r="101" spans="2:15" x14ac:dyDescent="0.35">
      <c r="B101" s="1"/>
      <c r="D101"/>
      <c r="E101" s="1"/>
      <c r="F101" s="1"/>
      <c r="G101" s="1"/>
      <c r="H101" s="1"/>
      <c r="I101" s="1"/>
      <c r="J101" s="1"/>
      <c r="K101"/>
      <c r="O101"/>
    </row>
    <row r="102" spans="2:15" x14ac:dyDescent="0.35">
      <c r="B102" s="1"/>
      <c r="D102"/>
      <c r="E102" s="1"/>
      <c r="F102" s="1"/>
      <c r="G102" s="1"/>
      <c r="H102" s="1"/>
      <c r="I102" s="1"/>
      <c r="J102" s="1"/>
      <c r="K102"/>
      <c r="O102"/>
    </row>
    <row r="103" spans="2:15" x14ac:dyDescent="0.35">
      <c r="B103" s="1"/>
      <c r="D103"/>
      <c r="E103" s="1"/>
      <c r="F103" s="1"/>
      <c r="G103" s="1"/>
      <c r="H103" s="1"/>
      <c r="I103" s="1"/>
      <c r="J103" s="1"/>
      <c r="K103"/>
      <c r="O103"/>
    </row>
    <row r="104" spans="2:15" x14ac:dyDescent="0.35">
      <c r="B104" s="1"/>
      <c r="D104"/>
      <c r="E104" s="1"/>
      <c r="F104" s="1"/>
      <c r="G104" s="1"/>
      <c r="H104" s="1"/>
      <c r="I104" s="1"/>
      <c r="J104" s="1"/>
      <c r="K104"/>
      <c r="O104"/>
    </row>
    <row r="105" spans="2:15" x14ac:dyDescent="0.35">
      <c r="B105" s="1"/>
      <c r="D105"/>
      <c r="E105" s="1"/>
      <c r="F105" s="1"/>
      <c r="G105" s="1"/>
      <c r="H105" s="1"/>
      <c r="I105" s="1"/>
      <c r="J105" s="1"/>
      <c r="K105"/>
      <c r="O105"/>
    </row>
    <row r="106" spans="2:15" x14ac:dyDescent="0.35">
      <c r="B106" s="1"/>
      <c r="D106"/>
      <c r="E106" s="1"/>
      <c r="F106" s="1"/>
      <c r="G106" s="1"/>
      <c r="H106" s="1"/>
      <c r="I106" s="1"/>
      <c r="J106" s="1"/>
      <c r="K106"/>
      <c r="O106"/>
    </row>
    <row r="107" spans="2:15" x14ac:dyDescent="0.35">
      <c r="B107" s="1"/>
      <c r="D107"/>
      <c r="E107" s="1"/>
      <c r="F107" s="1"/>
      <c r="G107" s="1"/>
      <c r="H107" s="1"/>
      <c r="I107" s="1"/>
      <c r="J107" s="1"/>
      <c r="K107"/>
      <c r="O107"/>
    </row>
    <row r="108" spans="2:15" x14ac:dyDescent="0.35">
      <c r="B108" s="1"/>
      <c r="D108"/>
      <c r="E108" s="1"/>
      <c r="F108" s="1"/>
      <c r="G108" s="1"/>
      <c r="H108" s="1"/>
      <c r="I108" s="1"/>
      <c r="J108" s="1"/>
      <c r="K108"/>
      <c r="O108"/>
    </row>
    <row r="109" spans="2:15" x14ac:dyDescent="0.35">
      <c r="B109" s="1"/>
      <c r="D109"/>
      <c r="E109" s="1"/>
      <c r="F109" s="1"/>
      <c r="G109" s="1"/>
      <c r="H109" s="1"/>
      <c r="I109" s="1"/>
      <c r="J109" s="1"/>
      <c r="K109"/>
      <c r="O109"/>
    </row>
    <row r="110" spans="2:15" x14ac:dyDescent="0.35">
      <c r="B110" s="1"/>
      <c r="D110"/>
      <c r="E110" s="1"/>
      <c r="F110" s="1"/>
      <c r="G110" s="1"/>
      <c r="H110" s="1"/>
      <c r="I110" s="1"/>
      <c r="J110" s="1"/>
      <c r="K110"/>
      <c r="O110"/>
    </row>
    <row r="111" spans="2:15" x14ac:dyDescent="0.35">
      <c r="B111" s="1"/>
      <c r="D111"/>
      <c r="E111" s="1"/>
      <c r="F111" s="1"/>
      <c r="G111" s="1"/>
      <c r="H111" s="1"/>
      <c r="I111" s="1"/>
      <c r="J111" s="1"/>
      <c r="K111"/>
      <c r="O111"/>
    </row>
    <row r="112" spans="2:15" x14ac:dyDescent="0.35">
      <c r="B112" s="1"/>
      <c r="D112"/>
      <c r="E112" s="1"/>
      <c r="F112" s="1"/>
      <c r="G112" s="1"/>
      <c r="H112" s="1"/>
      <c r="I112" s="1"/>
      <c r="J112" s="1"/>
      <c r="K112"/>
      <c r="O112"/>
    </row>
    <row r="113" spans="2:15" x14ac:dyDescent="0.35">
      <c r="B113" s="1"/>
      <c r="D113"/>
      <c r="E113" s="1"/>
      <c r="F113" s="1"/>
      <c r="G113" s="1"/>
      <c r="H113" s="1"/>
      <c r="I113" s="1"/>
      <c r="J113" s="1"/>
      <c r="K113"/>
      <c r="O113"/>
    </row>
    <row r="114" spans="2:15" x14ac:dyDescent="0.35">
      <c r="B114" s="1"/>
      <c r="D114"/>
      <c r="E114" s="1"/>
      <c r="F114" s="1"/>
      <c r="G114" s="1"/>
      <c r="H114" s="1"/>
      <c r="I114" s="1"/>
      <c r="J114" s="1"/>
      <c r="K114"/>
      <c r="O114"/>
    </row>
    <row r="115" spans="2:15" x14ac:dyDescent="0.35">
      <c r="B115" s="1"/>
      <c r="D115"/>
      <c r="E115" s="1"/>
      <c r="F115" s="1"/>
      <c r="G115" s="1"/>
      <c r="H115" s="1"/>
      <c r="I115" s="1"/>
      <c r="J115" s="1"/>
      <c r="K115"/>
      <c r="O115"/>
    </row>
    <row r="116" spans="2:15" x14ac:dyDescent="0.35">
      <c r="B116" s="1"/>
      <c r="D116"/>
      <c r="E116" s="1"/>
      <c r="F116" s="1"/>
      <c r="G116" s="1"/>
      <c r="H116" s="1"/>
      <c r="I116" s="1"/>
      <c r="J116" s="1"/>
      <c r="K116"/>
      <c r="O116"/>
    </row>
    <row r="117" spans="2:15" x14ac:dyDescent="0.35">
      <c r="B117" s="1"/>
      <c r="D117"/>
      <c r="E117" s="1"/>
      <c r="F117" s="1"/>
      <c r="G117" s="1"/>
      <c r="H117" s="1"/>
      <c r="I117" s="1"/>
      <c r="J117" s="1"/>
      <c r="K117"/>
      <c r="O117"/>
    </row>
    <row r="118" spans="2:15" x14ac:dyDescent="0.35">
      <c r="B118" s="1"/>
      <c r="D118"/>
      <c r="E118" s="1"/>
      <c r="F118" s="1"/>
      <c r="G118" s="1"/>
      <c r="H118" s="1"/>
      <c r="I118" s="1"/>
      <c r="J118" s="1"/>
      <c r="K118"/>
      <c r="O118"/>
    </row>
    <row r="119" spans="2:15" x14ac:dyDescent="0.35">
      <c r="B119" s="1"/>
      <c r="D119"/>
      <c r="E119" s="1"/>
      <c r="F119" s="1"/>
      <c r="G119" s="1"/>
      <c r="H119" s="1"/>
      <c r="I119" s="1"/>
      <c r="J119" s="1"/>
      <c r="K119"/>
      <c r="O119"/>
    </row>
    <row r="120" spans="2:15" x14ac:dyDescent="0.35">
      <c r="B120" s="1"/>
      <c r="D120"/>
      <c r="E120" s="1"/>
      <c r="F120" s="1"/>
      <c r="G120" s="1"/>
      <c r="H120" s="1"/>
      <c r="I120" s="1"/>
      <c r="J120" s="1"/>
      <c r="K120"/>
      <c r="O120"/>
    </row>
    <row r="121" spans="2:15" x14ac:dyDescent="0.35">
      <c r="B121" s="1"/>
      <c r="D121"/>
      <c r="E121" s="1"/>
      <c r="F121" s="1"/>
      <c r="G121" s="1"/>
      <c r="H121" s="1"/>
      <c r="I121" s="1"/>
      <c r="J121" s="1"/>
      <c r="K121"/>
      <c r="O121"/>
    </row>
    <row r="122" spans="2:15" x14ac:dyDescent="0.35">
      <c r="B122" s="1"/>
      <c r="D122"/>
      <c r="E122" s="1"/>
      <c r="F122" s="1"/>
      <c r="G122" s="1"/>
      <c r="H122" s="1"/>
      <c r="I122" s="1"/>
      <c r="J122" s="1"/>
      <c r="K122"/>
      <c r="O122"/>
    </row>
    <row r="123" spans="2:15" x14ac:dyDescent="0.35">
      <c r="B123" s="1"/>
      <c r="D123"/>
      <c r="E123" s="1"/>
      <c r="F123" s="1"/>
      <c r="G123" s="1"/>
      <c r="H123" s="1"/>
      <c r="I123" s="1"/>
      <c r="J123" s="1"/>
      <c r="K123"/>
      <c r="O123"/>
    </row>
    <row r="124" spans="2:15" x14ac:dyDescent="0.35">
      <c r="B124" s="1"/>
      <c r="D124"/>
      <c r="E124" s="1"/>
      <c r="F124" s="1"/>
      <c r="G124" s="1"/>
      <c r="H124" s="1"/>
      <c r="I124" s="1"/>
      <c r="J124" s="1"/>
      <c r="K124"/>
      <c r="O124"/>
    </row>
    <row r="125" spans="2:15" x14ac:dyDescent="0.35">
      <c r="B125" s="1"/>
      <c r="D125"/>
      <c r="E125" s="1"/>
      <c r="F125" s="1"/>
      <c r="G125" s="1"/>
      <c r="H125" s="1"/>
      <c r="I125" s="1"/>
      <c r="J125" s="1"/>
      <c r="K125"/>
      <c r="O125"/>
    </row>
    <row r="126" spans="2:15" x14ac:dyDescent="0.35">
      <c r="B126" s="1"/>
      <c r="D126"/>
      <c r="E126" s="1"/>
      <c r="F126" s="1"/>
      <c r="G126" s="1"/>
      <c r="H126" s="1"/>
      <c r="I126" s="1"/>
      <c r="J126" s="1"/>
      <c r="K126"/>
      <c r="O126"/>
    </row>
    <row r="127" spans="2:15" x14ac:dyDescent="0.35">
      <c r="B127" s="1"/>
      <c r="D127"/>
      <c r="E127" s="1"/>
      <c r="F127" s="1"/>
      <c r="G127" s="1"/>
      <c r="H127" s="1"/>
      <c r="I127" s="1"/>
      <c r="J127" s="1"/>
      <c r="K127"/>
      <c r="O127"/>
    </row>
    <row r="128" spans="2:15" x14ac:dyDescent="0.35">
      <c r="B128" s="1"/>
      <c r="D128"/>
      <c r="E128" s="1"/>
      <c r="F128" s="1"/>
      <c r="G128" s="1"/>
      <c r="H128" s="1"/>
      <c r="I128" s="1"/>
      <c r="J128" s="1"/>
      <c r="K128"/>
      <c r="O128"/>
    </row>
    <row r="129" spans="2:15" x14ac:dyDescent="0.35">
      <c r="B129" s="1"/>
      <c r="D129"/>
      <c r="E129" s="1"/>
      <c r="F129" s="1"/>
      <c r="G129" s="1"/>
      <c r="H129" s="1"/>
      <c r="I129" s="1"/>
      <c r="J129" s="1"/>
      <c r="K129"/>
      <c r="O129"/>
    </row>
    <row r="130" spans="2:15" x14ac:dyDescent="0.35">
      <c r="B130" s="1"/>
      <c r="D130"/>
      <c r="E130" s="1"/>
      <c r="F130" s="1"/>
      <c r="G130" s="1"/>
      <c r="H130" s="1"/>
      <c r="I130" s="1"/>
      <c r="J130" s="1"/>
      <c r="K130"/>
      <c r="O130"/>
    </row>
    <row r="131" spans="2:15" x14ac:dyDescent="0.35">
      <c r="B131" s="1"/>
      <c r="D131"/>
      <c r="E131" s="1"/>
      <c r="F131" s="1"/>
      <c r="G131" s="1"/>
      <c r="H131" s="1"/>
      <c r="I131" s="1"/>
      <c r="J131" s="1"/>
      <c r="K131"/>
      <c r="O131"/>
    </row>
    <row r="132" spans="2:15" x14ac:dyDescent="0.35">
      <c r="B132" s="1"/>
      <c r="D132"/>
      <c r="E132" s="1"/>
      <c r="F132" s="1"/>
      <c r="G132" s="1"/>
      <c r="H132" s="1"/>
      <c r="I132" s="1"/>
      <c r="J132" s="1"/>
      <c r="K132"/>
      <c r="O132"/>
    </row>
    <row r="133" spans="2:15" x14ac:dyDescent="0.35">
      <c r="B133" s="1"/>
      <c r="D133"/>
      <c r="E133" s="1"/>
      <c r="F133" s="1"/>
      <c r="G133" s="1"/>
      <c r="H133" s="1"/>
      <c r="I133" s="1"/>
      <c r="J133" s="1"/>
      <c r="K133"/>
      <c r="O133"/>
    </row>
    <row r="134" spans="2:15" x14ac:dyDescent="0.35">
      <c r="B134" s="1"/>
      <c r="D134"/>
      <c r="E134" s="1"/>
      <c r="F134" s="1"/>
      <c r="G134" s="1"/>
      <c r="H134" s="1"/>
      <c r="I134" s="1"/>
      <c r="J134" s="1"/>
      <c r="K134"/>
      <c r="O134"/>
    </row>
    <row r="135" spans="2:15" x14ac:dyDescent="0.35">
      <c r="B135" s="1"/>
      <c r="D135"/>
      <c r="E135" s="1"/>
      <c r="F135" s="1"/>
      <c r="G135" s="1"/>
      <c r="H135" s="1"/>
      <c r="I135" s="1"/>
      <c r="J135" s="1"/>
      <c r="K135"/>
      <c r="O135"/>
    </row>
    <row r="136" spans="2:15" x14ac:dyDescent="0.35">
      <c r="B136" s="1"/>
      <c r="D136"/>
      <c r="E136" s="1"/>
      <c r="F136" s="1"/>
      <c r="G136" s="1"/>
      <c r="H136" s="1"/>
      <c r="I136" s="1"/>
      <c r="J136" s="1"/>
      <c r="K136"/>
      <c r="O136"/>
    </row>
    <row r="137" spans="2:15" x14ac:dyDescent="0.35">
      <c r="B137" s="1"/>
      <c r="D137"/>
      <c r="E137" s="1"/>
      <c r="F137" s="1"/>
      <c r="G137" s="1"/>
      <c r="H137" s="1"/>
      <c r="I137" s="1"/>
      <c r="J137" s="1"/>
      <c r="K137"/>
      <c r="O137"/>
    </row>
    <row r="138" spans="2:15" x14ac:dyDescent="0.35">
      <c r="B138" s="1"/>
      <c r="D138"/>
      <c r="E138" s="1"/>
      <c r="F138" s="1"/>
      <c r="G138" s="1"/>
      <c r="H138" s="1"/>
      <c r="I138" s="1"/>
      <c r="J138" s="1"/>
      <c r="K138"/>
      <c r="O138"/>
    </row>
    <row r="139" spans="2:15" x14ac:dyDescent="0.35">
      <c r="B139" s="1"/>
      <c r="D139"/>
      <c r="E139" s="1"/>
      <c r="F139" s="1"/>
      <c r="G139" s="1"/>
      <c r="H139" s="1"/>
      <c r="I139" s="1"/>
      <c r="J139" s="1"/>
      <c r="K139"/>
      <c r="O139"/>
    </row>
    <row r="140" spans="2:15" x14ac:dyDescent="0.35">
      <c r="B140" s="1"/>
      <c r="D140"/>
      <c r="E140" s="1"/>
      <c r="F140" s="1"/>
      <c r="G140" s="1"/>
      <c r="H140" s="1"/>
      <c r="I140" s="1"/>
      <c r="J140" s="1"/>
      <c r="K140"/>
      <c r="O140"/>
    </row>
    <row r="141" spans="2:15" x14ac:dyDescent="0.35">
      <c r="B141" s="1"/>
      <c r="D141"/>
      <c r="E141" s="1"/>
      <c r="F141" s="1"/>
      <c r="G141" s="1"/>
      <c r="H141" s="1"/>
      <c r="I141" s="1"/>
      <c r="J141" s="1"/>
      <c r="K141"/>
      <c r="O141"/>
    </row>
    <row r="142" spans="2:15" x14ac:dyDescent="0.35">
      <c r="B142" s="1"/>
      <c r="D142"/>
      <c r="E142" s="1"/>
      <c r="F142" s="1"/>
      <c r="G142" s="1"/>
      <c r="H142" s="1"/>
      <c r="I142" s="1"/>
      <c r="J142" s="1"/>
      <c r="K142"/>
      <c r="O142"/>
    </row>
    <row r="143" spans="2:15" x14ac:dyDescent="0.35">
      <c r="B143" s="1"/>
      <c r="D143"/>
      <c r="E143" s="1"/>
      <c r="F143" s="1"/>
      <c r="G143" s="1"/>
      <c r="H143" s="1"/>
      <c r="I143" s="1"/>
      <c r="J143" s="1"/>
      <c r="K143"/>
      <c r="O143"/>
    </row>
    <row r="144" spans="2:15" x14ac:dyDescent="0.35">
      <c r="B144" s="1"/>
      <c r="D144"/>
      <c r="E144" s="1"/>
      <c r="F144" s="1"/>
      <c r="G144" s="1"/>
      <c r="H144" s="1"/>
      <c r="I144" s="1"/>
      <c r="J144" s="1"/>
      <c r="K144"/>
      <c r="O144"/>
    </row>
    <row r="145" spans="2:15" x14ac:dyDescent="0.35">
      <c r="B145" s="1"/>
      <c r="D145"/>
      <c r="E145" s="1"/>
      <c r="F145" s="1"/>
      <c r="G145" s="1"/>
      <c r="H145" s="1"/>
      <c r="I145" s="1"/>
      <c r="J145" s="1"/>
      <c r="K145"/>
      <c r="O145"/>
    </row>
    <row r="146" spans="2:15" x14ac:dyDescent="0.35">
      <c r="B146" s="1"/>
      <c r="D146"/>
      <c r="E146" s="1"/>
      <c r="F146" s="1"/>
      <c r="G146" s="1"/>
      <c r="H146" s="1"/>
      <c r="I146" s="1"/>
      <c r="J146" s="1"/>
      <c r="K146"/>
      <c r="O146"/>
    </row>
    <row r="147" spans="2:15" x14ac:dyDescent="0.35">
      <c r="B147" s="1"/>
      <c r="D147"/>
      <c r="E147" s="1"/>
      <c r="F147" s="1"/>
      <c r="G147" s="1"/>
      <c r="H147" s="1"/>
      <c r="I147" s="1"/>
      <c r="J147" s="1"/>
      <c r="K147"/>
      <c r="O147"/>
    </row>
    <row r="148" spans="2:15" x14ac:dyDescent="0.35">
      <c r="B148" s="1"/>
      <c r="D148"/>
      <c r="E148" s="1"/>
      <c r="F148" s="1"/>
      <c r="G148" s="1"/>
      <c r="H148" s="1"/>
      <c r="I148" s="1"/>
      <c r="J148" s="1"/>
      <c r="K148"/>
      <c r="O148"/>
    </row>
    <row r="149" spans="2:15" x14ac:dyDescent="0.35">
      <c r="B149" s="1"/>
      <c r="D149"/>
      <c r="E149" s="1"/>
      <c r="F149" s="1"/>
      <c r="G149" s="1"/>
      <c r="H149" s="1"/>
      <c r="I149" s="1"/>
      <c r="J149" s="1"/>
      <c r="K149"/>
      <c r="O149"/>
    </row>
    <row r="150" spans="2:15" x14ac:dyDescent="0.35">
      <c r="B150" s="1"/>
      <c r="D150"/>
      <c r="E150" s="1"/>
      <c r="F150" s="1"/>
      <c r="G150" s="1"/>
      <c r="H150" s="1"/>
      <c r="I150" s="1"/>
      <c r="J150" s="1"/>
      <c r="K150"/>
      <c r="O150"/>
    </row>
    <row r="151" spans="2:15" x14ac:dyDescent="0.35">
      <c r="B151" s="1"/>
      <c r="D151"/>
      <c r="E151" s="1"/>
      <c r="F151" s="1"/>
      <c r="G151" s="1"/>
      <c r="H151" s="1"/>
      <c r="I151" s="1"/>
      <c r="J151" s="1"/>
      <c r="K151"/>
      <c r="O151"/>
    </row>
    <row r="152" spans="2:15" x14ac:dyDescent="0.35">
      <c r="B152" s="1"/>
      <c r="D152"/>
      <c r="E152" s="1"/>
      <c r="F152" s="1"/>
      <c r="G152" s="1"/>
      <c r="H152" s="1"/>
      <c r="I152" s="1"/>
      <c r="J152" s="1"/>
      <c r="K152"/>
      <c r="O152"/>
    </row>
    <row r="153" spans="2:15" x14ac:dyDescent="0.35">
      <c r="B153" s="1"/>
      <c r="D153"/>
      <c r="E153" s="1"/>
      <c r="F153" s="1"/>
      <c r="G153" s="1"/>
      <c r="H153" s="1"/>
      <c r="I153" s="1"/>
      <c r="J153" s="1"/>
      <c r="K153"/>
      <c r="O153"/>
    </row>
    <row r="154" spans="2:15" x14ac:dyDescent="0.35">
      <c r="B154" s="1"/>
      <c r="D154"/>
      <c r="E154" s="1"/>
      <c r="F154" s="1"/>
      <c r="G154" s="1"/>
      <c r="H154" s="1"/>
      <c r="I154" s="1"/>
      <c r="J154" s="1"/>
      <c r="K154"/>
      <c r="O154"/>
    </row>
    <row r="155" spans="2:15" x14ac:dyDescent="0.35">
      <c r="B155" s="1"/>
      <c r="D155"/>
      <c r="E155" s="1"/>
      <c r="F155" s="1"/>
      <c r="G155" s="1"/>
      <c r="H155" s="1"/>
      <c r="I155" s="1"/>
      <c r="J155" s="1"/>
      <c r="K155"/>
      <c r="O155"/>
    </row>
    <row r="156" spans="2:15" x14ac:dyDescent="0.35">
      <c r="B156" s="1"/>
      <c r="D156"/>
      <c r="E156" s="1"/>
      <c r="F156" s="1"/>
      <c r="G156" s="1"/>
      <c r="H156" s="1"/>
      <c r="I156" s="1"/>
      <c r="J156" s="1"/>
      <c r="K156"/>
      <c r="O156"/>
    </row>
    <row r="157" spans="2:15" x14ac:dyDescent="0.35">
      <c r="B157" s="1"/>
      <c r="D157"/>
      <c r="E157" s="1"/>
      <c r="F157" s="1"/>
      <c r="G157" s="1"/>
      <c r="H157" s="1"/>
      <c r="I157" s="1"/>
      <c r="J157" s="1"/>
      <c r="K157"/>
      <c r="O157"/>
    </row>
    <row r="158" spans="2:15" x14ac:dyDescent="0.35">
      <c r="B158" s="1"/>
      <c r="D158"/>
      <c r="E158" s="1"/>
      <c r="F158" s="1"/>
      <c r="G158" s="1"/>
      <c r="H158" s="1"/>
      <c r="I158" s="1"/>
      <c r="J158" s="1"/>
      <c r="K158"/>
      <c r="O158"/>
    </row>
    <row r="159" spans="2:15" x14ac:dyDescent="0.35">
      <c r="B159" s="1"/>
      <c r="D159"/>
      <c r="E159" s="1"/>
      <c r="F159" s="1"/>
      <c r="G159" s="1"/>
      <c r="H159" s="1"/>
      <c r="I159" s="1"/>
      <c r="J159" s="1"/>
      <c r="K159"/>
      <c r="O159"/>
    </row>
    <row r="160" spans="2:15" x14ac:dyDescent="0.35">
      <c r="B160" s="1"/>
      <c r="D160"/>
      <c r="E160" s="1"/>
      <c r="F160" s="1"/>
      <c r="G160" s="1"/>
      <c r="H160" s="1"/>
      <c r="I160" s="1"/>
      <c r="J160" s="1"/>
      <c r="K160"/>
      <c r="O160"/>
    </row>
    <row r="161" spans="2:15" x14ac:dyDescent="0.35">
      <c r="B161" s="1"/>
      <c r="D161"/>
      <c r="E161" s="1"/>
      <c r="F161" s="1"/>
      <c r="G161" s="1"/>
      <c r="H161" s="1"/>
      <c r="I161" s="1"/>
      <c r="J161" s="1"/>
      <c r="K161"/>
      <c r="O161"/>
    </row>
    <row r="162" spans="2:15" x14ac:dyDescent="0.35">
      <c r="B162" s="1"/>
      <c r="D162"/>
      <c r="E162" s="1"/>
      <c r="F162" s="1"/>
      <c r="G162" s="1"/>
      <c r="H162" s="1"/>
      <c r="I162" s="1"/>
      <c r="J162" s="1"/>
      <c r="K162"/>
      <c r="O162"/>
    </row>
    <row r="163" spans="2:15" x14ac:dyDescent="0.35">
      <c r="B163" s="1"/>
      <c r="D163"/>
      <c r="E163" s="1"/>
      <c r="F163" s="1"/>
      <c r="G163" s="1"/>
      <c r="H163" s="1"/>
      <c r="I163" s="1"/>
      <c r="J163" s="1"/>
      <c r="K163"/>
      <c r="O163"/>
    </row>
    <row r="164" spans="2:15" x14ac:dyDescent="0.35">
      <c r="B164" s="1"/>
      <c r="D164"/>
      <c r="E164" s="1"/>
      <c r="F164" s="1"/>
      <c r="G164" s="1"/>
      <c r="H164" s="1"/>
      <c r="I164" s="1"/>
      <c r="J164" s="1"/>
      <c r="K164"/>
      <c r="O164"/>
    </row>
    <row r="165" spans="2:15" x14ac:dyDescent="0.35">
      <c r="B165" s="1"/>
      <c r="D165"/>
      <c r="E165" s="1"/>
      <c r="F165" s="1"/>
      <c r="G165" s="1"/>
      <c r="H165" s="1"/>
      <c r="I165" s="1"/>
      <c r="J165" s="1"/>
      <c r="K165"/>
      <c r="O165"/>
    </row>
    <row r="166" spans="2:15" x14ac:dyDescent="0.35">
      <c r="B166" s="1"/>
      <c r="D166"/>
      <c r="E166" s="1"/>
      <c r="F166" s="1"/>
      <c r="G166" s="1"/>
      <c r="H166" s="1"/>
      <c r="I166" s="1"/>
      <c r="J166" s="1"/>
      <c r="K166"/>
      <c r="O166"/>
    </row>
    <row r="167" spans="2:15" x14ac:dyDescent="0.35">
      <c r="B167" s="1"/>
      <c r="D167"/>
      <c r="E167" s="1"/>
      <c r="F167" s="1"/>
      <c r="G167" s="1"/>
      <c r="H167" s="1"/>
      <c r="I167" s="1"/>
      <c r="J167" s="1"/>
      <c r="K167"/>
      <c r="O167"/>
    </row>
    <row r="168" spans="2:15" x14ac:dyDescent="0.35">
      <c r="B168" s="1"/>
      <c r="D168"/>
      <c r="E168" s="1"/>
      <c r="F168" s="1"/>
      <c r="G168" s="1"/>
      <c r="H168" s="1"/>
      <c r="I168" s="1"/>
      <c r="J168" s="1"/>
      <c r="K168"/>
      <c r="O168"/>
    </row>
    <row r="169" spans="2:15" x14ac:dyDescent="0.35">
      <c r="B169" s="1"/>
      <c r="D169"/>
      <c r="E169" s="1"/>
      <c r="F169" s="1"/>
      <c r="G169" s="1"/>
      <c r="H169" s="1"/>
      <c r="I169" s="1"/>
      <c r="J169" s="1"/>
      <c r="K169"/>
      <c r="O169"/>
    </row>
    <row r="170" spans="2:15" x14ac:dyDescent="0.35">
      <c r="B170" s="1"/>
      <c r="D170"/>
      <c r="E170" s="1"/>
      <c r="F170" s="1"/>
      <c r="G170" s="1"/>
      <c r="H170" s="1"/>
      <c r="I170" s="1"/>
      <c r="J170" s="1"/>
      <c r="K170"/>
      <c r="O170"/>
    </row>
    <row r="171" spans="2:15" x14ac:dyDescent="0.35">
      <c r="B171" s="1"/>
      <c r="D171"/>
      <c r="E171" s="1"/>
      <c r="F171" s="1"/>
      <c r="G171" s="1"/>
      <c r="H171" s="1"/>
      <c r="I171" s="1"/>
      <c r="J171" s="1"/>
      <c r="K171"/>
      <c r="O171"/>
    </row>
    <row r="172" spans="2:15" x14ac:dyDescent="0.35">
      <c r="B172" s="1"/>
      <c r="D172"/>
      <c r="E172" s="1"/>
      <c r="F172" s="1"/>
      <c r="G172" s="1"/>
      <c r="H172" s="1"/>
      <c r="I172" s="1"/>
      <c r="J172" s="1"/>
      <c r="K172"/>
      <c r="O172"/>
    </row>
    <row r="173" spans="2:15" x14ac:dyDescent="0.35">
      <c r="B173" s="1"/>
      <c r="D173"/>
      <c r="E173" s="1"/>
      <c r="F173" s="1"/>
      <c r="G173" s="1"/>
      <c r="H173" s="1"/>
      <c r="I173" s="1"/>
      <c r="J173" s="1"/>
      <c r="K173"/>
      <c r="O173"/>
    </row>
    <row r="174" spans="2:15" x14ac:dyDescent="0.35">
      <c r="B174" s="1"/>
      <c r="D174"/>
      <c r="E174" s="1"/>
      <c r="F174" s="1"/>
      <c r="G174" s="1"/>
      <c r="H174" s="1"/>
      <c r="I174" s="1"/>
      <c r="J174" s="1"/>
      <c r="K174"/>
      <c r="O174"/>
    </row>
    <row r="175" spans="2:15" x14ac:dyDescent="0.35">
      <c r="B175" s="1"/>
      <c r="D175"/>
      <c r="E175" s="1"/>
      <c r="F175" s="1"/>
      <c r="G175" s="1"/>
      <c r="H175" s="1"/>
      <c r="I175" s="1"/>
      <c r="J175" s="1"/>
      <c r="K175"/>
      <c r="O175"/>
    </row>
    <row r="176" spans="2:15" x14ac:dyDescent="0.35">
      <c r="B176" s="1"/>
      <c r="D176"/>
      <c r="E176" s="1"/>
      <c r="F176" s="1"/>
      <c r="G176" s="1"/>
      <c r="H176" s="1"/>
      <c r="I176" s="1"/>
      <c r="J176" s="1"/>
      <c r="K176"/>
      <c r="O176"/>
    </row>
    <row r="177" spans="2:15" x14ac:dyDescent="0.35">
      <c r="B177" s="1"/>
      <c r="D177"/>
      <c r="E177" s="1"/>
      <c r="F177" s="1"/>
      <c r="G177" s="1"/>
      <c r="H177" s="1"/>
      <c r="I177" s="1"/>
      <c r="J177" s="1"/>
      <c r="K177"/>
      <c r="O177"/>
    </row>
    <row r="178" spans="2:15" x14ac:dyDescent="0.35">
      <c r="B178" s="1"/>
      <c r="D178"/>
      <c r="E178" s="1"/>
      <c r="F178" s="1"/>
      <c r="G178" s="1"/>
      <c r="H178" s="1"/>
      <c r="I178" s="1"/>
      <c r="J178" s="1"/>
      <c r="K178"/>
      <c r="O178"/>
    </row>
    <row r="179" spans="2:15" x14ac:dyDescent="0.35">
      <c r="B179" s="1"/>
      <c r="D179"/>
      <c r="E179" s="1"/>
      <c r="F179" s="1"/>
      <c r="G179" s="1"/>
      <c r="H179" s="1"/>
      <c r="I179" s="1"/>
      <c r="J179" s="1"/>
      <c r="K179"/>
      <c r="O179"/>
    </row>
    <row r="180" spans="2:15" x14ac:dyDescent="0.35">
      <c r="B180" s="1"/>
      <c r="D180"/>
      <c r="E180" s="1"/>
      <c r="F180" s="1"/>
      <c r="G180" s="1"/>
      <c r="H180" s="1"/>
      <c r="I180" s="1"/>
      <c r="J180" s="1"/>
      <c r="K180"/>
      <c r="O180"/>
    </row>
    <row r="181" spans="2:15" x14ac:dyDescent="0.35">
      <c r="B181" s="1"/>
      <c r="D181"/>
      <c r="E181" s="1"/>
      <c r="F181" s="1"/>
      <c r="G181" s="1"/>
      <c r="H181" s="1"/>
      <c r="I181" s="1"/>
      <c r="J181" s="1"/>
      <c r="K181"/>
      <c r="O181"/>
    </row>
    <row r="182" spans="2:15" x14ac:dyDescent="0.35">
      <c r="B182" s="1"/>
      <c r="D182"/>
      <c r="E182" s="1"/>
      <c r="F182" s="1"/>
      <c r="G182" s="1"/>
      <c r="H182" s="1"/>
      <c r="I182" s="1"/>
      <c r="J182" s="1"/>
      <c r="K182"/>
      <c r="O182"/>
    </row>
    <row r="183" spans="2:15" x14ac:dyDescent="0.35">
      <c r="B183" s="1"/>
      <c r="D183"/>
      <c r="E183" s="1"/>
      <c r="F183" s="1"/>
      <c r="G183" s="1"/>
      <c r="H183" s="1"/>
      <c r="I183" s="1"/>
      <c r="J183" s="1"/>
      <c r="K183"/>
      <c r="O183"/>
    </row>
    <row r="184" spans="2:15" x14ac:dyDescent="0.35">
      <c r="B184" s="1"/>
      <c r="D184"/>
      <c r="E184" s="1"/>
      <c r="F184" s="1"/>
      <c r="G184" s="1"/>
      <c r="H184" s="1"/>
      <c r="I184" s="1"/>
      <c r="J184" s="1"/>
      <c r="K184"/>
      <c r="O184"/>
    </row>
    <row r="185" spans="2:15" x14ac:dyDescent="0.35">
      <c r="B185" s="1"/>
      <c r="D185"/>
      <c r="E185" s="1"/>
      <c r="F185" s="1"/>
      <c r="G185" s="1"/>
      <c r="H185" s="1"/>
      <c r="I185" s="1"/>
      <c r="J185" s="1"/>
      <c r="K185"/>
      <c r="O185"/>
    </row>
    <row r="186" spans="2:15" x14ac:dyDescent="0.35">
      <c r="B186" s="1"/>
      <c r="D186"/>
      <c r="E186" s="1"/>
      <c r="F186" s="1"/>
      <c r="G186" s="1"/>
      <c r="H186" s="1"/>
      <c r="I186" s="1"/>
      <c r="J186" s="1"/>
      <c r="K186"/>
      <c r="O186"/>
    </row>
    <row r="187" spans="2:15" x14ac:dyDescent="0.35">
      <c r="B187" s="1"/>
      <c r="D187"/>
      <c r="E187" s="1"/>
      <c r="F187" s="1"/>
      <c r="G187" s="1"/>
      <c r="H187" s="1"/>
      <c r="I187" s="1"/>
      <c r="J187" s="1"/>
      <c r="K187"/>
      <c r="O187"/>
    </row>
    <row r="188" spans="2:15" x14ac:dyDescent="0.35">
      <c r="B188" s="1"/>
      <c r="D188"/>
      <c r="E188" s="1"/>
      <c r="F188" s="1"/>
      <c r="G188" s="1"/>
      <c r="H188" s="1"/>
      <c r="I188" s="1"/>
      <c r="J188" s="1"/>
      <c r="K188"/>
      <c r="O188"/>
    </row>
    <row r="189" spans="2:15" x14ac:dyDescent="0.35">
      <c r="B189" s="1"/>
      <c r="D189"/>
      <c r="E189" s="1"/>
      <c r="F189" s="1"/>
      <c r="G189" s="1"/>
      <c r="H189" s="1"/>
      <c r="I189" s="1"/>
      <c r="J189" s="1"/>
      <c r="K189"/>
      <c r="O189"/>
    </row>
    <row r="190" spans="2:15" x14ac:dyDescent="0.35">
      <c r="B190" s="1"/>
      <c r="D190"/>
      <c r="E190" s="1"/>
      <c r="F190" s="1"/>
      <c r="G190" s="1"/>
      <c r="H190" s="1"/>
      <c r="I190" s="1"/>
      <c r="J190" s="1"/>
      <c r="K190"/>
      <c r="O190"/>
    </row>
    <row r="191" spans="2:15" x14ac:dyDescent="0.35">
      <c r="B191" s="1"/>
      <c r="D191"/>
      <c r="E191" s="1"/>
      <c r="F191" s="1"/>
      <c r="G191" s="1"/>
      <c r="H191" s="1"/>
      <c r="I191" s="1"/>
      <c r="J191" s="1"/>
      <c r="K191"/>
      <c r="O191"/>
    </row>
    <row r="192" spans="2:15" x14ac:dyDescent="0.35">
      <c r="B192" s="1"/>
      <c r="D192"/>
      <c r="E192" s="1"/>
      <c r="F192" s="1"/>
      <c r="G192" s="1"/>
      <c r="H192" s="1"/>
      <c r="I192" s="1"/>
      <c r="J192" s="1"/>
      <c r="K192"/>
      <c r="O192"/>
    </row>
    <row r="193" spans="2:15" x14ac:dyDescent="0.35">
      <c r="B193" s="1"/>
      <c r="D193"/>
      <c r="E193" s="1"/>
      <c r="F193" s="1"/>
      <c r="G193" s="1"/>
      <c r="H193" s="1"/>
      <c r="I193" s="1"/>
      <c r="J193" s="1"/>
      <c r="K193"/>
      <c r="O193"/>
    </row>
    <row r="194" spans="2:15" x14ac:dyDescent="0.35">
      <c r="B194" s="1"/>
      <c r="D194"/>
      <c r="E194" s="1"/>
      <c r="F194" s="1"/>
      <c r="G194" s="1"/>
      <c r="H194" s="1"/>
      <c r="I194" s="1"/>
      <c r="J194" s="1"/>
      <c r="K194"/>
      <c r="O194"/>
    </row>
    <row r="195" spans="2:15" x14ac:dyDescent="0.35">
      <c r="B195" s="1"/>
      <c r="D195"/>
      <c r="E195" s="1"/>
      <c r="F195" s="1"/>
      <c r="G195" s="1"/>
      <c r="H195" s="1"/>
      <c r="I195" s="1"/>
      <c r="J195" s="1"/>
      <c r="K195"/>
      <c r="O195"/>
    </row>
    <row r="196" spans="2:15" x14ac:dyDescent="0.35">
      <c r="B196" s="1"/>
      <c r="D196"/>
      <c r="E196" s="1"/>
      <c r="F196" s="1"/>
      <c r="G196" s="1"/>
      <c r="H196" s="1"/>
      <c r="I196" s="1"/>
      <c r="J196" s="1"/>
      <c r="K196"/>
      <c r="O196"/>
    </row>
    <row r="197" spans="2:15" x14ac:dyDescent="0.35">
      <c r="B197" s="1"/>
      <c r="D197"/>
      <c r="E197" s="1"/>
      <c r="F197" s="1"/>
      <c r="G197" s="1"/>
      <c r="H197" s="1"/>
      <c r="I197" s="1"/>
      <c r="J197" s="1"/>
      <c r="K197"/>
      <c r="O197"/>
    </row>
    <row r="198" spans="2:15" x14ac:dyDescent="0.35">
      <c r="B198" s="1"/>
      <c r="D198"/>
      <c r="E198" s="1"/>
      <c r="F198" s="1"/>
      <c r="G198" s="1"/>
      <c r="H198" s="1"/>
      <c r="I198" s="1"/>
      <c r="J198" s="1"/>
      <c r="K198"/>
      <c r="O198"/>
    </row>
    <row r="199" spans="2:15" x14ac:dyDescent="0.35">
      <c r="B199" s="1"/>
      <c r="D199"/>
      <c r="E199" s="1"/>
      <c r="F199" s="1"/>
      <c r="G199" s="1"/>
      <c r="H199" s="1"/>
      <c r="I199" s="1"/>
      <c r="J199" s="1"/>
      <c r="K199"/>
      <c r="O199"/>
    </row>
    <row r="200" spans="2:15" x14ac:dyDescent="0.35">
      <c r="B200" s="1"/>
      <c r="D200"/>
      <c r="E200" s="1"/>
      <c r="F200" s="1"/>
      <c r="G200" s="1"/>
      <c r="H200" s="1"/>
      <c r="I200" s="1"/>
      <c r="J200" s="1"/>
      <c r="K200"/>
      <c r="O200"/>
    </row>
    <row r="201" spans="2:15" x14ac:dyDescent="0.35">
      <c r="B201" s="1"/>
      <c r="D201"/>
      <c r="E201" s="1"/>
      <c r="F201" s="1"/>
      <c r="G201" s="1"/>
      <c r="H201" s="1"/>
      <c r="I201" s="1"/>
      <c r="J201" s="1"/>
      <c r="K201"/>
      <c r="O201"/>
    </row>
    <row r="202" spans="2:15" x14ac:dyDescent="0.35">
      <c r="B202" s="1"/>
      <c r="D202"/>
      <c r="E202" s="1"/>
      <c r="F202" s="1"/>
      <c r="G202" s="1"/>
      <c r="H202" s="1"/>
      <c r="I202" s="1"/>
      <c r="J202" s="1"/>
      <c r="K202"/>
      <c r="O202"/>
    </row>
    <row r="203" spans="2:15" x14ac:dyDescent="0.35">
      <c r="B203" s="1"/>
      <c r="D203"/>
      <c r="E203" s="1"/>
      <c r="F203" s="1"/>
      <c r="G203" s="1"/>
      <c r="H203" s="1"/>
      <c r="I203" s="1"/>
      <c r="J203" s="1"/>
      <c r="K203"/>
      <c r="O203"/>
    </row>
    <row r="204" spans="2:15" x14ac:dyDescent="0.35">
      <c r="B204" s="1"/>
      <c r="D204"/>
      <c r="E204" s="1"/>
      <c r="F204" s="1"/>
      <c r="G204" s="1"/>
      <c r="H204" s="1"/>
      <c r="I204" s="1"/>
      <c r="J204" s="1"/>
      <c r="K204"/>
      <c r="O204"/>
    </row>
    <row r="205" spans="2:15" x14ac:dyDescent="0.35">
      <c r="B205" s="1"/>
      <c r="D205"/>
      <c r="E205" s="1"/>
      <c r="F205" s="1"/>
      <c r="G205" s="1"/>
      <c r="H205" s="1"/>
      <c r="I205" s="1"/>
      <c r="J205" s="1"/>
      <c r="K205"/>
      <c r="O205"/>
    </row>
    <row r="206" spans="2:15" x14ac:dyDescent="0.35">
      <c r="B206" s="1"/>
      <c r="D206"/>
      <c r="E206" s="1"/>
      <c r="F206" s="1"/>
      <c r="G206" s="1"/>
      <c r="H206" s="1"/>
      <c r="I206" s="1"/>
      <c r="J206" s="1"/>
      <c r="K206"/>
      <c r="O206"/>
    </row>
    <row r="207" spans="2:15" x14ac:dyDescent="0.35">
      <c r="B207" s="1"/>
      <c r="D207"/>
      <c r="E207" s="1"/>
      <c r="F207" s="1"/>
      <c r="G207" s="1"/>
      <c r="H207" s="1"/>
      <c r="I207" s="1"/>
      <c r="J207" s="1"/>
      <c r="K207"/>
      <c r="O207"/>
    </row>
    <row r="208" spans="2:15" x14ac:dyDescent="0.35">
      <c r="B208" s="1"/>
      <c r="D208"/>
      <c r="E208" s="1"/>
      <c r="F208" s="1"/>
      <c r="G208" s="1"/>
      <c r="H208" s="1"/>
      <c r="I208" s="1"/>
      <c r="J208" s="1"/>
      <c r="K208"/>
      <c r="O208"/>
    </row>
    <row r="209" spans="2:15" x14ac:dyDescent="0.35">
      <c r="B209" s="1"/>
      <c r="D209"/>
      <c r="E209" s="1"/>
      <c r="F209" s="1"/>
      <c r="G209" s="1"/>
      <c r="H209" s="1"/>
      <c r="I209" s="1"/>
      <c r="J209" s="1"/>
      <c r="K209"/>
      <c r="O209"/>
    </row>
    <row r="210" spans="2:15" x14ac:dyDescent="0.35">
      <c r="B210" s="1"/>
      <c r="D210"/>
      <c r="E210" s="1"/>
      <c r="F210" s="1"/>
      <c r="G210" s="1"/>
      <c r="H210" s="1"/>
      <c r="I210" s="1"/>
      <c r="J210" s="1"/>
      <c r="K210"/>
      <c r="O210"/>
    </row>
    <row r="211" spans="2:15" x14ac:dyDescent="0.35">
      <c r="B211" s="1"/>
      <c r="D211"/>
      <c r="E211" s="1"/>
      <c r="F211" s="1"/>
      <c r="G211" s="1"/>
      <c r="H211" s="1"/>
      <c r="I211" s="1"/>
      <c r="J211" s="1"/>
      <c r="K211"/>
      <c r="O211"/>
    </row>
    <row r="212" spans="2:15" x14ac:dyDescent="0.35">
      <c r="B212" s="1"/>
      <c r="D212"/>
      <c r="E212" s="1"/>
      <c r="F212" s="1"/>
      <c r="G212" s="1"/>
      <c r="H212" s="1"/>
      <c r="I212" s="1"/>
      <c r="J212" s="1"/>
      <c r="K212"/>
      <c r="O212"/>
    </row>
    <row r="213" spans="2:15" x14ac:dyDescent="0.35">
      <c r="B213" s="1"/>
      <c r="D213"/>
      <c r="E213" s="1"/>
      <c r="F213" s="1"/>
      <c r="G213" s="1"/>
      <c r="H213" s="1"/>
      <c r="I213" s="1"/>
      <c r="J213" s="1"/>
      <c r="K213"/>
      <c r="O213"/>
    </row>
    <row r="214" spans="2:15" x14ac:dyDescent="0.35">
      <c r="B214" s="1"/>
      <c r="D214"/>
      <c r="E214" s="1"/>
      <c r="F214" s="1"/>
      <c r="G214" s="1"/>
      <c r="H214" s="1"/>
      <c r="I214" s="1"/>
      <c r="J214" s="1"/>
      <c r="K214"/>
      <c r="O214"/>
    </row>
    <row r="215" spans="2:15" x14ac:dyDescent="0.35">
      <c r="B215" s="1"/>
      <c r="D215"/>
      <c r="E215" s="1"/>
      <c r="F215" s="1"/>
      <c r="G215" s="1"/>
      <c r="H215" s="1"/>
      <c r="I215" s="1"/>
      <c r="J215" s="1"/>
      <c r="K215"/>
      <c r="O215"/>
    </row>
    <row r="216" spans="2:15" x14ac:dyDescent="0.35">
      <c r="B216" s="1"/>
      <c r="D216"/>
      <c r="E216" s="1"/>
      <c r="F216" s="1"/>
      <c r="G216" s="1"/>
      <c r="H216" s="1"/>
      <c r="I216" s="1"/>
      <c r="J216" s="1"/>
      <c r="K216"/>
      <c r="O216"/>
    </row>
  </sheetData>
  <mergeCells count="19">
    <mergeCell ref="D38:I38"/>
    <mergeCell ref="D16:I16"/>
    <mergeCell ref="D9:I9"/>
    <mergeCell ref="D23:I23"/>
    <mergeCell ref="D30:I30"/>
    <mergeCell ref="A1:O1"/>
    <mergeCell ref="B2:C2"/>
    <mergeCell ref="K2:O2"/>
    <mergeCell ref="A3:A9"/>
    <mergeCell ref="A31:O31"/>
    <mergeCell ref="A17:A23"/>
    <mergeCell ref="B20:B21"/>
    <mergeCell ref="C20:C21"/>
    <mergeCell ref="A24:A30"/>
    <mergeCell ref="B27:B28"/>
    <mergeCell ref="C27:C28"/>
    <mergeCell ref="A10:A16"/>
    <mergeCell ref="B13:B14"/>
    <mergeCell ref="C13:C14"/>
  </mergeCells>
  <conditionalFormatting sqref="E33:I37">
    <cfRule type="cellIs" dxfId="163" priority="49" operator="lessThan">
      <formula>0</formula>
    </cfRule>
  </conditionalFormatting>
  <conditionalFormatting sqref="E39:E43">
    <cfRule type="cellIs" dxfId="162" priority="45" operator="lessThan">
      <formula>0</formula>
    </cfRule>
  </conditionalFormatting>
  <conditionalFormatting sqref="F39:F43">
    <cfRule type="cellIs" dxfId="161" priority="44" operator="lessThan">
      <formula>0</formula>
    </cfRule>
  </conditionalFormatting>
  <conditionalFormatting sqref="G39:G43">
    <cfRule type="cellIs" dxfId="160" priority="43" operator="lessThan">
      <formula>0</formula>
    </cfRule>
  </conditionalFormatting>
  <conditionalFormatting sqref="I39:I43">
    <cfRule type="cellIs" dxfId="159" priority="42" operator="lessThan">
      <formula>0</formula>
    </cfRule>
  </conditionalFormatting>
  <conditionalFormatting sqref="O34:O37 K33:K37">
    <cfRule type="cellIs" dxfId="158" priority="41" operator="lessThan">
      <formula>0</formula>
    </cfRule>
  </conditionalFormatting>
  <conditionalFormatting sqref="L33:L37">
    <cfRule type="cellIs" dxfId="157" priority="40" operator="lessThan">
      <formula>0</formula>
    </cfRule>
  </conditionalFormatting>
  <conditionalFormatting sqref="M33:M37">
    <cfRule type="cellIs" dxfId="156" priority="39" operator="lessThan">
      <formula>0</formula>
    </cfRule>
  </conditionalFormatting>
  <conditionalFormatting sqref="O33">
    <cfRule type="cellIs" dxfId="155" priority="38" operator="lessThan">
      <formula>0</formula>
    </cfRule>
  </conditionalFormatting>
  <conditionalFormatting sqref="K39:K43">
    <cfRule type="cellIs" dxfId="154" priority="37" operator="lessThan">
      <formula>0</formula>
    </cfRule>
  </conditionalFormatting>
  <conditionalFormatting sqref="L39:L43">
    <cfRule type="cellIs" dxfId="153" priority="36" operator="lessThan">
      <formula>0</formula>
    </cfRule>
  </conditionalFormatting>
  <conditionalFormatting sqref="M39:M43">
    <cfRule type="cellIs" dxfId="152" priority="35" operator="lessThan">
      <formula>0</formula>
    </cfRule>
  </conditionalFormatting>
  <conditionalFormatting sqref="O39:O43">
    <cfRule type="cellIs" dxfId="151" priority="34" operator="lessThan">
      <formula>0</formula>
    </cfRule>
  </conditionalFormatting>
  <conditionalFormatting sqref="H39:H43">
    <cfRule type="cellIs" dxfId="150" priority="29" operator="lessThan">
      <formula>0</formula>
    </cfRule>
  </conditionalFormatting>
  <conditionalFormatting sqref="F10">
    <cfRule type="cellIs" dxfId="149" priority="24" operator="lessThan">
      <formula>0</formula>
    </cfRule>
  </conditionalFormatting>
  <conditionalFormatting sqref="E10:G14 I10:J14">
    <cfRule type="cellIs" dxfId="148" priority="23" operator="lessThan">
      <formula>0</formula>
    </cfRule>
  </conditionalFormatting>
  <conditionalFormatting sqref="H10:H14">
    <cfRule type="cellIs" dxfId="147" priority="22" operator="lessThan">
      <formula>0</formula>
    </cfRule>
  </conditionalFormatting>
  <conditionalFormatting sqref="E15:I15">
    <cfRule type="cellIs" dxfId="146" priority="21" operator="lessThan">
      <formula>0</formula>
    </cfRule>
  </conditionalFormatting>
  <conditionalFormatting sqref="E3:J7">
    <cfRule type="cellIs" dxfId="145" priority="18" operator="lessThan">
      <formula>0</formula>
    </cfRule>
  </conditionalFormatting>
  <conditionalFormatting sqref="E8:I8">
    <cfRule type="cellIs" dxfId="144" priority="17" operator="lessThan">
      <formula>0</formula>
    </cfRule>
  </conditionalFormatting>
  <conditionalFormatting sqref="F17">
    <cfRule type="cellIs" dxfId="143" priority="8" operator="lessThan">
      <formula>0</formula>
    </cfRule>
  </conditionalFormatting>
  <conditionalFormatting sqref="E17:G21 I17:J21">
    <cfRule type="cellIs" dxfId="142" priority="7" operator="lessThan">
      <formula>0</formula>
    </cfRule>
  </conditionalFormatting>
  <conditionalFormatting sqref="H17:H21">
    <cfRule type="cellIs" dxfId="141" priority="6" operator="lessThan">
      <formula>0</formula>
    </cfRule>
  </conditionalFormatting>
  <conditionalFormatting sqref="E22:I22">
    <cfRule type="cellIs" dxfId="140" priority="5" operator="lessThan">
      <formula>0</formula>
    </cfRule>
  </conditionalFormatting>
  <conditionalFormatting sqref="F24">
    <cfRule type="cellIs" dxfId="139" priority="4" operator="lessThan">
      <formula>0</formula>
    </cfRule>
  </conditionalFormatting>
  <conditionalFormatting sqref="E24:G28 I24:J28">
    <cfRule type="cellIs" dxfId="138" priority="3" operator="lessThan">
      <formula>0</formula>
    </cfRule>
  </conditionalFormatting>
  <conditionalFormatting sqref="H24:H28">
    <cfRule type="cellIs" dxfId="137" priority="2" operator="lessThan">
      <formula>0</formula>
    </cfRule>
  </conditionalFormatting>
  <conditionalFormatting sqref="E29:I29">
    <cfRule type="cellIs" dxfId="136" priority="1" operator="lessThan">
      <formula>0</formula>
    </cfRule>
  </conditionalFormatting>
  <pageMargins left="0.25" right="0.25" top="0.75" bottom="0.75" header="0.3" footer="0.3"/>
  <pageSetup scale="2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7DDC7-7D54-4FC5-A609-B16F81191CB3}">
  <sheetPr>
    <pageSetUpPr fitToPage="1"/>
  </sheetPr>
  <dimension ref="A1:O82"/>
  <sheetViews>
    <sheetView topLeftCell="A9" workbookViewId="0">
      <selection sqref="A1:O77"/>
    </sheetView>
  </sheetViews>
  <sheetFormatPr defaultRowHeight="14.5" x14ac:dyDescent="0.35"/>
  <cols>
    <col min="1" max="1" width="4" style="1" customWidth="1"/>
    <col min="2" max="2" width="14.81640625" style="3" customWidth="1"/>
    <col min="3" max="3" width="60.36328125" customWidth="1"/>
    <col min="4" max="4" width="10.26953125" style="2" customWidth="1"/>
    <col min="5" max="5" width="10.36328125" style="7" customWidth="1"/>
    <col min="6" max="7" width="10.36328125" style="3" customWidth="1"/>
    <col min="8" max="10" width="10.36328125" style="10" customWidth="1"/>
    <col min="11" max="11" width="13.81640625" style="12" customWidth="1"/>
    <col min="12" max="14" width="13.81640625" customWidth="1"/>
    <col min="15" max="15" width="13.81640625" style="13" customWidth="1"/>
    <col min="16" max="16" width="14.90625" customWidth="1"/>
  </cols>
  <sheetData>
    <row r="1" spans="1:15" ht="19" thickBot="1" x14ac:dyDescent="0.4">
      <c r="A1" s="209" t="s">
        <v>279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</row>
    <row r="2" spans="1:15" ht="58" customHeight="1" thickBot="1" x14ac:dyDescent="0.4">
      <c r="A2" s="39" t="s">
        <v>7</v>
      </c>
      <c r="B2" s="210" t="s">
        <v>48</v>
      </c>
      <c r="C2" s="211"/>
      <c r="D2" s="40" t="s">
        <v>5</v>
      </c>
      <c r="E2" s="39" t="s">
        <v>6</v>
      </c>
      <c r="F2" s="41" t="s">
        <v>37</v>
      </c>
      <c r="G2" s="41" t="s">
        <v>38</v>
      </c>
      <c r="H2" s="42" t="s">
        <v>43</v>
      </c>
      <c r="I2" s="43" t="s">
        <v>41</v>
      </c>
      <c r="J2" s="43" t="s">
        <v>40</v>
      </c>
      <c r="K2" s="212" t="s">
        <v>42</v>
      </c>
      <c r="L2" s="213"/>
      <c r="M2" s="213"/>
      <c r="N2" s="213"/>
      <c r="O2" s="214"/>
    </row>
    <row r="3" spans="1:15" x14ac:dyDescent="0.35">
      <c r="A3" s="206" t="s">
        <v>92</v>
      </c>
      <c r="B3" s="6" t="s">
        <v>0</v>
      </c>
      <c r="C3" s="5" t="s">
        <v>91</v>
      </c>
      <c r="D3" s="14" t="s">
        <v>4</v>
      </c>
      <c r="E3" s="34">
        <v>-0.183743773216406</v>
      </c>
      <c r="F3" s="34">
        <v>5.6315820568995999E-2</v>
      </c>
      <c r="G3" s="35">
        <v>-1.1858839838747E-2</v>
      </c>
      <c r="H3" s="36">
        <f>0.101629192867562*100</f>
        <v>10.1629192867562</v>
      </c>
      <c r="I3" s="36">
        <f>-0.0252948527919822*100</f>
        <v>-2.5294852791982203</v>
      </c>
      <c r="J3" s="36">
        <f>I3</f>
        <v>-2.5294852791982203</v>
      </c>
      <c r="K3" s="17"/>
      <c r="L3" s="5"/>
      <c r="M3" s="5"/>
      <c r="N3" s="5"/>
      <c r="O3" s="18"/>
    </row>
    <row r="4" spans="1:15" x14ac:dyDescent="0.35">
      <c r="A4" s="207"/>
      <c r="B4" s="3" t="s">
        <v>2</v>
      </c>
      <c r="C4" s="49" t="s">
        <v>73</v>
      </c>
      <c r="D4" s="15" t="s">
        <v>12</v>
      </c>
      <c r="E4" s="33">
        <v>0.58293380039882903</v>
      </c>
      <c r="F4" s="37">
        <v>3.2315480968553002E-2</v>
      </c>
      <c r="G4" s="37">
        <v>1.8486202241653E-2</v>
      </c>
      <c r="H4" s="38">
        <f>0.0623928091987129*100</f>
        <v>6.2392809198712902</v>
      </c>
      <c r="I4" s="38">
        <f>0.0347520435047181*100</f>
        <v>3.4752043504718095</v>
      </c>
      <c r="J4" s="38">
        <f>J3+I4</f>
        <v>0.94571907127358923</v>
      </c>
    </row>
    <row r="5" spans="1:15" x14ac:dyDescent="0.35">
      <c r="A5" s="207"/>
      <c r="B5" s="3" t="s">
        <v>67</v>
      </c>
      <c r="C5" s="51" t="s">
        <v>66</v>
      </c>
      <c r="D5" s="15" t="s">
        <v>13</v>
      </c>
      <c r="E5" s="33">
        <v>-0.12557260382163901</v>
      </c>
      <c r="F5" s="37">
        <v>9.2990996406563997E-2</v>
      </c>
      <c r="G5" s="37">
        <v>-1.5842136969423E-2</v>
      </c>
      <c r="H5" s="38">
        <f>0.12402104252372*100</f>
        <v>12.402104252372</v>
      </c>
      <c r="I5" s="38">
        <f>-0.0373309267602238*100</f>
        <v>-3.7330926760223799</v>
      </c>
      <c r="J5" s="38">
        <f t="shared" ref="J5:J7" si="0">J4+I5</f>
        <v>-2.7873736047487907</v>
      </c>
    </row>
    <row r="6" spans="1:15" x14ac:dyDescent="0.35">
      <c r="A6" s="207"/>
      <c r="B6" s="198" t="s">
        <v>49</v>
      </c>
      <c r="C6" s="199" t="s">
        <v>111</v>
      </c>
      <c r="D6" s="15" t="s">
        <v>14</v>
      </c>
      <c r="E6" s="22">
        <v>1.2507718263755601</v>
      </c>
      <c r="F6" s="37">
        <v>8.7931690796278994E-2</v>
      </c>
      <c r="G6" s="37">
        <v>0.11193374958336801</v>
      </c>
      <c r="H6" s="38">
        <f>0.101135022984286*100</f>
        <v>10.1135022984286</v>
      </c>
      <c r="I6" s="38">
        <f>0.216921048008893*100</f>
        <v>21.6921048008893</v>
      </c>
      <c r="J6" s="38">
        <f t="shared" si="0"/>
        <v>18.90473119614051</v>
      </c>
    </row>
    <row r="7" spans="1:15" ht="15" thickBot="1" x14ac:dyDescent="0.4">
      <c r="A7" s="207"/>
      <c r="B7" s="198"/>
      <c r="C7" s="199"/>
      <c r="D7" s="16" t="s">
        <v>11</v>
      </c>
      <c r="E7" s="22">
        <v>1.2958767120602299</v>
      </c>
      <c r="F7" s="37">
        <v>0.122159100865405</v>
      </c>
      <c r="G7" s="37">
        <v>0.16272802692962199</v>
      </c>
      <c r="H7" s="38">
        <f>0.151017080689432*100</f>
        <v>15.101708068943202</v>
      </c>
      <c r="I7" s="45">
        <f>0.316893404717963*100</f>
        <v>31.689340471796299</v>
      </c>
      <c r="J7" s="45">
        <f t="shared" si="0"/>
        <v>50.594071667936809</v>
      </c>
    </row>
    <row r="8" spans="1:15" ht="15" thickBot="1" x14ac:dyDescent="0.4">
      <c r="A8" s="207"/>
      <c r="B8" s="3" t="s">
        <v>64</v>
      </c>
      <c r="C8" t="s">
        <v>65</v>
      </c>
      <c r="D8" s="52" t="s">
        <v>54</v>
      </c>
      <c r="E8" s="4">
        <f>AVERAGE(E3:E7)</f>
        <v>0.56405319235931484</v>
      </c>
      <c r="F8" s="4">
        <f>AVERAGE(F3:F7)</f>
        <v>7.8342617921159402E-2</v>
      </c>
      <c r="G8" s="4">
        <f>AVERAGE(G3:G7)</f>
        <v>5.3089400389294591E-2</v>
      </c>
      <c r="H8" s="4">
        <f>AVERAGE(H3:H7)</f>
        <v>10.803902965274258</v>
      </c>
      <c r="I8" s="4">
        <f>AVERAGE(I3:I7)</f>
        <v>10.118814333587363</v>
      </c>
      <c r="J8" s="64"/>
      <c r="K8"/>
    </row>
    <row r="9" spans="1:15" ht="15" thickBot="1" x14ac:dyDescent="0.4">
      <c r="A9" s="208"/>
      <c r="B9" s="8" t="s">
        <v>8</v>
      </c>
      <c r="C9" s="53" t="s">
        <v>72</v>
      </c>
      <c r="D9" s="200" t="s">
        <v>98</v>
      </c>
      <c r="E9" s="201"/>
      <c r="F9" s="201"/>
      <c r="G9" s="201"/>
      <c r="H9" s="201"/>
      <c r="I9" s="202"/>
      <c r="J9" s="63">
        <f>((AVERAGE(E3:E7))/STDEVP(E3:E7))</f>
        <v>0.8825645930337106</v>
      </c>
      <c r="K9" s="20"/>
      <c r="L9" s="20"/>
      <c r="M9" s="20"/>
      <c r="N9" s="20"/>
      <c r="O9" s="21"/>
    </row>
    <row r="10" spans="1:15" x14ac:dyDescent="0.35">
      <c r="A10" s="206" t="s">
        <v>100</v>
      </c>
      <c r="B10" s="6" t="s">
        <v>0</v>
      </c>
      <c r="C10" s="5" t="s">
        <v>101</v>
      </c>
      <c r="D10" s="14" t="s">
        <v>4</v>
      </c>
      <c r="E10" s="46">
        <v>1.08016821041124</v>
      </c>
      <c r="F10" s="46">
        <v>0.13447568151898301</v>
      </c>
      <c r="G10" s="35">
        <v>0.14598066851009001</v>
      </c>
      <c r="H10" s="36">
        <f>0.0898741516800382*100</f>
        <v>8.987415168003821</v>
      </c>
      <c r="I10" s="36">
        <f>0.13607633236466*100</f>
        <v>13.607633236465999</v>
      </c>
      <c r="J10" s="36">
        <f>I10</f>
        <v>13.607633236465999</v>
      </c>
      <c r="K10" s="17"/>
      <c r="L10" s="5"/>
      <c r="M10" s="5"/>
      <c r="N10" s="5"/>
      <c r="O10" s="18"/>
    </row>
    <row r="11" spans="1:15" x14ac:dyDescent="0.35">
      <c r="A11" s="207"/>
      <c r="B11" s="3" t="s">
        <v>2</v>
      </c>
      <c r="C11" s="49" t="s">
        <v>73</v>
      </c>
      <c r="D11" s="15" t="s">
        <v>12</v>
      </c>
      <c r="E11" s="33">
        <v>1.1860493119302</v>
      </c>
      <c r="F11" s="37">
        <v>4.2993163361283997E-2</v>
      </c>
      <c r="G11" s="37">
        <v>5.1340787020678E-2</v>
      </c>
      <c r="H11" s="38">
        <f>0.0195466980662462*100</f>
        <v>1.95466980662462</v>
      </c>
      <c r="I11" s="38">
        <f>0.0478364340047154*100</f>
        <v>4.78364340047154</v>
      </c>
      <c r="J11" s="38">
        <f>J10+I11</f>
        <v>18.39127663693754</v>
      </c>
    </row>
    <row r="12" spans="1:15" x14ac:dyDescent="0.35">
      <c r="A12" s="207"/>
      <c r="B12" s="3" t="s">
        <v>67</v>
      </c>
      <c r="C12" s="51" t="s">
        <v>66</v>
      </c>
      <c r="D12" s="15" t="s">
        <v>13</v>
      </c>
      <c r="E12" s="33">
        <v>-0.65115512740932302</v>
      </c>
      <c r="F12" s="37">
        <v>0.170838130722964</v>
      </c>
      <c r="G12" s="37">
        <v>-0.118267902358135</v>
      </c>
      <c r="H12" s="38">
        <f>0.213841274965724*100</f>
        <v>21.3841274965724</v>
      </c>
      <c r="I12" s="38">
        <f>-0.109878110030031*100</f>
        <v>-10.987811003003101</v>
      </c>
      <c r="J12" s="38">
        <f t="shared" ref="J12:J14" si="1">J11+I12</f>
        <v>7.4034656339344398</v>
      </c>
    </row>
    <row r="13" spans="1:15" x14ac:dyDescent="0.35">
      <c r="A13" s="207"/>
      <c r="B13" s="198" t="s">
        <v>49</v>
      </c>
      <c r="C13" s="199" t="s">
        <v>111</v>
      </c>
      <c r="D13" s="15" t="s">
        <v>14</v>
      </c>
      <c r="E13" s="33">
        <v>1.4006217953380899</v>
      </c>
      <c r="F13" s="37">
        <v>0.12613054971533999</v>
      </c>
      <c r="G13" s="37">
        <v>0.183725339341271</v>
      </c>
      <c r="H13" s="38">
        <f>0.0831125645346547*100</f>
        <v>8.3112564534654698</v>
      </c>
      <c r="I13" s="38">
        <f>0.17084728087487*100</f>
        <v>17.084728087487001</v>
      </c>
      <c r="J13" s="38">
        <f t="shared" si="1"/>
        <v>24.488193721421439</v>
      </c>
    </row>
    <row r="14" spans="1:15" ht="15" thickBot="1" x14ac:dyDescent="0.4">
      <c r="A14" s="207"/>
      <c r="B14" s="198"/>
      <c r="C14" s="199"/>
      <c r="D14" s="16" t="s">
        <v>11</v>
      </c>
      <c r="E14" s="33">
        <v>0.53267281339680095</v>
      </c>
      <c r="F14" s="37">
        <v>0.33015996602439002</v>
      </c>
      <c r="G14" s="37">
        <v>0.12885986900413501</v>
      </c>
      <c r="H14" s="65">
        <f>0.291193956660585*100</f>
        <v>29.119395666058502</v>
      </c>
      <c r="I14" s="38">
        <f>0.123519570010148*100</f>
        <v>12.351957001014799</v>
      </c>
      <c r="J14" s="45">
        <f t="shared" si="1"/>
        <v>36.840150722436235</v>
      </c>
    </row>
    <row r="15" spans="1:15" ht="15" thickBot="1" x14ac:dyDescent="0.4">
      <c r="A15" s="207"/>
      <c r="B15" s="3" t="s">
        <v>64</v>
      </c>
      <c r="C15" t="s">
        <v>65</v>
      </c>
      <c r="D15" s="52" t="s">
        <v>54</v>
      </c>
      <c r="E15" s="67">
        <f>AVERAGE(E10:E14)</f>
        <v>0.70967140073340151</v>
      </c>
      <c r="F15" s="4">
        <f>AVERAGE(F10:F14)</f>
        <v>0.1609194982685922</v>
      </c>
      <c r="G15" s="4">
        <f>AVERAGE(G10:G14)</f>
        <v>7.8327752303607806E-2</v>
      </c>
      <c r="H15" s="4">
        <f>AVERAGE(H10:H14)</f>
        <v>13.95137291814496</v>
      </c>
      <c r="I15" s="4">
        <f>AVERAGE(I10:I14)</f>
        <v>7.3680301444872471</v>
      </c>
      <c r="J15" s="64"/>
      <c r="K15"/>
    </row>
    <row r="16" spans="1:15" ht="15" thickBot="1" x14ac:dyDescent="0.4">
      <c r="A16" s="208"/>
      <c r="B16" s="8" t="s">
        <v>8</v>
      </c>
      <c r="C16" s="48" t="s">
        <v>103</v>
      </c>
      <c r="D16" s="200" t="s">
        <v>107</v>
      </c>
      <c r="E16" s="201"/>
      <c r="F16" s="201"/>
      <c r="G16" s="201"/>
      <c r="H16" s="201"/>
      <c r="I16" s="202"/>
      <c r="J16" s="63">
        <f>((AVERAGE(E10:E14))/STDEVP(E10:E14))</f>
        <v>0.96133665446918326</v>
      </c>
      <c r="K16" s="20"/>
      <c r="L16" s="20"/>
      <c r="M16" s="20"/>
      <c r="N16" s="20"/>
      <c r="O16" s="21"/>
    </row>
    <row r="17" spans="1:15" x14ac:dyDescent="0.35">
      <c r="A17" s="221" t="s">
        <v>116</v>
      </c>
      <c r="B17" s="6" t="s">
        <v>0</v>
      </c>
      <c r="C17" s="5" t="s">
        <v>115</v>
      </c>
      <c r="D17" s="14" t="s">
        <v>4</v>
      </c>
      <c r="E17" s="34">
        <v>0.61566824809832899</v>
      </c>
      <c r="F17" s="35">
        <v>7.5316369639063005E-2</v>
      </c>
      <c r="G17" s="35">
        <v>4.4521881337645001E-2</v>
      </c>
      <c r="H17" s="36">
        <f>0.0835713725930654*100</f>
        <v>8.3571372593065387</v>
      </c>
      <c r="I17" s="36">
        <f>0.0736041363710569*100</f>
        <v>7.3604136371056894</v>
      </c>
      <c r="J17" s="36">
        <f>I17</f>
        <v>7.3604136371056894</v>
      </c>
      <c r="K17" s="17"/>
      <c r="L17" s="5"/>
      <c r="M17" s="5"/>
      <c r="N17" s="5"/>
      <c r="O17" s="18"/>
    </row>
    <row r="18" spans="1:15" x14ac:dyDescent="0.35">
      <c r="A18" s="222"/>
      <c r="B18" s="3" t="s">
        <v>2</v>
      </c>
      <c r="C18" s="49" t="s">
        <v>73</v>
      </c>
      <c r="D18" s="15" t="s">
        <v>12</v>
      </c>
      <c r="E18" s="55">
        <v>2.7085949090116199</v>
      </c>
      <c r="F18" s="37">
        <v>3.3215707955426998E-2</v>
      </c>
      <c r="G18" s="37">
        <v>9.3520381342915002E-2</v>
      </c>
      <c r="H18" s="38">
        <f>0.033386541624485*100</f>
        <v>3.3386541624484996</v>
      </c>
      <c r="I18" s="38">
        <f>0.164132188693522*100</f>
        <v>16.4132188693522</v>
      </c>
      <c r="J18" s="38">
        <f>J17+I18</f>
        <v>23.77363250645789</v>
      </c>
    </row>
    <row r="19" spans="1:15" x14ac:dyDescent="0.35">
      <c r="A19" s="222"/>
      <c r="B19" s="3" t="s">
        <v>67</v>
      </c>
      <c r="C19" s="51" t="s">
        <v>66</v>
      </c>
      <c r="D19" s="15" t="s">
        <v>13</v>
      </c>
      <c r="E19" s="33">
        <v>0.96898750674854806</v>
      </c>
      <c r="F19" s="37">
        <v>9.3935265451814007E-2</v>
      </c>
      <c r="G19" s="37">
        <v>9.0486409797346998E-2</v>
      </c>
      <c r="H19" s="38">
        <f>0.120762831340867*100</f>
        <v>12.076283134086701</v>
      </c>
      <c r="I19" s="38">
        <f>0.153298192348501*100</f>
        <v>15.329819234850101</v>
      </c>
      <c r="J19" s="38">
        <f t="shared" ref="J19:J21" si="2">J18+I19</f>
        <v>39.103451741307993</v>
      </c>
    </row>
    <row r="20" spans="1:15" x14ac:dyDescent="0.35">
      <c r="A20" s="222"/>
      <c r="B20" s="198" t="s">
        <v>49</v>
      </c>
      <c r="C20" s="199" t="s">
        <v>111</v>
      </c>
      <c r="D20" s="15" t="s">
        <v>14</v>
      </c>
      <c r="E20" s="55">
        <v>1.76131071896911</v>
      </c>
      <c r="F20" s="37">
        <v>7.0046175990468001E-2</v>
      </c>
      <c r="G20" s="37">
        <v>0.12852532044357501</v>
      </c>
      <c r="H20" s="38">
        <f>0.0685931165698085*100</f>
        <v>6.8593116569808501</v>
      </c>
      <c r="I20" s="38">
        <f>0.2257040657066*100</f>
        <v>22.570406570660001</v>
      </c>
      <c r="J20" s="38">
        <f t="shared" si="2"/>
        <v>61.67385831196799</v>
      </c>
    </row>
    <row r="21" spans="1:15" ht="15" thickBot="1" x14ac:dyDescent="0.4">
      <c r="A21" s="222"/>
      <c r="B21" s="198"/>
      <c r="C21" s="199"/>
      <c r="D21" s="16" t="s">
        <v>11</v>
      </c>
      <c r="E21" s="33">
        <v>0.50360631081482798</v>
      </c>
      <c r="F21" s="37">
        <v>0.16670934278777799</v>
      </c>
      <c r="G21" s="37">
        <v>7.2504098139415996E-2</v>
      </c>
      <c r="H21" s="38">
        <f>0.219023396715916*100</f>
        <v>21.902339671591601</v>
      </c>
      <c r="I21" s="38">
        <f>0.107854220912377*100</f>
        <v>10.785422091237699</v>
      </c>
      <c r="J21" s="50">
        <f t="shared" si="2"/>
        <v>72.459280403205696</v>
      </c>
    </row>
    <row r="22" spans="1:15" ht="15" thickBot="1" x14ac:dyDescent="0.4">
      <c r="A22" s="222"/>
      <c r="B22" s="3" t="s">
        <v>64</v>
      </c>
      <c r="C22" s="66" t="s">
        <v>117</v>
      </c>
      <c r="D22" s="52" t="s">
        <v>54</v>
      </c>
      <c r="E22" s="54">
        <f>AVERAGE(E17:E21)</f>
        <v>1.3116335387284868</v>
      </c>
      <c r="F22" s="4">
        <f>AVERAGE(F17:F21)</f>
        <v>8.7844572364910001E-2</v>
      </c>
      <c r="G22" s="4">
        <f>AVERAGE(G17:G21)</f>
        <v>8.5911618212179602E-2</v>
      </c>
      <c r="H22" s="54">
        <f>AVERAGE(H17:H21)</f>
        <v>10.506745176882839</v>
      </c>
      <c r="I22" s="54">
        <f>AVERAGE(I17:I21)</f>
        <v>14.491856080641139</v>
      </c>
      <c r="J22" s="64"/>
      <c r="K22"/>
    </row>
    <row r="23" spans="1:15" ht="15" thickBot="1" x14ac:dyDescent="0.4">
      <c r="A23" s="223"/>
      <c r="B23" s="3" t="s">
        <v>8</v>
      </c>
      <c r="C23" s="53" t="s">
        <v>71</v>
      </c>
      <c r="D23" s="200" t="s">
        <v>98</v>
      </c>
      <c r="E23" s="201"/>
      <c r="F23" s="201"/>
      <c r="G23" s="201"/>
      <c r="H23" s="201"/>
      <c r="I23" s="202"/>
      <c r="J23" s="68">
        <f>((AVERAGE(E17:E21))/STDEVP(E17:E21))</f>
        <v>1.588629806687035</v>
      </c>
      <c r="K23" s="20"/>
      <c r="L23" s="20"/>
      <c r="M23" s="20"/>
      <c r="N23" s="20"/>
      <c r="O23" s="21"/>
    </row>
    <row r="24" spans="1:15" x14ac:dyDescent="0.35">
      <c r="A24" s="203" t="s">
        <v>112</v>
      </c>
      <c r="B24" s="6" t="s">
        <v>0</v>
      </c>
      <c r="C24" s="5" t="s">
        <v>91</v>
      </c>
      <c r="D24" s="14" t="s">
        <v>4</v>
      </c>
      <c r="E24" s="34">
        <v>-0.13067446453033299</v>
      </c>
      <c r="F24" s="34">
        <v>5.3458002210487E-2</v>
      </c>
      <c r="G24" s="35">
        <v>-8.3719915992039994E-3</v>
      </c>
      <c r="H24" s="36">
        <f>0.107217118099844*100</f>
        <v>10.721711809984399</v>
      </c>
      <c r="I24" s="36">
        <f>-0.0141774830080173*100</f>
        <v>-1.41774830080173</v>
      </c>
      <c r="J24" s="36">
        <f>I24</f>
        <v>-1.41774830080173</v>
      </c>
      <c r="K24" s="17"/>
      <c r="L24" s="5"/>
      <c r="M24" s="5"/>
      <c r="N24" s="5"/>
      <c r="O24" s="18"/>
    </row>
    <row r="25" spans="1:15" x14ac:dyDescent="0.35">
      <c r="A25" s="204"/>
      <c r="B25" s="3" t="s">
        <v>2</v>
      </c>
      <c r="C25" s="49" t="s">
        <v>73</v>
      </c>
      <c r="D25" s="15" t="s">
        <v>12</v>
      </c>
      <c r="E25" s="55">
        <v>2.2655544603747599</v>
      </c>
      <c r="F25" s="37">
        <v>3.5572456942423003E-2</v>
      </c>
      <c r="G25" s="37">
        <v>8.3231673245686005E-2</v>
      </c>
      <c r="H25" s="38">
        <f>0.0171915431876838*100</f>
        <v>1.71915431876838</v>
      </c>
      <c r="I25" s="38">
        <f>0.131603519786206*100</f>
        <v>13.1603519786206</v>
      </c>
      <c r="J25" s="38">
        <f>J24+I25</f>
        <v>11.74260367781887</v>
      </c>
    </row>
    <row r="26" spans="1:15" x14ac:dyDescent="0.35">
      <c r="A26" s="204"/>
      <c r="B26" s="3" t="s">
        <v>67</v>
      </c>
      <c r="C26" s="51" t="s">
        <v>66</v>
      </c>
      <c r="D26" s="15" t="s">
        <v>13</v>
      </c>
      <c r="E26" s="33">
        <v>0.78741231079408103</v>
      </c>
      <c r="F26" s="37">
        <v>6.1277217950085998E-2</v>
      </c>
      <c r="G26" s="37">
        <v>4.7473775992270997E-2</v>
      </c>
      <c r="H26" s="38">
        <f>0.0643889247193364*100</f>
        <v>6.4388924719336398</v>
      </c>
      <c r="I26" s="38">
        <f>0.0729870528824876*100</f>
        <v>7.2987052882487591</v>
      </c>
      <c r="J26" s="38">
        <f t="shared" ref="J26:J28" si="3">J25+I26</f>
        <v>19.041308966067628</v>
      </c>
    </row>
    <row r="27" spans="1:15" x14ac:dyDescent="0.35">
      <c r="A27" s="204"/>
      <c r="B27" s="198" t="s">
        <v>49</v>
      </c>
      <c r="C27" s="199" t="s">
        <v>111</v>
      </c>
      <c r="D27" s="15" t="s">
        <v>14</v>
      </c>
      <c r="E27" s="55">
        <v>1.0549643193196101</v>
      </c>
      <c r="F27" s="37">
        <v>7.6328696618534003E-2</v>
      </c>
      <c r="G27" s="37">
        <v>8.0690596025006001E-2</v>
      </c>
      <c r="H27" s="38">
        <f>0.12881050086818*100</f>
        <v>12.881050086818</v>
      </c>
      <c r="I27" s="38">
        <f>0.125258512595395*100</f>
        <v>12.5258512595395</v>
      </c>
      <c r="J27" s="38">
        <f t="shared" si="3"/>
        <v>31.567160225607129</v>
      </c>
    </row>
    <row r="28" spans="1:15" ht="15" thickBot="1" x14ac:dyDescent="0.4">
      <c r="A28" s="204"/>
      <c r="B28" s="198"/>
      <c r="C28" s="199"/>
      <c r="D28" s="16" t="s">
        <v>11</v>
      </c>
      <c r="E28" s="22">
        <v>0.77823332726153105</v>
      </c>
      <c r="F28" s="37">
        <v>0.25619698004076602</v>
      </c>
      <c r="G28" s="37">
        <v>0.18140443181937499</v>
      </c>
      <c r="H28" s="38">
        <f>0.322959886266965*100</f>
        <v>32.295988626696499</v>
      </c>
      <c r="I28" s="45">
        <f>0.259656177991322*100</f>
        <v>25.9656177991322</v>
      </c>
      <c r="J28" s="50">
        <f t="shared" si="3"/>
        <v>57.532778024739329</v>
      </c>
    </row>
    <row r="29" spans="1:15" ht="15" thickBot="1" x14ac:dyDescent="0.4">
      <c r="A29" s="204"/>
      <c r="B29" s="3" t="s">
        <v>64</v>
      </c>
      <c r="C29" t="s">
        <v>118</v>
      </c>
      <c r="D29" s="52" t="s">
        <v>54</v>
      </c>
      <c r="E29" s="4">
        <f>AVERAGE(E24:E28)</f>
        <v>0.95109799064392975</v>
      </c>
      <c r="F29" s="4">
        <f>AVERAGE(F24:F28)</f>
        <v>9.6566670752459199E-2</v>
      </c>
      <c r="G29" s="4">
        <f>AVERAGE(G24:G28)</f>
        <v>7.6885697096626807E-2</v>
      </c>
      <c r="H29" s="4">
        <f>AVERAGE(H24:H28)</f>
        <v>12.811359462840183</v>
      </c>
      <c r="I29" s="4">
        <f>AVERAGE(I24:I28)</f>
        <v>11.506555604947867</v>
      </c>
      <c r="J29" s="64"/>
      <c r="K29"/>
    </row>
    <row r="30" spans="1:15" ht="15" thickBot="1" x14ac:dyDescent="0.4">
      <c r="A30" s="205"/>
      <c r="B30" s="8" t="s">
        <v>8</v>
      </c>
      <c r="C30" s="53" t="s">
        <v>72</v>
      </c>
      <c r="D30" s="200" t="s">
        <v>98</v>
      </c>
      <c r="E30" s="201"/>
      <c r="F30" s="201"/>
      <c r="G30" s="201"/>
      <c r="H30" s="201"/>
      <c r="I30" s="202"/>
      <c r="J30" s="63">
        <f>((AVERAGE(E24:E28))/STDEVP(E24:E28))</f>
        <v>1.2349858201846147</v>
      </c>
      <c r="K30" s="20"/>
      <c r="L30" s="20"/>
      <c r="M30" s="20"/>
      <c r="N30" s="20"/>
      <c r="O30" s="21"/>
    </row>
    <row r="31" spans="1:15" x14ac:dyDescent="0.35">
      <c r="A31" s="203" t="s">
        <v>113</v>
      </c>
      <c r="B31" s="6" t="s">
        <v>0</v>
      </c>
      <c r="C31" s="5" t="s">
        <v>101</v>
      </c>
      <c r="D31" s="14" t="s">
        <v>4</v>
      </c>
      <c r="E31" s="46">
        <v>0.89791770915445801</v>
      </c>
      <c r="F31" s="46">
        <v>0.135082044667068</v>
      </c>
      <c r="G31" s="35">
        <v>0.11878279737095999</v>
      </c>
      <c r="H31" s="36">
        <f>0.0585690663474003*100</f>
        <v>5.8569066347400298</v>
      </c>
      <c r="I31" s="36">
        <f>0.110915645405946*100</f>
        <v>11.0915645405946</v>
      </c>
      <c r="J31" s="36">
        <f>I31</f>
        <v>11.0915645405946</v>
      </c>
      <c r="K31" s="17"/>
      <c r="L31" s="5"/>
      <c r="M31" s="5"/>
      <c r="N31" s="5"/>
      <c r="O31" s="18"/>
    </row>
    <row r="32" spans="1:15" x14ac:dyDescent="0.35">
      <c r="A32" s="204"/>
      <c r="B32" s="3" t="s">
        <v>2</v>
      </c>
      <c r="C32" s="49" t="s">
        <v>73</v>
      </c>
      <c r="D32" s="15" t="s">
        <v>12</v>
      </c>
      <c r="E32" s="33">
        <v>1.3894199800723399</v>
      </c>
      <c r="F32" s="37">
        <v>6.1422247374350002E-2</v>
      </c>
      <c r="G32" s="37">
        <v>8.7029370863035999E-2</v>
      </c>
      <c r="H32" s="38">
        <f>0.0343296347638868*100</f>
        <v>3.43296347638868</v>
      </c>
      <c r="I32" s="38">
        <f>0.0810130323640527*100</f>
        <v>8.1013032364052702</v>
      </c>
      <c r="J32" s="38">
        <f>J31+I32</f>
        <v>19.192867776999869</v>
      </c>
    </row>
    <row r="33" spans="1:15" x14ac:dyDescent="0.35">
      <c r="A33" s="204"/>
      <c r="B33" s="3" t="s">
        <v>67</v>
      </c>
      <c r="C33" s="51" t="s">
        <v>66</v>
      </c>
      <c r="D33" s="15" t="s">
        <v>13</v>
      </c>
      <c r="E33" s="33">
        <v>-0.90023383693468695</v>
      </c>
      <c r="F33" s="37">
        <v>0.17027249122833499</v>
      </c>
      <c r="G33" s="37">
        <v>-0.15450813181893</v>
      </c>
      <c r="H33" s="38">
        <f>0.244420976218013*100</f>
        <v>24.442097621801302</v>
      </c>
      <c r="I33" s="38">
        <f>-0.144019324723944*100</f>
        <v>-14.4019324723944</v>
      </c>
      <c r="J33" s="38">
        <f t="shared" ref="J33:J35" si="4">J32+I33</f>
        <v>4.790935304605469</v>
      </c>
    </row>
    <row r="34" spans="1:15" x14ac:dyDescent="0.35">
      <c r="A34" s="204"/>
      <c r="B34" s="198" t="s">
        <v>49</v>
      </c>
      <c r="C34" s="199" t="s">
        <v>111</v>
      </c>
      <c r="D34" s="15" t="s">
        <v>14</v>
      </c>
      <c r="E34" s="33">
        <v>-1.561795239527E-2</v>
      </c>
      <c r="F34" s="37">
        <v>0.10178465492632199</v>
      </c>
      <c r="G34" s="37">
        <v>-6.7278281774420003E-3</v>
      </c>
      <c r="H34" s="38">
        <f>0.0904932962753264*100</f>
        <v>9.0493296275326394</v>
      </c>
      <c r="I34" s="38">
        <f>-0.00594723661156926*100</f>
        <v>-0.59472366115692599</v>
      </c>
      <c r="J34" s="38">
        <f t="shared" si="4"/>
        <v>4.1962116434485432</v>
      </c>
    </row>
    <row r="35" spans="1:15" ht="15" thickBot="1" x14ac:dyDescent="0.4">
      <c r="A35" s="204"/>
      <c r="B35" s="198"/>
      <c r="C35" s="199"/>
      <c r="D35" s="16" t="s">
        <v>11</v>
      </c>
      <c r="E35" s="33">
        <v>0.44072268789375402</v>
      </c>
      <c r="F35" s="37">
        <v>0.33611141855045001</v>
      </c>
      <c r="G35" s="37">
        <v>9.5780299355988002E-2</v>
      </c>
      <c r="H35" s="38">
        <f>0.333026979319288*100</f>
        <v>33.302697931928797</v>
      </c>
      <c r="I35" s="38">
        <f>0.0929379625743354*100</f>
        <v>9.2937962574335398</v>
      </c>
      <c r="J35" s="45">
        <f t="shared" si="4"/>
        <v>13.490007900882084</v>
      </c>
    </row>
    <row r="36" spans="1:15" ht="15" thickBot="1" x14ac:dyDescent="0.4">
      <c r="A36" s="204"/>
      <c r="B36" s="3" t="s">
        <v>64</v>
      </c>
      <c r="C36" t="s">
        <v>114</v>
      </c>
      <c r="D36" s="52" t="s">
        <v>54</v>
      </c>
      <c r="E36" s="67">
        <f>AVERAGE(E31:E35)</f>
        <v>0.36244171755811899</v>
      </c>
      <c r="F36" s="4">
        <f>AVERAGE(F31:F35)</f>
        <v>0.160934571349305</v>
      </c>
      <c r="G36" s="4">
        <f>AVERAGE(G31:G35)</f>
        <v>2.8071301518722402E-2</v>
      </c>
      <c r="H36" s="4">
        <f>AVERAGE(H31:H35)</f>
        <v>15.216799058478291</v>
      </c>
      <c r="I36" s="4">
        <f>AVERAGE(I31:I35)</f>
        <v>2.6980015801764168</v>
      </c>
      <c r="J36" s="64"/>
      <c r="K36"/>
    </row>
    <row r="37" spans="1:15" ht="15" thickBot="1" x14ac:dyDescent="0.4">
      <c r="A37" s="205"/>
      <c r="B37" s="8" t="s">
        <v>8</v>
      </c>
      <c r="C37" s="48" t="s">
        <v>103</v>
      </c>
      <c r="D37" s="200" t="s">
        <v>107</v>
      </c>
      <c r="E37" s="201"/>
      <c r="F37" s="201"/>
      <c r="G37" s="201"/>
      <c r="H37" s="201"/>
      <c r="I37" s="202"/>
      <c r="J37" s="63">
        <f>((AVERAGE(E31:E35))/STDEVP(E31:E35))</f>
        <v>0.4614321845871216</v>
      </c>
      <c r="K37" s="20"/>
      <c r="L37" s="20"/>
      <c r="M37" s="20"/>
      <c r="N37" s="20"/>
      <c r="O37" s="21"/>
    </row>
    <row r="38" spans="1:15" x14ac:dyDescent="0.35">
      <c r="A38" s="203" t="s">
        <v>119</v>
      </c>
      <c r="B38" s="6" t="s">
        <v>0</v>
      </c>
      <c r="C38" s="5" t="s">
        <v>91</v>
      </c>
      <c r="D38" s="14" t="s">
        <v>4</v>
      </c>
      <c r="E38" s="34">
        <v>0.48348162392675798</v>
      </c>
      <c r="F38" s="34">
        <v>9.0734996255812994E-2</v>
      </c>
      <c r="G38" s="35">
        <v>4.0601829714778E-2</v>
      </c>
      <c r="H38" s="36">
        <f>0.110385571762166*100</f>
        <v>11.038557176216599</v>
      </c>
      <c r="I38" s="36">
        <f>0.054442915385656*100</f>
        <v>5.4442915385655999</v>
      </c>
      <c r="J38" s="36">
        <f>I38</f>
        <v>5.4442915385655999</v>
      </c>
      <c r="K38" s="17"/>
      <c r="L38" s="5"/>
      <c r="M38" s="5"/>
      <c r="N38" s="5"/>
      <c r="O38" s="18"/>
    </row>
    <row r="39" spans="1:15" x14ac:dyDescent="0.35">
      <c r="A39" s="204"/>
      <c r="B39" s="3" t="s">
        <v>2</v>
      </c>
      <c r="C39" s="49" t="s">
        <v>73</v>
      </c>
      <c r="D39" s="15" t="s">
        <v>12</v>
      </c>
      <c r="E39" s="69">
        <v>1.6781940279735199</v>
      </c>
      <c r="F39" s="37">
        <v>3.2013743089073003E-2</v>
      </c>
      <c r="G39" s="37">
        <v>5.4651345863838997E-2</v>
      </c>
      <c r="H39" s="38">
        <f>0.0231123553550552*100</f>
        <v>2.3112355355055203</v>
      </c>
      <c r="I39" s="38">
        <f>0.0762473841419575*100</f>
        <v>7.6247384141957504</v>
      </c>
      <c r="J39" s="38">
        <f>J38+I39</f>
        <v>13.069029952761351</v>
      </c>
    </row>
    <row r="40" spans="1:15" x14ac:dyDescent="0.35">
      <c r="A40" s="204"/>
      <c r="B40" s="3" t="s">
        <v>67</v>
      </c>
      <c r="C40" s="51" t="s">
        <v>66</v>
      </c>
      <c r="D40" s="15" t="s">
        <v>13</v>
      </c>
      <c r="E40" s="33">
        <v>-0.63204827609505998</v>
      </c>
      <c r="F40" s="37">
        <v>5.6077204764687E-2</v>
      </c>
      <c r="G40" s="37">
        <v>-3.6342863728383003E-2</v>
      </c>
      <c r="H40" s="38">
        <f>0.101456912111371*100</f>
        <v>10.1456912111371</v>
      </c>
      <c r="I40" s="38">
        <f>-0.0508254918395461*100</f>
        <v>-5.08254918395461</v>
      </c>
      <c r="J40" s="38">
        <f t="shared" ref="J40:J42" si="5">J39+I40</f>
        <v>7.9864807688067412</v>
      </c>
    </row>
    <row r="41" spans="1:15" x14ac:dyDescent="0.35">
      <c r="A41" s="204"/>
      <c r="B41" s="198" t="s">
        <v>49</v>
      </c>
      <c r="C41" s="199" t="s">
        <v>111</v>
      </c>
      <c r="D41" s="15" t="s">
        <v>14</v>
      </c>
      <c r="E41" s="69">
        <v>1.9447097612924</v>
      </c>
      <c r="F41" s="37">
        <v>7.6423544712155997E-2</v>
      </c>
      <c r="G41" s="37">
        <v>0.15681994514953199</v>
      </c>
      <c r="H41" s="38">
        <f>0.0667811140144275*100</f>
        <v>6.6781114014427505</v>
      </c>
      <c r="I41" s="38">
        <f>0.22182824358244*100</f>
        <v>22.182824358243998</v>
      </c>
      <c r="J41" s="38">
        <f t="shared" si="5"/>
        <v>30.169305127050741</v>
      </c>
    </row>
    <row r="42" spans="1:15" ht="15" thickBot="1" x14ac:dyDescent="0.4">
      <c r="A42" s="204"/>
      <c r="B42" s="198"/>
      <c r="C42" s="199"/>
      <c r="D42" s="16" t="s">
        <v>11</v>
      </c>
      <c r="E42" s="55">
        <v>1.05312671195561</v>
      </c>
      <c r="F42" s="37">
        <v>0.28583370373501898</v>
      </c>
      <c r="G42" s="37">
        <v>0.29737752643611098</v>
      </c>
      <c r="H42" s="65">
        <f>0.324315284670496*100</f>
        <v>32.431528467049596</v>
      </c>
      <c r="I42" s="45">
        <f>0.403755279964767*100</f>
        <v>40.375527996476698</v>
      </c>
      <c r="J42" s="50">
        <f t="shared" si="5"/>
        <v>70.54483312352744</v>
      </c>
    </row>
    <row r="43" spans="1:15" ht="15" thickBot="1" x14ac:dyDescent="0.4">
      <c r="A43" s="204"/>
      <c r="B43" s="3" t="s">
        <v>64</v>
      </c>
      <c r="C43" t="s">
        <v>121</v>
      </c>
      <c r="D43" s="52" t="s">
        <v>54</v>
      </c>
      <c r="E43" s="4">
        <f>AVERAGE(E38:E42)</f>
        <v>0.90549276981064553</v>
      </c>
      <c r="F43" s="4">
        <f>AVERAGE(F38:F42)</f>
        <v>0.10821663851134959</v>
      </c>
      <c r="G43" s="4">
        <f>AVERAGE(G38:G42)</f>
        <v>0.10262155668717539</v>
      </c>
      <c r="H43" s="4">
        <f>AVERAGE(H38:H42)</f>
        <v>12.521024758270313</v>
      </c>
      <c r="I43" s="4">
        <f>AVERAGE(I38:I42)</f>
        <v>14.108966624705488</v>
      </c>
      <c r="J43" s="64"/>
      <c r="K43"/>
    </row>
    <row r="44" spans="1:15" ht="15" thickBot="1" x14ac:dyDescent="0.4">
      <c r="A44" s="205"/>
      <c r="B44" s="8" t="s">
        <v>8</v>
      </c>
      <c r="C44" s="53" t="s">
        <v>72</v>
      </c>
      <c r="D44" s="200" t="s">
        <v>98</v>
      </c>
      <c r="E44" s="201"/>
      <c r="F44" s="201"/>
      <c r="G44" s="201"/>
      <c r="H44" s="201"/>
      <c r="I44" s="202"/>
      <c r="J44" s="63">
        <f>((AVERAGE(E38:E42))/STDEVP(E38:E42))</f>
        <v>0.98319091669490988</v>
      </c>
      <c r="K44" s="20"/>
      <c r="L44" s="20"/>
      <c r="M44" s="20"/>
      <c r="N44" s="20"/>
      <c r="O44" s="21"/>
    </row>
    <row r="45" spans="1:15" x14ac:dyDescent="0.35">
      <c r="A45" s="203" t="s">
        <v>120</v>
      </c>
      <c r="B45" s="6" t="s">
        <v>0</v>
      </c>
      <c r="C45" s="5" t="s">
        <v>101</v>
      </c>
      <c r="D45" s="14" t="s">
        <v>4</v>
      </c>
      <c r="E45" s="46">
        <v>0.497250358309832</v>
      </c>
      <c r="F45" s="46">
        <v>0.120170275814514</v>
      </c>
      <c r="G45" s="35">
        <v>5.4015454726532998E-2</v>
      </c>
      <c r="H45" s="36">
        <f>0.0629644684404334*100</f>
        <v>6.2964468440433397</v>
      </c>
      <c r="I45" s="36">
        <f>0.0530194999856588*199</f>
        <v>10.550880497146101</v>
      </c>
      <c r="J45" s="36">
        <f>I45</f>
        <v>10.550880497146101</v>
      </c>
      <c r="K45" s="17"/>
      <c r="L45" s="5"/>
      <c r="M45" s="5"/>
      <c r="N45" s="5"/>
      <c r="O45" s="18"/>
    </row>
    <row r="46" spans="1:15" x14ac:dyDescent="0.35">
      <c r="A46" s="204"/>
      <c r="B46" s="3" t="s">
        <v>2</v>
      </c>
      <c r="C46" s="49" t="s">
        <v>73</v>
      </c>
      <c r="D46" s="15" t="s">
        <v>12</v>
      </c>
      <c r="E46" s="33">
        <v>1.40818040406152</v>
      </c>
      <c r="F46" s="37">
        <v>5.9129062025875999E-2</v>
      </c>
      <c r="G46" s="37">
        <v>8.4923439328533995E-2</v>
      </c>
      <c r="H46" s="38">
        <f>0.0444234705105863*100</f>
        <v>4.44234705105863</v>
      </c>
      <c r="I46" s="38">
        <f>0.0831324315738886*100</f>
        <v>8.3132431573888592</v>
      </c>
      <c r="J46" s="38">
        <f>J45+I46</f>
        <v>18.864123654534961</v>
      </c>
    </row>
    <row r="47" spans="1:15" x14ac:dyDescent="0.35">
      <c r="A47" s="204"/>
      <c r="B47" s="3" t="s">
        <v>67</v>
      </c>
      <c r="C47" s="51" t="s">
        <v>66</v>
      </c>
      <c r="D47" s="15" t="s">
        <v>13</v>
      </c>
      <c r="E47" s="33">
        <v>-0.680582645310156</v>
      </c>
      <c r="F47" s="37">
        <v>0.16626042036364799</v>
      </c>
      <c r="G47" s="37">
        <v>-0.119265944928607</v>
      </c>
      <c r="H47" s="38">
        <f>0.193254662587583*100</f>
        <v>19.325466258758301</v>
      </c>
      <c r="I47" s="38">
        <f>-0.116697841128863*100</f>
        <v>-11.669784112886299</v>
      </c>
      <c r="J47" s="38">
        <f t="shared" ref="J47:J49" si="6">J46+I47</f>
        <v>7.1943395416486613</v>
      </c>
    </row>
    <row r="48" spans="1:15" x14ac:dyDescent="0.35">
      <c r="A48" s="204"/>
      <c r="B48" s="198" t="s">
        <v>49</v>
      </c>
      <c r="C48" s="199" t="s">
        <v>111</v>
      </c>
      <c r="D48" s="15" t="s">
        <v>14</v>
      </c>
      <c r="E48" s="33">
        <v>-0.17184181706276899</v>
      </c>
      <c r="F48" s="37">
        <v>8.6266533135654994E-2</v>
      </c>
      <c r="G48" s="37">
        <v>-1.8365247110231998E-2</v>
      </c>
      <c r="H48" s="38">
        <f>0.106411490147791*100</f>
        <v>10.641149014779099</v>
      </c>
      <c r="I48" s="38">
        <f>-0.0179143930876674*100</f>
        <v>-1.7914393087667397</v>
      </c>
      <c r="J48" s="38">
        <f t="shared" si="6"/>
        <v>5.4029002328819216</v>
      </c>
    </row>
    <row r="49" spans="1:15" ht="15" thickBot="1" x14ac:dyDescent="0.4">
      <c r="A49" s="204"/>
      <c r="B49" s="198"/>
      <c r="C49" s="199"/>
      <c r="D49" s="16" t="s">
        <v>11</v>
      </c>
      <c r="E49" s="33">
        <v>4.8870549457366998E-2</v>
      </c>
      <c r="F49" s="37">
        <v>0.33403185811050201</v>
      </c>
      <c r="G49" s="37">
        <v>-3.8828938091881003E-2</v>
      </c>
      <c r="H49" s="65">
        <f>0.308132203404658*100</f>
        <v>30.813220340465801</v>
      </c>
      <c r="I49" s="38">
        <f>-0.0369394095227558*100</f>
        <v>-3.6939409522755802</v>
      </c>
      <c r="J49" s="45">
        <f t="shared" si="6"/>
        <v>1.7089592806063414</v>
      </c>
    </row>
    <row r="50" spans="1:15" ht="15" thickBot="1" x14ac:dyDescent="0.4">
      <c r="A50" s="204"/>
      <c r="B50" s="3" t="s">
        <v>64</v>
      </c>
      <c r="C50" t="s">
        <v>121</v>
      </c>
      <c r="D50" s="52" t="s">
        <v>54</v>
      </c>
      <c r="E50" s="67">
        <f>AVERAGE(E45:E49)</f>
        <v>0.2203753698911588</v>
      </c>
      <c r="F50" s="4">
        <f>AVERAGE(F45:F49)</f>
        <v>0.15317162989003902</v>
      </c>
      <c r="G50" s="4">
        <f>AVERAGE(G45:G49)</f>
        <v>-7.504247215130602E-3</v>
      </c>
      <c r="H50" s="4">
        <f>AVERAGE(H45:H49)</f>
        <v>14.303725901821034</v>
      </c>
      <c r="I50" s="4">
        <f>AVERAGE(I45:I49)</f>
        <v>0.34179185612126828</v>
      </c>
      <c r="J50" s="64"/>
      <c r="K50"/>
    </row>
    <row r="51" spans="1:15" ht="15" thickBot="1" x14ac:dyDescent="0.4">
      <c r="A51" s="205"/>
      <c r="B51" s="8" t="s">
        <v>8</v>
      </c>
      <c r="C51" s="48" t="s">
        <v>103</v>
      </c>
      <c r="D51" s="200" t="s">
        <v>107</v>
      </c>
      <c r="E51" s="201"/>
      <c r="F51" s="201"/>
      <c r="G51" s="201"/>
      <c r="H51" s="201"/>
      <c r="I51" s="202"/>
      <c r="J51" s="63">
        <f>((AVERAGE(E45:E49))/STDEVP(E45:E49))</f>
        <v>0.3127535096753421</v>
      </c>
      <c r="K51" s="20"/>
      <c r="L51" s="20"/>
      <c r="M51" s="20"/>
      <c r="N51" s="20"/>
      <c r="O51" s="21"/>
    </row>
    <row r="52" spans="1:15" x14ac:dyDescent="0.35">
      <c r="A52" s="219"/>
      <c r="B52" s="219"/>
      <c r="C52" s="219"/>
      <c r="D52" s="219"/>
      <c r="E52" s="219"/>
      <c r="F52" s="219"/>
      <c r="G52" s="219"/>
      <c r="H52" s="219"/>
      <c r="I52" s="219"/>
      <c r="J52" s="219"/>
      <c r="K52" s="219"/>
      <c r="L52" s="219"/>
      <c r="M52" s="219"/>
      <c r="N52" s="219"/>
      <c r="O52" s="219"/>
    </row>
    <row r="53" spans="1:15" x14ac:dyDescent="0.35">
      <c r="B53" s="1"/>
      <c r="D53" t="s">
        <v>122</v>
      </c>
      <c r="E53" s="1" t="s">
        <v>92</v>
      </c>
      <c r="F53" s="1" t="s">
        <v>100</v>
      </c>
      <c r="G53" s="1" t="s">
        <v>116</v>
      </c>
      <c r="H53" s="1" t="s">
        <v>112</v>
      </c>
      <c r="I53" s="1" t="s">
        <v>113</v>
      </c>
      <c r="J53" s="1" t="s">
        <v>119</v>
      </c>
      <c r="K53" s="1" t="s">
        <v>120</v>
      </c>
      <c r="O53"/>
    </row>
    <row r="54" spans="1:15" x14ac:dyDescent="0.35">
      <c r="B54" s="1"/>
      <c r="D54" s="170" t="s">
        <v>4</v>
      </c>
      <c r="E54" s="171">
        <f>E60</f>
        <v>-0.183743773216406</v>
      </c>
      <c r="F54" s="171">
        <f t="shared" ref="F54:I54" si="7">F60</f>
        <v>1.08016821041124</v>
      </c>
      <c r="G54" s="171">
        <f t="shared" si="7"/>
        <v>0.61566824809832899</v>
      </c>
      <c r="H54" s="171">
        <f t="shared" si="7"/>
        <v>-0.13067446453033299</v>
      </c>
      <c r="I54" s="171">
        <f t="shared" si="7"/>
        <v>0.89791770915445801</v>
      </c>
      <c r="J54" s="171">
        <f t="shared" ref="J54" si="8">J60</f>
        <v>0.48348162392675798</v>
      </c>
      <c r="K54" s="171">
        <f t="shared" ref="K54" si="9">K60</f>
        <v>0.497250358309832</v>
      </c>
      <c r="O54"/>
    </row>
    <row r="55" spans="1:15" x14ac:dyDescent="0.35">
      <c r="B55" s="1"/>
      <c r="D55" s="170" t="s">
        <v>12</v>
      </c>
      <c r="E55" s="172">
        <f t="shared" ref="E55:K55" si="10">E54+E61</f>
        <v>0.39919002718242302</v>
      </c>
      <c r="F55" s="172">
        <f t="shared" si="10"/>
        <v>2.26621752234144</v>
      </c>
      <c r="G55" s="172">
        <f t="shared" si="10"/>
        <v>3.3242631571099488</v>
      </c>
      <c r="H55" s="172">
        <f t="shared" si="10"/>
        <v>2.1348799958444271</v>
      </c>
      <c r="I55" s="172">
        <f t="shared" si="10"/>
        <v>2.2873376892267978</v>
      </c>
      <c r="J55" s="172">
        <f t="shared" si="10"/>
        <v>2.161675651900278</v>
      </c>
      <c r="K55" s="172">
        <f t="shared" si="10"/>
        <v>1.905430762371352</v>
      </c>
      <c r="O55"/>
    </row>
    <row r="56" spans="1:15" x14ac:dyDescent="0.35">
      <c r="B56" s="1"/>
      <c r="D56" s="170" t="s">
        <v>13</v>
      </c>
      <c r="E56" s="172">
        <f t="shared" ref="E56:I58" si="11">E55+E62</f>
        <v>0.27361742336078398</v>
      </c>
      <c r="F56" s="172">
        <f t="shared" si="11"/>
        <v>1.615062394932117</v>
      </c>
      <c r="G56" s="172">
        <f t="shared" si="11"/>
        <v>4.2932506638584966</v>
      </c>
      <c r="H56" s="172">
        <f t="shared" si="11"/>
        <v>2.922292306638508</v>
      </c>
      <c r="I56" s="172">
        <f t="shared" si="11"/>
        <v>1.3871038522921109</v>
      </c>
      <c r="J56" s="172">
        <f t="shared" ref="J56" si="12">J55+J62</f>
        <v>1.5296273758052181</v>
      </c>
      <c r="K56" s="172">
        <f t="shared" ref="K56" si="13">K55+K62</f>
        <v>1.224848117061196</v>
      </c>
      <c r="O56"/>
    </row>
    <row r="57" spans="1:15" x14ac:dyDescent="0.35">
      <c r="B57" s="1"/>
      <c r="D57" s="170" t="s">
        <v>14</v>
      </c>
      <c r="E57" s="172">
        <f t="shared" si="11"/>
        <v>1.524389249736344</v>
      </c>
      <c r="F57" s="172">
        <f t="shared" si="11"/>
        <v>3.015684190270207</v>
      </c>
      <c r="G57" s="172">
        <f t="shared" si="11"/>
        <v>6.0545613828276066</v>
      </c>
      <c r="H57" s="172">
        <f t="shared" si="11"/>
        <v>3.9772566259581179</v>
      </c>
      <c r="I57" s="172">
        <f t="shared" si="11"/>
        <v>1.3714858998968409</v>
      </c>
      <c r="J57" s="172">
        <f t="shared" ref="J57" si="14">J56+J63</f>
        <v>3.4743371370976179</v>
      </c>
      <c r="K57" s="172">
        <f t="shared" ref="K57" si="15">K56+K63</f>
        <v>1.0530062999984271</v>
      </c>
      <c r="O57"/>
    </row>
    <row r="58" spans="1:15" x14ac:dyDescent="0.35">
      <c r="B58" s="1"/>
      <c r="D58" s="173" t="s">
        <v>11</v>
      </c>
      <c r="E58" s="172">
        <f t="shared" si="11"/>
        <v>2.820265961796574</v>
      </c>
      <c r="F58" s="172">
        <f t="shared" si="11"/>
        <v>3.5483570036670078</v>
      </c>
      <c r="G58" s="172">
        <f t="shared" si="11"/>
        <v>6.5581676936424342</v>
      </c>
      <c r="H58" s="172">
        <f t="shared" si="11"/>
        <v>4.7554899532196488</v>
      </c>
      <c r="I58" s="172">
        <f t="shared" si="11"/>
        <v>1.8122085877905949</v>
      </c>
      <c r="J58" s="172">
        <f t="shared" ref="J58" si="16">J57+J64</f>
        <v>4.5274638490532277</v>
      </c>
      <c r="K58" s="172">
        <f t="shared" ref="K58" si="17">K57+K64</f>
        <v>1.101876849455794</v>
      </c>
      <c r="O58"/>
    </row>
    <row r="59" spans="1:15" x14ac:dyDescent="0.35">
      <c r="B59" s="1"/>
      <c r="D59" s="220" t="s">
        <v>123</v>
      </c>
      <c r="E59" s="220"/>
      <c r="F59" s="220"/>
      <c r="G59" s="220"/>
      <c r="H59" s="220"/>
      <c r="I59" s="220"/>
      <c r="J59" s="1"/>
      <c r="K59"/>
      <c r="O59"/>
    </row>
    <row r="60" spans="1:15" x14ac:dyDescent="0.35">
      <c r="B60" s="1"/>
      <c r="D60" s="170" t="s">
        <v>4</v>
      </c>
      <c r="E60" s="171">
        <f>E3</f>
        <v>-0.183743773216406</v>
      </c>
      <c r="F60" s="171">
        <f>E10</f>
        <v>1.08016821041124</v>
      </c>
      <c r="G60" s="171">
        <f>E17</f>
        <v>0.61566824809832899</v>
      </c>
      <c r="H60" s="171">
        <f>E24</f>
        <v>-0.13067446453033299</v>
      </c>
      <c r="I60" s="171">
        <f>E31</f>
        <v>0.89791770915445801</v>
      </c>
      <c r="J60" s="1">
        <f>E38</f>
        <v>0.48348162392675798</v>
      </c>
      <c r="K60" s="113">
        <f>E45</f>
        <v>0.497250358309832</v>
      </c>
      <c r="O60"/>
    </row>
    <row r="61" spans="1:15" x14ac:dyDescent="0.35">
      <c r="B61" s="1"/>
      <c r="D61" s="170" t="s">
        <v>12</v>
      </c>
      <c r="E61" s="171">
        <f>E4</f>
        <v>0.58293380039882903</v>
      </c>
      <c r="F61" s="171">
        <f>E11</f>
        <v>1.1860493119302</v>
      </c>
      <c r="G61" s="171">
        <f>E18</f>
        <v>2.7085949090116199</v>
      </c>
      <c r="H61" s="171">
        <f>E25</f>
        <v>2.2655544603747599</v>
      </c>
      <c r="I61" s="171">
        <f t="shared" ref="I61:I64" si="18">E32</f>
        <v>1.3894199800723399</v>
      </c>
      <c r="J61" s="1">
        <f t="shared" ref="J61:J64" si="19">E39</f>
        <v>1.6781940279735199</v>
      </c>
      <c r="K61" s="113">
        <f t="shared" ref="K61:K64" si="20">E46</f>
        <v>1.40818040406152</v>
      </c>
      <c r="O61"/>
    </row>
    <row r="62" spans="1:15" x14ac:dyDescent="0.35">
      <c r="B62" s="1"/>
      <c r="D62" s="170" t="s">
        <v>13</v>
      </c>
      <c r="E62" s="171">
        <f>E5</f>
        <v>-0.12557260382163901</v>
      </c>
      <c r="F62" s="171">
        <f>E12</f>
        <v>-0.65115512740932302</v>
      </c>
      <c r="G62" s="171">
        <f>E19</f>
        <v>0.96898750674854806</v>
      </c>
      <c r="H62" s="171">
        <f>E26</f>
        <v>0.78741231079408103</v>
      </c>
      <c r="I62" s="171">
        <f t="shared" si="18"/>
        <v>-0.90023383693468695</v>
      </c>
      <c r="J62" s="1">
        <f t="shared" si="19"/>
        <v>-0.63204827609505998</v>
      </c>
      <c r="K62" s="113">
        <f t="shared" si="20"/>
        <v>-0.680582645310156</v>
      </c>
      <c r="O62"/>
    </row>
    <row r="63" spans="1:15" x14ac:dyDescent="0.35">
      <c r="B63" s="1"/>
      <c r="D63" s="170" t="s">
        <v>14</v>
      </c>
      <c r="E63" s="171">
        <f>E6</f>
        <v>1.2507718263755601</v>
      </c>
      <c r="F63" s="171">
        <f>E13</f>
        <v>1.4006217953380899</v>
      </c>
      <c r="G63" s="171">
        <f>E20</f>
        <v>1.76131071896911</v>
      </c>
      <c r="H63" s="171">
        <f>E27</f>
        <v>1.0549643193196101</v>
      </c>
      <c r="I63" s="171">
        <f t="shared" si="18"/>
        <v>-1.561795239527E-2</v>
      </c>
      <c r="J63" s="1">
        <f t="shared" si="19"/>
        <v>1.9447097612924</v>
      </c>
      <c r="K63" s="113">
        <f t="shared" si="20"/>
        <v>-0.17184181706276899</v>
      </c>
      <c r="O63"/>
    </row>
    <row r="64" spans="1:15" x14ac:dyDescent="0.35">
      <c r="B64" s="1"/>
      <c r="D64" s="173" t="s">
        <v>11</v>
      </c>
      <c r="E64" s="171">
        <f>E7</f>
        <v>1.2958767120602299</v>
      </c>
      <c r="F64" s="171">
        <f>E14</f>
        <v>0.53267281339680095</v>
      </c>
      <c r="G64" s="171">
        <f>E21</f>
        <v>0.50360631081482798</v>
      </c>
      <c r="H64" s="171">
        <f>E28</f>
        <v>0.77823332726153105</v>
      </c>
      <c r="I64" s="171">
        <f t="shared" si="18"/>
        <v>0.44072268789375402</v>
      </c>
      <c r="J64" s="1">
        <f t="shared" si="19"/>
        <v>1.05312671195561</v>
      </c>
      <c r="K64" s="113">
        <f t="shared" si="20"/>
        <v>4.8870549457366998E-2</v>
      </c>
      <c r="O64"/>
    </row>
    <row r="65" spans="2:15" x14ac:dyDescent="0.35">
      <c r="B65" s="1"/>
      <c r="D65" t="s">
        <v>124</v>
      </c>
      <c r="E65" s="1" t="s">
        <v>92</v>
      </c>
      <c r="F65" s="1" t="s">
        <v>100</v>
      </c>
      <c r="G65" s="1" t="s">
        <v>116</v>
      </c>
      <c r="H65" s="1" t="s">
        <v>112</v>
      </c>
      <c r="I65" s="1" t="s">
        <v>113</v>
      </c>
      <c r="J65" s="1" t="s">
        <v>119</v>
      </c>
      <c r="K65" s="1" t="s">
        <v>120</v>
      </c>
      <c r="O65"/>
    </row>
    <row r="66" spans="2:15" x14ac:dyDescent="0.35">
      <c r="B66" s="1"/>
      <c r="D66" s="170" t="s">
        <v>4</v>
      </c>
      <c r="E66" s="171">
        <f>J3</f>
        <v>-2.5294852791982203</v>
      </c>
      <c r="F66" s="171">
        <f>J10</f>
        <v>13.607633236465999</v>
      </c>
      <c r="G66" s="171">
        <f>J17</f>
        <v>7.3604136371056894</v>
      </c>
      <c r="H66" s="1">
        <f>J24</f>
        <v>-1.41774830080173</v>
      </c>
      <c r="I66" s="171">
        <f>J31</f>
        <v>11.0915645405946</v>
      </c>
      <c r="J66" s="171">
        <f>J38</f>
        <v>5.4442915385655999</v>
      </c>
      <c r="K66" s="171">
        <f>J45</f>
        <v>10.550880497146101</v>
      </c>
      <c r="O66"/>
    </row>
    <row r="67" spans="2:15" x14ac:dyDescent="0.35">
      <c r="B67" s="1"/>
      <c r="D67" s="170" t="s">
        <v>12</v>
      </c>
      <c r="E67" s="171">
        <f>J4</f>
        <v>0.94571907127358923</v>
      </c>
      <c r="F67" s="171">
        <f>J11</f>
        <v>18.39127663693754</v>
      </c>
      <c r="G67" s="171">
        <f>J18</f>
        <v>23.77363250645789</v>
      </c>
      <c r="H67" s="1">
        <f>J25</f>
        <v>11.74260367781887</v>
      </c>
      <c r="I67" s="171">
        <f t="shared" ref="I67:I70" si="21">J32</f>
        <v>19.192867776999869</v>
      </c>
      <c r="J67" s="171">
        <f t="shared" ref="J67:J70" si="22">J39</f>
        <v>13.069029952761351</v>
      </c>
      <c r="K67" s="171">
        <f t="shared" ref="K67:K70" si="23">J46</f>
        <v>18.864123654534961</v>
      </c>
      <c r="O67"/>
    </row>
    <row r="68" spans="2:15" x14ac:dyDescent="0.35">
      <c r="B68" s="1"/>
      <c r="D68" s="170" t="s">
        <v>13</v>
      </c>
      <c r="E68" s="171">
        <f>J5</f>
        <v>-2.7873736047487907</v>
      </c>
      <c r="F68" s="171">
        <f>J12</f>
        <v>7.4034656339344398</v>
      </c>
      <c r="G68" s="171">
        <f>J19</f>
        <v>39.103451741307993</v>
      </c>
      <c r="H68" s="1">
        <f>J26</f>
        <v>19.041308966067628</v>
      </c>
      <c r="I68" s="171">
        <f t="shared" si="21"/>
        <v>4.790935304605469</v>
      </c>
      <c r="J68" s="171">
        <f t="shared" si="22"/>
        <v>7.9864807688067412</v>
      </c>
      <c r="K68" s="171">
        <f t="shared" si="23"/>
        <v>7.1943395416486613</v>
      </c>
      <c r="O68"/>
    </row>
    <row r="69" spans="2:15" x14ac:dyDescent="0.35">
      <c r="B69" s="1"/>
      <c r="D69" s="170" t="s">
        <v>14</v>
      </c>
      <c r="E69" s="171">
        <f>J6</f>
        <v>18.90473119614051</v>
      </c>
      <c r="F69" s="171">
        <f>J13</f>
        <v>24.488193721421439</v>
      </c>
      <c r="G69" s="171">
        <f>J20</f>
        <v>61.67385831196799</v>
      </c>
      <c r="H69" s="1">
        <f>J27</f>
        <v>31.567160225607129</v>
      </c>
      <c r="I69" s="171">
        <f t="shared" si="21"/>
        <v>4.1962116434485432</v>
      </c>
      <c r="J69" s="171">
        <f t="shared" si="22"/>
        <v>30.169305127050741</v>
      </c>
      <c r="K69" s="171">
        <f t="shared" si="23"/>
        <v>5.4029002328819216</v>
      </c>
      <c r="O69"/>
    </row>
    <row r="70" spans="2:15" x14ac:dyDescent="0.35">
      <c r="B70" s="1"/>
      <c r="D70" s="173" t="s">
        <v>11</v>
      </c>
      <c r="E70" s="171">
        <f>J7</f>
        <v>50.594071667936809</v>
      </c>
      <c r="F70" s="171">
        <f>J14</f>
        <v>36.840150722436235</v>
      </c>
      <c r="G70" s="171">
        <f>J21</f>
        <v>72.459280403205696</v>
      </c>
      <c r="H70" s="1">
        <f>J28</f>
        <v>57.532778024739329</v>
      </c>
      <c r="I70" s="171">
        <f t="shared" si="21"/>
        <v>13.490007900882084</v>
      </c>
      <c r="J70" s="171">
        <f t="shared" si="22"/>
        <v>70.54483312352744</v>
      </c>
      <c r="K70" s="171">
        <f t="shared" si="23"/>
        <v>1.7089592806063414</v>
      </c>
      <c r="O70"/>
    </row>
    <row r="71" spans="2:15" x14ac:dyDescent="0.35">
      <c r="B71" s="1"/>
      <c r="D71" t="s">
        <v>125</v>
      </c>
      <c r="E71" s="1" t="s">
        <v>92</v>
      </c>
      <c r="F71" s="1" t="s">
        <v>100</v>
      </c>
      <c r="G71" s="1" t="s">
        <v>116</v>
      </c>
      <c r="H71" s="1" t="s">
        <v>112</v>
      </c>
      <c r="I71" s="1" t="s">
        <v>113</v>
      </c>
      <c r="J71" s="1" t="s">
        <v>119</v>
      </c>
      <c r="K71" s="1" t="s">
        <v>120</v>
      </c>
      <c r="O71"/>
    </row>
    <row r="72" spans="2:15" x14ac:dyDescent="0.35">
      <c r="B72" s="1"/>
      <c r="D72" s="170" t="s">
        <v>4</v>
      </c>
      <c r="E72" s="171">
        <f>H3</f>
        <v>10.1629192867562</v>
      </c>
      <c r="F72" s="171">
        <f>H10</f>
        <v>8.987415168003821</v>
      </c>
      <c r="G72" s="171">
        <f>H17</f>
        <v>8.3571372593065387</v>
      </c>
      <c r="H72" s="1">
        <f>H24</f>
        <v>10.721711809984399</v>
      </c>
      <c r="I72" s="171">
        <f>H31</f>
        <v>5.8569066347400298</v>
      </c>
      <c r="J72" s="1">
        <f>H38</f>
        <v>11.038557176216599</v>
      </c>
      <c r="K72" s="113">
        <f>H45</f>
        <v>6.2964468440433397</v>
      </c>
      <c r="O72"/>
    </row>
    <row r="73" spans="2:15" x14ac:dyDescent="0.35">
      <c r="B73" s="1"/>
      <c r="D73" s="170" t="s">
        <v>12</v>
      </c>
      <c r="E73" s="171">
        <f>H4</f>
        <v>6.2392809198712902</v>
      </c>
      <c r="F73" s="171">
        <f>H11</f>
        <v>1.95466980662462</v>
      </c>
      <c r="G73" s="171">
        <f>H18</f>
        <v>3.3386541624484996</v>
      </c>
      <c r="H73" s="1">
        <f>H25</f>
        <v>1.71915431876838</v>
      </c>
      <c r="I73" s="171">
        <f t="shared" ref="I73:I76" si="24">H32</f>
        <v>3.43296347638868</v>
      </c>
      <c r="J73" s="1">
        <f t="shared" ref="J73:J76" si="25">H39</f>
        <v>2.3112355355055203</v>
      </c>
      <c r="K73" s="113">
        <f t="shared" ref="K73:K76" si="26">H46</f>
        <v>4.44234705105863</v>
      </c>
      <c r="O73"/>
    </row>
    <row r="74" spans="2:15" x14ac:dyDescent="0.35">
      <c r="B74" s="1"/>
      <c r="D74" s="170" t="s">
        <v>13</v>
      </c>
      <c r="E74" s="171">
        <f>H5</f>
        <v>12.402104252372</v>
      </c>
      <c r="F74" s="171">
        <f>H12</f>
        <v>21.3841274965724</v>
      </c>
      <c r="G74" s="171">
        <f>H19</f>
        <v>12.076283134086701</v>
      </c>
      <c r="H74" s="1">
        <f>H26</f>
        <v>6.4388924719336398</v>
      </c>
      <c r="I74" s="171">
        <f t="shared" si="24"/>
        <v>24.442097621801302</v>
      </c>
      <c r="J74" s="1">
        <f t="shared" si="25"/>
        <v>10.1456912111371</v>
      </c>
      <c r="K74" s="113">
        <f t="shared" si="26"/>
        <v>19.325466258758301</v>
      </c>
      <c r="O74"/>
    </row>
    <row r="75" spans="2:15" x14ac:dyDescent="0.35">
      <c r="B75" s="1"/>
      <c r="D75" s="170" t="s">
        <v>14</v>
      </c>
      <c r="E75" s="171">
        <f>H6</f>
        <v>10.1135022984286</v>
      </c>
      <c r="F75" s="171">
        <f>H13</f>
        <v>8.3112564534654698</v>
      </c>
      <c r="G75" s="171">
        <f>H20</f>
        <v>6.8593116569808501</v>
      </c>
      <c r="H75" s="1">
        <f>H27</f>
        <v>12.881050086818</v>
      </c>
      <c r="I75" s="171">
        <f t="shared" si="24"/>
        <v>9.0493296275326394</v>
      </c>
      <c r="J75" s="1">
        <f t="shared" si="25"/>
        <v>6.6781114014427505</v>
      </c>
      <c r="K75" s="113">
        <f t="shared" si="26"/>
        <v>10.641149014779099</v>
      </c>
      <c r="O75"/>
    </row>
    <row r="76" spans="2:15" x14ac:dyDescent="0.35">
      <c r="B76" s="1"/>
      <c r="D76" s="173" t="s">
        <v>11</v>
      </c>
      <c r="E76" s="171">
        <f>H7</f>
        <v>15.101708068943202</v>
      </c>
      <c r="F76" s="171">
        <f>H14</f>
        <v>29.119395666058502</v>
      </c>
      <c r="G76" s="171">
        <f>H21</f>
        <v>21.902339671591601</v>
      </c>
      <c r="H76" s="1">
        <f>H28</f>
        <v>32.295988626696499</v>
      </c>
      <c r="I76" s="171">
        <f t="shared" si="24"/>
        <v>33.302697931928797</v>
      </c>
      <c r="J76" s="1">
        <f t="shared" si="25"/>
        <v>32.431528467049596</v>
      </c>
      <c r="K76" s="113">
        <f t="shared" si="26"/>
        <v>30.813220340465801</v>
      </c>
      <c r="O76"/>
    </row>
    <row r="77" spans="2:15" x14ac:dyDescent="0.35">
      <c r="B77" s="1"/>
      <c r="D77"/>
      <c r="E77" s="1"/>
      <c r="F77" s="1"/>
      <c r="G77" s="1"/>
      <c r="H77" s="1"/>
      <c r="I77" s="1"/>
      <c r="J77" s="1"/>
      <c r="K77"/>
      <c r="O77"/>
    </row>
    <row r="78" spans="2:15" x14ac:dyDescent="0.35">
      <c r="B78" s="1"/>
      <c r="D78"/>
      <c r="E78" s="1"/>
      <c r="F78" s="1"/>
      <c r="G78" s="1"/>
      <c r="H78" s="1"/>
      <c r="I78" s="1"/>
      <c r="J78" s="1"/>
      <c r="K78"/>
      <c r="O78"/>
    </row>
    <row r="79" spans="2:15" x14ac:dyDescent="0.35">
      <c r="B79" s="1"/>
      <c r="D79"/>
      <c r="E79" s="1"/>
      <c r="F79" s="1"/>
      <c r="G79" s="1"/>
      <c r="H79" s="1"/>
      <c r="I79" s="1"/>
      <c r="J79" s="1"/>
      <c r="K79"/>
      <c r="O79"/>
    </row>
    <row r="80" spans="2:15" x14ac:dyDescent="0.35">
      <c r="B80" s="1"/>
      <c r="D80"/>
      <c r="E80" s="1"/>
      <c r="F80" s="1"/>
      <c r="G80" s="1"/>
      <c r="H80" s="1"/>
      <c r="I80" s="1"/>
      <c r="J80" s="1"/>
      <c r="K80"/>
      <c r="O80"/>
    </row>
    <row r="81" spans="2:15" x14ac:dyDescent="0.35">
      <c r="B81" s="1"/>
      <c r="D81"/>
      <c r="E81" s="1"/>
      <c r="F81" s="1"/>
      <c r="G81" s="1"/>
      <c r="H81" s="1"/>
      <c r="I81" s="1"/>
      <c r="J81" s="1"/>
      <c r="K81"/>
      <c r="O81"/>
    </row>
    <row r="82" spans="2:15" x14ac:dyDescent="0.35">
      <c r="B82" s="1"/>
      <c r="D82"/>
      <c r="E82" s="1"/>
      <c r="F82" s="1"/>
      <c r="G82" s="1"/>
      <c r="H82" s="1"/>
      <c r="I82" s="1"/>
      <c r="J82" s="1"/>
      <c r="K82"/>
      <c r="O82"/>
    </row>
  </sheetData>
  <mergeCells count="33">
    <mergeCell ref="A38:A44"/>
    <mergeCell ref="B41:B42"/>
    <mergeCell ref="C41:C42"/>
    <mergeCell ref="D44:I44"/>
    <mergeCell ref="A52:O52"/>
    <mergeCell ref="D51:I51"/>
    <mergeCell ref="D59:I59"/>
    <mergeCell ref="B6:B7"/>
    <mergeCell ref="C6:C7"/>
    <mergeCell ref="A17:A23"/>
    <mergeCell ref="B20:B21"/>
    <mergeCell ref="C20:C21"/>
    <mergeCell ref="D23:I23"/>
    <mergeCell ref="A31:A37"/>
    <mergeCell ref="B34:B35"/>
    <mergeCell ref="A24:A30"/>
    <mergeCell ref="B27:B28"/>
    <mergeCell ref="C27:C28"/>
    <mergeCell ref="D30:I30"/>
    <mergeCell ref="A45:A51"/>
    <mergeCell ref="B48:B49"/>
    <mergeCell ref="C48:C49"/>
    <mergeCell ref="C34:C35"/>
    <mergeCell ref="D37:I37"/>
    <mergeCell ref="A1:O1"/>
    <mergeCell ref="B2:C2"/>
    <mergeCell ref="K2:O2"/>
    <mergeCell ref="A3:A9"/>
    <mergeCell ref="D9:I9"/>
    <mergeCell ref="A10:A16"/>
    <mergeCell ref="B13:B14"/>
    <mergeCell ref="C13:C14"/>
    <mergeCell ref="D16:I16"/>
  </mergeCells>
  <conditionalFormatting sqref="E54:K58">
    <cfRule type="cellIs" dxfId="135" priority="56" operator="lessThan">
      <formula>0</formula>
    </cfRule>
  </conditionalFormatting>
  <conditionalFormatting sqref="E60:E64">
    <cfRule type="cellIs" dxfId="134" priority="55" operator="lessThan">
      <formula>0</formula>
    </cfRule>
  </conditionalFormatting>
  <conditionalFormatting sqref="F60:F64">
    <cfRule type="cellIs" dxfId="133" priority="54" operator="lessThan">
      <formula>0</formula>
    </cfRule>
  </conditionalFormatting>
  <conditionalFormatting sqref="G60:G64">
    <cfRule type="cellIs" dxfId="132" priority="53" operator="lessThan">
      <formula>0</formula>
    </cfRule>
  </conditionalFormatting>
  <conditionalFormatting sqref="I60:I64">
    <cfRule type="cellIs" dxfId="131" priority="52" operator="lessThan">
      <formula>0</formula>
    </cfRule>
  </conditionalFormatting>
  <conditionalFormatting sqref="E66:E70">
    <cfRule type="cellIs" dxfId="130" priority="51" operator="lessThan">
      <formula>0</formula>
    </cfRule>
  </conditionalFormatting>
  <conditionalFormatting sqref="F66:F70">
    <cfRule type="cellIs" dxfId="129" priority="50" operator="lessThan">
      <formula>0</formula>
    </cfRule>
  </conditionalFormatting>
  <conditionalFormatting sqref="G66:G70">
    <cfRule type="cellIs" dxfId="128" priority="49" operator="lessThan">
      <formula>0</formula>
    </cfRule>
  </conditionalFormatting>
  <conditionalFormatting sqref="I66:K70">
    <cfRule type="cellIs" dxfId="127" priority="48" operator="lessThan">
      <formula>0</formula>
    </cfRule>
  </conditionalFormatting>
  <conditionalFormatting sqref="E72:E76">
    <cfRule type="cellIs" dxfId="126" priority="47" operator="lessThan">
      <formula>0</formula>
    </cfRule>
  </conditionalFormatting>
  <conditionalFormatting sqref="F72:F76">
    <cfRule type="cellIs" dxfId="125" priority="46" operator="lessThan">
      <formula>0</formula>
    </cfRule>
  </conditionalFormatting>
  <conditionalFormatting sqref="G72:G76">
    <cfRule type="cellIs" dxfId="124" priority="45" operator="lessThan">
      <formula>0</formula>
    </cfRule>
  </conditionalFormatting>
  <conditionalFormatting sqref="I72:I76">
    <cfRule type="cellIs" dxfId="123" priority="44" operator="lessThan">
      <formula>0</formula>
    </cfRule>
  </conditionalFormatting>
  <conditionalFormatting sqref="H60:H64">
    <cfRule type="cellIs" dxfId="122" priority="43" operator="lessThan">
      <formula>0</formula>
    </cfRule>
  </conditionalFormatting>
  <conditionalFormatting sqref="F3">
    <cfRule type="cellIs" dxfId="121" priority="28" operator="lessThan">
      <formula>0</formula>
    </cfRule>
  </conditionalFormatting>
  <conditionalFormatting sqref="E3:G7 I3:J7">
    <cfRule type="cellIs" dxfId="120" priority="27" operator="lessThan">
      <formula>0</formula>
    </cfRule>
  </conditionalFormatting>
  <conditionalFormatting sqref="H3:H7">
    <cfRule type="cellIs" dxfId="119" priority="26" operator="lessThan">
      <formula>0</formula>
    </cfRule>
  </conditionalFormatting>
  <conditionalFormatting sqref="E8:I8">
    <cfRule type="cellIs" dxfId="118" priority="25" operator="lessThan">
      <formula>0</formula>
    </cfRule>
  </conditionalFormatting>
  <conditionalFormatting sqref="F10">
    <cfRule type="cellIs" dxfId="117" priority="24" operator="lessThan">
      <formula>0</formula>
    </cfRule>
  </conditionalFormatting>
  <conditionalFormatting sqref="E10:G14 I10:J14">
    <cfRule type="cellIs" dxfId="116" priority="23" operator="lessThan">
      <formula>0</formula>
    </cfRule>
  </conditionalFormatting>
  <conditionalFormatting sqref="H10:H14">
    <cfRule type="cellIs" dxfId="115" priority="22" operator="lessThan">
      <formula>0</formula>
    </cfRule>
  </conditionalFormatting>
  <conditionalFormatting sqref="E15:I15">
    <cfRule type="cellIs" dxfId="114" priority="21" operator="lessThan">
      <formula>0</formula>
    </cfRule>
  </conditionalFormatting>
  <conditionalFormatting sqref="F24">
    <cfRule type="cellIs" dxfId="113" priority="20" operator="lessThan">
      <formula>0</formula>
    </cfRule>
  </conditionalFormatting>
  <conditionalFormatting sqref="E24:G28 I24:J28">
    <cfRule type="cellIs" dxfId="112" priority="19" operator="lessThan">
      <formula>0</formula>
    </cfRule>
  </conditionalFormatting>
  <conditionalFormatting sqref="H24:H28">
    <cfRule type="cellIs" dxfId="111" priority="18" operator="lessThan">
      <formula>0</formula>
    </cfRule>
  </conditionalFormatting>
  <conditionalFormatting sqref="E29:I29">
    <cfRule type="cellIs" dxfId="110" priority="17" operator="lessThan">
      <formula>0</formula>
    </cfRule>
  </conditionalFormatting>
  <conditionalFormatting sqref="F45">
    <cfRule type="cellIs" dxfId="109" priority="16" operator="lessThan">
      <formula>0</formula>
    </cfRule>
  </conditionalFormatting>
  <conditionalFormatting sqref="E45:G49 I45:J49">
    <cfRule type="cellIs" dxfId="108" priority="15" operator="lessThan">
      <formula>0</formula>
    </cfRule>
  </conditionalFormatting>
  <conditionalFormatting sqref="H45:H49">
    <cfRule type="cellIs" dxfId="107" priority="14" operator="lessThan">
      <formula>0</formula>
    </cfRule>
  </conditionalFormatting>
  <conditionalFormatting sqref="E50:I50">
    <cfRule type="cellIs" dxfId="106" priority="13" operator="lessThan">
      <formula>0</formula>
    </cfRule>
  </conditionalFormatting>
  <conditionalFormatting sqref="E17:J21">
    <cfRule type="cellIs" dxfId="105" priority="12" operator="lessThan">
      <formula>0</formula>
    </cfRule>
  </conditionalFormatting>
  <conditionalFormatting sqref="E22:I22">
    <cfRule type="cellIs" dxfId="104" priority="11" operator="lessThan">
      <formula>0</formula>
    </cfRule>
  </conditionalFormatting>
  <conditionalFormatting sqref="F31">
    <cfRule type="cellIs" dxfId="103" priority="10" operator="lessThan">
      <formula>0</formula>
    </cfRule>
  </conditionalFormatting>
  <conditionalFormatting sqref="E31:G35 I31:J35">
    <cfRule type="cellIs" dxfId="102" priority="9" operator="lessThan">
      <formula>0</formula>
    </cfRule>
  </conditionalFormatting>
  <conditionalFormatting sqref="H31:H35">
    <cfRule type="cellIs" dxfId="101" priority="8" operator="lessThan">
      <formula>0</formula>
    </cfRule>
  </conditionalFormatting>
  <conditionalFormatting sqref="E36:I36">
    <cfRule type="cellIs" dxfId="100" priority="7" operator="lessThan">
      <formula>0</formula>
    </cfRule>
  </conditionalFormatting>
  <conditionalFormatting sqref="F38">
    <cfRule type="cellIs" dxfId="99" priority="6" operator="lessThan">
      <formula>0</formula>
    </cfRule>
  </conditionalFormatting>
  <conditionalFormatting sqref="E38:G38 I38:J42 E40:G40 F39:G39 E42:G42 F41:G41">
    <cfRule type="cellIs" dxfId="98" priority="5" operator="lessThan">
      <formula>0</formula>
    </cfRule>
  </conditionalFormatting>
  <conditionalFormatting sqref="H38:H42">
    <cfRule type="cellIs" dxfId="97" priority="4" operator="lessThan">
      <formula>0</formula>
    </cfRule>
  </conditionalFormatting>
  <conditionalFormatting sqref="E43:I43">
    <cfRule type="cellIs" dxfId="96" priority="3" operator="lessThan">
      <formula>0</formula>
    </cfRule>
  </conditionalFormatting>
  <conditionalFormatting sqref="E39">
    <cfRule type="cellIs" dxfId="95" priority="2" operator="lessThan">
      <formula>0</formula>
    </cfRule>
  </conditionalFormatting>
  <conditionalFormatting sqref="E41">
    <cfRule type="cellIs" dxfId="94" priority="1" operator="lessThan">
      <formula>0</formula>
    </cfRule>
  </conditionalFormatting>
  <pageMargins left="0.25" right="0.25" top="0.75" bottom="0.75" header="0.3" footer="0.3"/>
  <pageSetup scale="2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EC177-F38A-4730-8522-23E6A12DD21F}">
  <sheetPr>
    <pageSetUpPr fitToPage="1"/>
  </sheetPr>
  <dimension ref="A1:O90"/>
  <sheetViews>
    <sheetView workbookViewId="0">
      <selection sqref="A1:O84"/>
    </sheetView>
  </sheetViews>
  <sheetFormatPr defaultRowHeight="14.5" x14ac:dyDescent="0.35"/>
  <cols>
    <col min="1" max="1" width="4" style="1" customWidth="1"/>
    <col min="2" max="2" width="14.81640625" style="3" customWidth="1"/>
    <col min="3" max="3" width="60.36328125" customWidth="1"/>
    <col min="4" max="4" width="10.26953125" style="2" customWidth="1"/>
    <col min="5" max="5" width="10.36328125" style="7" customWidth="1"/>
    <col min="6" max="7" width="10.36328125" style="3" customWidth="1"/>
    <col min="8" max="10" width="10.36328125" style="10" customWidth="1"/>
    <col min="11" max="11" width="13.81640625" style="12" customWidth="1"/>
    <col min="12" max="14" width="13.81640625" customWidth="1"/>
    <col min="15" max="15" width="13.81640625" style="13" customWidth="1"/>
    <col min="16" max="16" width="14.90625" customWidth="1"/>
  </cols>
  <sheetData>
    <row r="1" spans="1:15" ht="19" thickBot="1" x14ac:dyDescent="0.4">
      <c r="A1" s="209" t="s">
        <v>280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</row>
    <row r="2" spans="1:15" ht="58" customHeight="1" thickBot="1" x14ac:dyDescent="0.4">
      <c r="A2" s="39" t="s">
        <v>7</v>
      </c>
      <c r="B2" s="210" t="s">
        <v>48</v>
      </c>
      <c r="C2" s="211"/>
      <c r="D2" s="40" t="s">
        <v>5</v>
      </c>
      <c r="E2" s="39" t="s">
        <v>6</v>
      </c>
      <c r="F2" s="41" t="s">
        <v>37</v>
      </c>
      <c r="G2" s="41" t="s">
        <v>38</v>
      </c>
      <c r="H2" s="42" t="s">
        <v>43</v>
      </c>
      <c r="I2" s="43" t="s">
        <v>41</v>
      </c>
      <c r="J2" s="43" t="s">
        <v>40</v>
      </c>
      <c r="K2" s="212" t="s">
        <v>42</v>
      </c>
      <c r="L2" s="213"/>
      <c r="M2" s="213"/>
      <c r="N2" s="213"/>
      <c r="O2" s="214"/>
    </row>
    <row r="3" spans="1:15" ht="15" hidden="1" thickBot="1" x14ac:dyDescent="0.4">
      <c r="A3" s="206" t="s">
        <v>92</v>
      </c>
      <c r="B3" s="6" t="s">
        <v>0</v>
      </c>
      <c r="C3" s="5" t="s">
        <v>91</v>
      </c>
      <c r="D3" s="14" t="s">
        <v>4</v>
      </c>
      <c r="E3" s="34">
        <v>-0.183743773216406</v>
      </c>
      <c r="F3" s="34">
        <v>5.6315820568995999E-2</v>
      </c>
      <c r="G3" s="35">
        <v>-1.1858839838747E-2</v>
      </c>
      <c r="H3" s="36">
        <f>0.101629192867562*100</f>
        <v>10.1629192867562</v>
      </c>
      <c r="I3" s="36">
        <f>-0.0252948527919822*100</f>
        <v>-2.5294852791982203</v>
      </c>
      <c r="J3" s="36">
        <f>I3</f>
        <v>-2.5294852791982203</v>
      </c>
      <c r="K3" s="17"/>
      <c r="L3" s="5"/>
      <c r="M3" s="5"/>
      <c r="N3" s="5"/>
      <c r="O3" s="18"/>
    </row>
    <row r="4" spans="1:15" ht="15" hidden="1" thickBot="1" x14ac:dyDescent="0.4">
      <c r="A4" s="207"/>
      <c r="B4" s="3" t="s">
        <v>2</v>
      </c>
      <c r="C4" s="49" t="s">
        <v>73</v>
      </c>
      <c r="D4" s="15" t="s">
        <v>12</v>
      </c>
      <c r="E4" s="33">
        <v>0.58293380039882903</v>
      </c>
      <c r="F4" s="37">
        <v>3.2315480968553002E-2</v>
      </c>
      <c r="G4" s="37">
        <v>1.8486202241653E-2</v>
      </c>
      <c r="H4" s="38">
        <f>0.0623928091987129*100</f>
        <v>6.2392809198712902</v>
      </c>
      <c r="I4" s="38">
        <f>0.0347520435047181*100</f>
        <v>3.4752043504718095</v>
      </c>
      <c r="J4" s="38">
        <f>J3+I4</f>
        <v>0.94571907127358923</v>
      </c>
    </row>
    <row r="5" spans="1:15" ht="15" hidden="1" thickBot="1" x14ac:dyDescent="0.4">
      <c r="A5" s="207"/>
      <c r="B5" s="3" t="s">
        <v>67</v>
      </c>
      <c r="C5" s="51" t="s">
        <v>66</v>
      </c>
      <c r="D5" s="15" t="s">
        <v>13</v>
      </c>
      <c r="E5" s="33">
        <v>-0.12557260382163901</v>
      </c>
      <c r="F5" s="37">
        <v>9.2990996406563997E-2</v>
      </c>
      <c r="G5" s="37">
        <v>-1.5842136969423E-2</v>
      </c>
      <c r="H5" s="38">
        <f>0.12402104252372*100</f>
        <v>12.402104252372</v>
      </c>
      <c r="I5" s="38">
        <f>-0.0373309267602238*100</f>
        <v>-3.7330926760223799</v>
      </c>
      <c r="J5" s="38">
        <f t="shared" ref="J5:J7" si="0">J4+I5</f>
        <v>-2.7873736047487907</v>
      </c>
    </row>
    <row r="6" spans="1:15" ht="15" hidden="1" thickBot="1" x14ac:dyDescent="0.4">
      <c r="A6" s="207"/>
      <c r="B6" s="198" t="s">
        <v>49</v>
      </c>
      <c r="C6" s="199" t="s">
        <v>111</v>
      </c>
      <c r="D6" s="15" t="s">
        <v>14</v>
      </c>
      <c r="E6" s="22">
        <v>1.2507718263755601</v>
      </c>
      <c r="F6" s="37">
        <v>8.7931690796278994E-2</v>
      </c>
      <c r="G6" s="37">
        <v>0.11193374958336801</v>
      </c>
      <c r="H6" s="38">
        <f>0.101135022984286*100</f>
        <v>10.1135022984286</v>
      </c>
      <c r="I6" s="38">
        <f>0.216921048008893*100</f>
        <v>21.6921048008893</v>
      </c>
      <c r="J6" s="38">
        <f t="shared" si="0"/>
        <v>18.90473119614051</v>
      </c>
    </row>
    <row r="7" spans="1:15" ht="15" hidden="1" thickBot="1" x14ac:dyDescent="0.4">
      <c r="A7" s="207"/>
      <c r="B7" s="198"/>
      <c r="C7" s="199"/>
      <c r="D7" s="16" t="s">
        <v>11</v>
      </c>
      <c r="E7" s="22">
        <v>1.2958767120602299</v>
      </c>
      <c r="F7" s="37">
        <v>0.122159100865405</v>
      </c>
      <c r="G7" s="37">
        <v>0.16272802692962199</v>
      </c>
      <c r="H7" s="38">
        <f>0.151017080689432*100</f>
        <v>15.101708068943202</v>
      </c>
      <c r="I7" s="45">
        <f>0.316893404717963*100</f>
        <v>31.689340471796299</v>
      </c>
      <c r="J7" s="45">
        <f t="shared" si="0"/>
        <v>50.594071667936809</v>
      </c>
    </row>
    <row r="8" spans="1:15" ht="15" hidden="1" thickBot="1" x14ac:dyDescent="0.4">
      <c r="A8" s="207"/>
      <c r="B8" s="3" t="s">
        <v>64</v>
      </c>
      <c r="C8" t="s">
        <v>65</v>
      </c>
      <c r="D8" s="52" t="s">
        <v>54</v>
      </c>
      <c r="E8" s="4">
        <f>AVERAGE(E3:E7)</f>
        <v>0.56405319235931484</v>
      </c>
      <c r="F8" s="4">
        <f>AVERAGE(F3:F7)</f>
        <v>7.8342617921159402E-2</v>
      </c>
      <c r="G8" s="4">
        <f>AVERAGE(G3:G7)</f>
        <v>5.3089400389294591E-2</v>
      </c>
      <c r="H8" s="4">
        <f>AVERAGE(H3:H7)</f>
        <v>10.803902965274258</v>
      </c>
      <c r="I8" s="4">
        <f>AVERAGE(I3:I7)</f>
        <v>10.118814333587363</v>
      </c>
      <c r="J8" s="64"/>
      <c r="K8"/>
    </row>
    <row r="9" spans="1:15" ht="15" hidden="1" thickBot="1" x14ac:dyDescent="0.4">
      <c r="A9" s="208"/>
      <c r="B9" s="8" t="s">
        <v>8</v>
      </c>
      <c r="C9" s="53" t="s">
        <v>72</v>
      </c>
      <c r="D9" s="200" t="s">
        <v>98</v>
      </c>
      <c r="E9" s="201"/>
      <c r="F9" s="201"/>
      <c r="G9" s="201"/>
      <c r="H9" s="201"/>
      <c r="I9" s="202"/>
      <c r="J9" s="63">
        <f>((AVERAGE(E3:E7))/STDEVP(E3:E7))</f>
        <v>0.8825645930337106</v>
      </c>
      <c r="K9" s="20"/>
      <c r="L9" s="20"/>
      <c r="M9" s="20"/>
      <c r="N9" s="20"/>
      <c r="O9" s="21"/>
    </row>
    <row r="10" spans="1:15" ht="15" hidden="1" thickBot="1" x14ac:dyDescent="0.4">
      <c r="A10" s="206" t="s">
        <v>100</v>
      </c>
      <c r="B10" s="6" t="s">
        <v>0</v>
      </c>
      <c r="C10" s="5" t="s">
        <v>101</v>
      </c>
      <c r="D10" s="14" t="s">
        <v>4</v>
      </c>
      <c r="E10" s="46">
        <v>1.08016821041124</v>
      </c>
      <c r="F10" s="46">
        <v>0.13447568151898301</v>
      </c>
      <c r="G10" s="35">
        <v>0.14598066851009001</v>
      </c>
      <c r="H10" s="36">
        <f>0.0898741516800382*100</f>
        <v>8.987415168003821</v>
      </c>
      <c r="I10" s="36">
        <f>0.13607633236466*100</f>
        <v>13.607633236465999</v>
      </c>
      <c r="J10" s="36">
        <f>I10</f>
        <v>13.607633236465999</v>
      </c>
      <c r="K10" s="17"/>
      <c r="L10" s="5"/>
      <c r="M10" s="5"/>
      <c r="N10" s="5"/>
      <c r="O10" s="18"/>
    </row>
    <row r="11" spans="1:15" ht="15" hidden="1" thickBot="1" x14ac:dyDescent="0.4">
      <c r="A11" s="207"/>
      <c r="B11" s="3" t="s">
        <v>2</v>
      </c>
      <c r="C11" s="49" t="s">
        <v>73</v>
      </c>
      <c r="D11" s="15" t="s">
        <v>12</v>
      </c>
      <c r="E11" s="33">
        <v>1.1860493119302</v>
      </c>
      <c r="F11" s="37">
        <v>4.2993163361283997E-2</v>
      </c>
      <c r="G11" s="37">
        <v>5.1340787020678E-2</v>
      </c>
      <c r="H11" s="38">
        <f>0.0195466980662462*100</f>
        <v>1.95466980662462</v>
      </c>
      <c r="I11" s="38">
        <f>0.0478364340047154*100</f>
        <v>4.78364340047154</v>
      </c>
      <c r="J11" s="38">
        <f>J10+I11</f>
        <v>18.39127663693754</v>
      </c>
    </row>
    <row r="12" spans="1:15" ht="15" hidden="1" thickBot="1" x14ac:dyDescent="0.4">
      <c r="A12" s="207"/>
      <c r="B12" s="3" t="s">
        <v>67</v>
      </c>
      <c r="C12" s="51" t="s">
        <v>66</v>
      </c>
      <c r="D12" s="15" t="s">
        <v>13</v>
      </c>
      <c r="E12" s="33">
        <v>-0.65115512740932302</v>
      </c>
      <c r="F12" s="37">
        <v>0.170838130722964</v>
      </c>
      <c r="G12" s="37">
        <v>-0.118267902358135</v>
      </c>
      <c r="H12" s="38">
        <f>0.213841274965724*100</f>
        <v>21.3841274965724</v>
      </c>
      <c r="I12" s="38">
        <f>-0.109878110030031*100</f>
        <v>-10.987811003003101</v>
      </c>
      <c r="J12" s="38">
        <f t="shared" ref="J12:J14" si="1">J11+I12</f>
        <v>7.4034656339344398</v>
      </c>
    </row>
    <row r="13" spans="1:15" ht="15" hidden="1" thickBot="1" x14ac:dyDescent="0.4">
      <c r="A13" s="207"/>
      <c r="B13" s="198" t="s">
        <v>49</v>
      </c>
      <c r="C13" s="199" t="s">
        <v>111</v>
      </c>
      <c r="D13" s="15" t="s">
        <v>14</v>
      </c>
      <c r="E13" s="33">
        <v>1.4006217953380899</v>
      </c>
      <c r="F13" s="37">
        <v>0.12613054971533999</v>
      </c>
      <c r="G13" s="37">
        <v>0.183725339341271</v>
      </c>
      <c r="H13" s="38">
        <f>0.0831125645346547*100</f>
        <v>8.3112564534654698</v>
      </c>
      <c r="I13" s="38">
        <f>0.17084728087487*100</f>
        <v>17.084728087487001</v>
      </c>
      <c r="J13" s="38">
        <f t="shared" si="1"/>
        <v>24.488193721421439</v>
      </c>
    </row>
    <row r="14" spans="1:15" ht="15" hidden="1" thickBot="1" x14ac:dyDescent="0.4">
      <c r="A14" s="207"/>
      <c r="B14" s="198"/>
      <c r="C14" s="199"/>
      <c r="D14" s="16" t="s">
        <v>11</v>
      </c>
      <c r="E14" s="33">
        <v>0.53267281339680095</v>
      </c>
      <c r="F14" s="37">
        <v>0.33015996602439002</v>
      </c>
      <c r="G14" s="37">
        <v>0.12885986900413501</v>
      </c>
      <c r="H14" s="65">
        <f>0.291193956660585*100</f>
        <v>29.119395666058502</v>
      </c>
      <c r="I14" s="38">
        <f>0.123519570010148*100</f>
        <v>12.351957001014799</v>
      </c>
      <c r="J14" s="45">
        <f t="shared" si="1"/>
        <v>36.840150722436235</v>
      </c>
    </row>
    <row r="15" spans="1:15" ht="15" hidden="1" thickBot="1" x14ac:dyDescent="0.4">
      <c r="A15" s="207"/>
      <c r="B15" s="3" t="s">
        <v>64</v>
      </c>
      <c r="C15" t="s">
        <v>65</v>
      </c>
      <c r="D15" s="52" t="s">
        <v>54</v>
      </c>
      <c r="E15" s="67">
        <f>AVERAGE(E10:E14)</f>
        <v>0.70967140073340151</v>
      </c>
      <c r="F15" s="4">
        <f>AVERAGE(F10:F14)</f>
        <v>0.1609194982685922</v>
      </c>
      <c r="G15" s="4">
        <f>AVERAGE(G10:G14)</f>
        <v>7.8327752303607806E-2</v>
      </c>
      <c r="H15" s="4">
        <f>AVERAGE(H10:H14)</f>
        <v>13.95137291814496</v>
      </c>
      <c r="I15" s="4">
        <f>AVERAGE(I10:I14)</f>
        <v>7.3680301444872471</v>
      </c>
      <c r="J15" s="64"/>
      <c r="K15"/>
    </row>
    <row r="16" spans="1:15" ht="15" hidden="1" thickBot="1" x14ac:dyDescent="0.4">
      <c r="A16" s="208"/>
      <c r="B16" s="8" t="s">
        <v>8</v>
      </c>
      <c r="C16" s="48" t="s">
        <v>103</v>
      </c>
      <c r="D16" s="200" t="s">
        <v>107</v>
      </c>
      <c r="E16" s="201"/>
      <c r="F16" s="201"/>
      <c r="G16" s="201"/>
      <c r="H16" s="201"/>
      <c r="I16" s="202"/>
      <c r="J16" s="63">
        <f>((AVERAGE(E10:E14))/STDEVP(E10:E14))</f>
        <v>0.96133665446918326</v>
      </c>
      <c r="K16" s="20"/>
      <c r="L16" s="20"/>
      <c r="M16" s="20"/>
      <c r="N16" s="20"/>
      <c r="O16" s="21"/>
    </row>
    <row r="17" spans="1:15" x14ac:dyDescent="0.35">
      <c r="A17" s="221" t="s">
        <v>116</v>
      </c>
      <c r="B17" s="6" t="s">
        <v>0</v>
      </c>
      <c r="C17" s="5" t="s">
        <v>115</v>
      </c>
      <c r="D17" s="14" t="s">
        <v>4</v>
      </c>
      <c r="E17" s="34">
        <v>0.61566824809832899</v>
      </c>
      <c r="F17" s="35">
        <v>7.5316369639063005E-2</v>
      </c>
      <c r="G17" s="35">
        <v>4.4521881337645001E-2</v>
      </c>
      <c r="H17" s="36">
        <f>0.0835713725930654*100</f>
        <v>8.3571372593065387</v>
      </c>
      <c r="I17" s="36">
        <f>0.0736041363710569*100</f>
        <v>7.3604136371056894</v>
      </c>
      <c r="J17" s="36">
        <f>I17</f>
        <v>7.3604136371056894</v>
      </c>
      <c r="K17" s="17"/>
      <c r="L17" s="5"/>
      <c r="M17" s="5"/>
      <c r="N17" s="5"/>
      <c r="O17" s="18"/>
    </row>
    <row r="18" spans="1:15" x14ac:dyDescent="0.35">
      <c r="A18" s="222"/>
      <c r="B18" s="3" t="s">
        <v>2</v>
      </c>
      <c r="C18" s="49" t="s">
        <v>73</v>
      </c>
      <c r="D18" s="15" t="s">
        <v>12</v>
      </c>
      <c r="E18" s="55">
        <v>2.7085949090116199</v>
      </c>
      <c r="F18" s="37">
        <v>3.3215707955426998E-2</v>
      </c>
      <c r="G18" s="37">
        <v>9.3520381342915002E-2</v>
      </c>
      <c r="H18" s="38">
        <f>0.033386541624485*100</f>
        <v>3.3386541624484996</v>
      </c>
      <c r="I18" s="38">
        <f>0.164132188693522*100</f>
        <v>16.4132188693522</v>
      </c>
      <c r="J18" s="38">
        <f>J17+I18</f>
        <v>23.77363250645789</v>
      </c>
    </row>
    <row r="19" spans="1:15" x14ac:dyDescent="0.35">
      <c r="A19" s="222"/>
      <c r="B19" s="3" t="s">
        <v>67</v>
      </c>
      <c r="C19" s="51" t="s">
        <v>66</v>
      </c>
      <c r="D19" s="15" t="s">
        <v>13</v>
      </c>
      <c r="E19" s="33">
        <v>0.96898750674854806</v>
      </c>
      <c r="F19" s="37">
        <v>9.3935265451814007E-2</v>
      </c>
      <c r="G19" s="37">
        <v>9.0486409797346998E-2</v>
      </c>
      <c r="H19" s="38">
        <f>0.120762831340867*100</f>
        <v>12.076283134086701</v>
      </c>
      <c r="I19" s="38">
        <f>0.153298192348501*100</f>
        <v>15.329819234850101</v>
      </c>
      <c r="J19" s="38">
        <f t="shared" ref="J19:J21" si="2">J18+I19</f>
        <v>39.103451741307993</v>
      </c>
    </row>
    <row r="20" spans="1:15" x14ac:dyDescent="0.35">
      <c r="A20" s="222"/>
      <c r="B20" s="198" t="s">
        <v>49</v>
      </c>
      <c r="C20" s="199" t="s">
        <v>111</v>
      </c>
      <c r="D20" s="15" t="s">
        <v>14</v>
      </c>
      <c r="E20" s="55">
        <v>1.76131071896911</v>
      </c>
      <c r="F20" s="37">
        <v>7.0046175990468001E-2</v>
      </c>
      <c r="G20" s="37">
        <v>0.12852532044357501</v>
      </c>
      <c r="H20" s="38">
        <f>0.0685931165698085*100</f>
        <v>6.8593116569808501</v>
      </c>
      <c r="I20" s="38">
        <f>0.2257040657066*100</f>
        <v>22.570406570660001</v>
      </c>
      <c r="J20" s="38">
        <f t="shared" si="2"/>
        <v>61.67385831196799</v>
      </c>
    </row>
    <row r="21" spans="1:15" ht="15" thickBot="1" x14ac:dyDescent="0.4">
      <c r="A21" s="222"/>
      <c r="B21" s="198"/>
      <c r="C21" s="199"/>
      <c r="D21" s="16" t="s">
        <v>11</v>
      </c>
      <c r="E21" s="33">
        <v>0.50360631081482798</v>
      </c>
      <c r="F21" s="37">
        <v>0.16670934278777799</v>
      </c>
      <c r="G21" s="37">
        <v>7.2504098139415996E-2</v>
      </c>
      <c r="H21" s="38">
        <f>0.219023396715916*100</f>
        <v>21.902339671591601</v>
      </c>
      <c r="I21" s="38">
        <f>0.107854220912377*100</f>
        <v>10.785422091237699</v>
      </c>
      <c r="J21" s="50">
        <f t="shared" si="2"/>
        <v>72.459280403205696</v>
      </c>
    </row>
    <row r="22" spans="1:15" ht="15" thickBot="1" x14ac:dyDescent="0.4">
      <c r="A22" s="222"/>
      <c r="B22" s="3" t="s">
        <v>64</v>
      </c>
      <c r="C22" s="66" t="s">
        <v>117</v>
      </c>
      <c r="D22" s="52" t="s">
        <v>54</v>
      </c>
      <c r="E22" s="54">
        <f>AVERAGE(E17:E21)</f>
        <v>1.3116335387284868</v>
      </c>
      <c r="F22" s="4">
        <f>AVERAGE(F17:F21)</f>
        <v>8.7844572364910001E-2</v>
      </c>
      <c r="G22" s="4">
        <f>AVERAGE(G17:G21)</f>
        <v>8.5911618212179602E-2</v>
      </c>
      <c r="H22" s="54">
        <f>AVERAGE(H17:H21)</f>
        <v>10.506745176882839</v>
      </c>
      <c r="I22" s="54">
        <f>AVERAGE(I17:I21)</f>
        <v>14.491856080641139</v>
      </c>
      <c r="J22" s="64"/>
      <c r="K22"/>
    </row>
    <row r="23" spans="1:15" ht="15" thickBot="1" x14ac:dyDescent="0.4">
      <c r="A23" s="223"/>
      <c r="B23" s="3" t="s">
        <v>8</v>
      </c>
      <c r="C23" s="53" t="s">
        <v>71</v>
      </c>
      <c r="D23" s="200" t="s">
        <v>98</v>
      </c>
      <c r="E23" s="201"/>
      <c r="F23" s="201"/>
      <c r="G23" s="201"/>
      <c r="H23" s="201"/>
      <c r="I23" s="202"/>
      <c r="J23" s="68">
        <f>((AVERAGE(E17:E21))/STDEVP(E17:E21))</f>
        <v>1.588629806687035</v>
      </c>
      <c r="K23" s="20"/>
      <c r="L23" s="20"/>
      <c r="M23" s="20"/>
      <c r="N23" s="20"/>
      <c r="O23" s="21"/>
    </row>
    <row r="24" spans="1:15" x14ac:dyDescent="0.35">
      <c r="A24" s="203" t="s">
        <v>112</v>
      </c>
      <c r="B24" s="6" t="s">
        <v>0</v>
      </c>
      <c r="C24" s="5" t="s">
        <v>174</v>
      </c>
      <c r="D24" s="14" t="s">
        <v>4</v>
      </c>
      <c r="E24" s="34">
        <v>-0.13067446453033299</v>
      </c>
      <c r="F24" s="34">
        <v>5.3458002210487E-2</v>
      </c>
      <c r="G24" s="35">
        <v>-8.3719915992039994E-3</v>
      </c>
      <c r="H24" s="36">
        <f>0.107217118099844*100</f>
        <v>10.721711809984399</v>
      </c>
      <c r="I24" s="36">
        <f>-0.0141774830080173*100</f>
        <v>-1.41774830080173</v>
      </c>
      <c r="J24" s="36">
        <f>I24</f>
        <v>-1.41774830080173</v>
      </c>
      <c r="K24" s="17"/>
      <c r="L24" s="5"/>
      <c r="M24" s="5"/>
      <c r="N24" s="5"/>
      <c r="O24" s="18"/>
    </row>
    <row r="25" spans="1:15" x14ac:dyDescent="0.35">
      <c r="A25" s="204"/>
      <c r="B25" s="3" t="s">
        <v>2</v>
      </c>
      <c r="C25" s="49" t="s">
        <v>73</v>
      </c>
      <c r="D25" s="15" t="s">
        <v>12</v>
      </c>
      <c r="E25" s="55">
        <v>2.2655544603747599</v>
      </c>
      <c r="F25" s="37">
        <v>3.5572456942423003E-2</v>
      </c>
      <c r="G25" s="37">
        <v>8.3231673245686005E-2</v>
      </c>
      <c r="H25" s="38">
        <f>0.0171915431876838*100</f>
        <v>1.71915431876838</v>
      </c>
      <c r="I25" s="38">
        <f>0.131603519786206*100</f>
        <v>13.1603519786206</v>
      </c>
      <c r="J25" s="38">
        <f>J24+I25</f>
        <v>11.74260367781887</v>
      </c>
    </row>
    <row r="26" spans="1:15" x14ac:dyDescent="0.35">
      <c r="A26" s="204"/>
      <c r="B26" s="3" t="s">
        <v>67</v>
      </c>
      <c r="C26" s="51" t="s">
        <v>66</v>
      </c>
      <c r="D26" s="15" t="s">
        <v>13</v>
      </c>
      <c r="E26" s="33">
        <v>0.78741231079408103</v>
      </c>
      <c r="F26" s="37">
        <v>6.1277217950085998E-2</v>
      </c>
      <c r="G26" s="37">
        <v>4.7473775992270997E-2</v>
      </c>
      <c r="H26" s="38">
        <f>0.0643889247193364*100</f>
        <v>6.4388924719336398</v>
      </c>
      <c r="I26" s="38">
        <f>0.0729870528824876*100</f>
        <v>7.2987052882487591</v>
      </c>
      <c r="J26" s="38">
        <f t="shared" ref="J26:J28" si="3">J25+I26</f>
        <v>19.041308966067628</v>
      </c>
    </row>
    <row r="27" spans="1:15" x14ac:dyDescent="0.35">
      <c r="A27" s="204"/>
      <c r="B27" s="198" t="s">
        <v>49</v>
      </c>
      <c r="C27" s="199" t="s">
        <v>111</v>
      </c>
      <c r="D27" s="15" t="s">
        <v>14</v>
      </c>
      <c r="E27" s="55">
        <v>1.0549643193196101</v>
      </c>
      <c r="F27" s="37">
        <v>7.6328696618534003E-2</v>
      </c>
      <c r="G27" s="37">
        <v>8.0690596025006001E-2</v>
      </c>
      <c r="H27" s="38">
        <f>0.12881050086818*100</f>
        <v>12.881050086818</v>
      </c>
      <c r="I27" s="38">
        <f>0.125258512595395*100</f>
        <v>12.5258512595395</v>
      </c>
      <c r="J27" s="38">
        <f t="shared" si="3"/>
        <v>31.567160225607129</v>
      </c>
    </row>
    <row r="28" spans="1:15" ht="15" thickBot="1" x14ac:dyDescent="0.4">
      <c r="A28" s="204"/>
      <c r="B28" s="198"/>
      <c r="C28" s="199"/>
      <c r="D28" s="16" t="s">
        <v>11</v>
      </c>
      <c r="E28" s="22">
        <v>0.77823332726153105</v>
      </c>
      <c r="F28" s="37">
        <v>0.25619698004076602</v>
      </c>
      <c r="G28" s="37">
        <v>0.18140443181937499</v>
      </c>
      <c r="H28" s="38">
        <f>0.322959886266965*100</f>
        <v>32.295988626696499</v>
      </c>
      <c r="I28" s="45">
        <f>0.259656177991322*100</f>
        <v>25.9656177991322</v>
      </c>
      <c r="J28" s="50">
        <f t="shared" si="3"/>
        <v>57.532778024739329</v>
      </c>
    </row>
    <row r="29" spans="1:15" ht="15" thickBot="1" x14ac:dyDescent="0.4">
      <c r="A29" s="204"/>
      <c r="B29" s="3" t="s">
        <v>64</v>
      </c>
      <c r="C29" t="s">
        <v>118</v>
      </c>
      <c r="D29" s="52" t="s">
        <v>54</v>
      </c>
      <c r="E29" s="4">
        <f>AVERAGE(E24:E28)</f>
        <v>0.95109799064392975</v>
      </c>
      <c r="F29" s="4">
        <f>AVERAGE(F24:F28)</f>
        <v>9.6566670752459199E-2</v>
      </c>
      <c r="G29" s="4">
        <f>AVERAGE(G24:G28)</f>
        <v>7.6885697096626807E-2</v>
      </c>
      <c r="H29" s="4">
        <f>AVERAGE(H24:H28)</f>
        <v>12.811359462840183</v>
      </c>
      <c r="I29" s="4">
        <f>AVERAGE(I24:I28)</f>
        <v>11.506555604947867</v>
      </c>
      <c r="J29" s="64"/>
      <c r="K29"/>
    </row>
    <row r="30" spans="1:15" ht="15" thickBot="1" x14ac:dyDescent="0.4">
      <c r="A30" s="205"/>
      <c r="B30" s="8" t="s">
        <v>8</v>
      </c>
      <c r="C30" s="53" t="s">
        <v>72</v>
      </c>
      <c r="D30" s="200" t="s">
        <v>98</v>
      </c>
      <c r="E30" s="201"/>
      <c r="F30" s="201"/>
      <c r="G30" s="201"/>
      <c r="H30" s="201"/>
      <c r="I30" s="202"/>
      <c r="J30" s="63">
        <f>((AVERAGE(E24:E28))/STDEVP(E24:E28))</f>
        <v>1.2349858201846147</v>
      </c>
      <c r="K30" s="20"/>
      <c r="L30" s="20"/>
      <c r="M30" s="20"/>
      <c r="N30" s="20"/>
      <c r="O30" s="21"/>
    </row>
    <row r="31" spans="1:15" x14ac:dyDescent="0.35">
      <c r="A31" s="203" t="s">
        <v>113</v>
      </c>
      <c r="B31" s="6" t="s">
        <v>0</v>
      </c>
      <c r="C31" s="5" t="s">
        <v>175</v>
      </c>
      <c r="D31" s="14" t="s">
        <v>4</v>
      </c>
      <c r="E31" s="46">
        <v>0.89791770915445801</v>
      </c>
      <c r="F31" s="46">
        <v>0.135082044667068</v>
      </c>
      <c r="G31" s="35">
        <v>0.11878279737095999</v>
      </c>
      <c r="H31" s="36">
        <f>0.0585690663474003*100</f>
        <v>5.8569066347400298</v>
      </c>
      <c r="I31" s="36">
        <f>0.110915645405946*100</f>
        <v>11.0915645405946</v>
      </c>
      <c r="J31" s="36">
        <f>I31</f>
        <v>11.0915645405946</v>
      </c>
      <c r="K31" s="17"/>
      <c r="L31" s="5"/>
      <c r="M31" s="5"/>
      <c r="N31" s="5"/>
      <c r="O31" s="18"/>
    </row>
    <row r="32" spans="1:15" x14ac:dyDescent="0.35">
      <c r="A32" s="204"/>
      <c r="B32" s="3" t="s">
        <v>2</v>
      </c>
      <c r="C32" s="49" t="s">
        <v>73</v>
      </c>
      <c r="D32" s="15" t="s">
        <v>12</v>
      </c>
      <c r="E32" s="33">
        <v>1.3894199800723399</v>
      </c>
      <c r="F32" s="37">
        <v>6.1422247374350002E-2</v>
      </c>
      <c r="G32" s="37">
        <v>8.7029370863035999E-2</v>
      </c>
      <c r="H32" s="38">
        <f>0.0343296347638868*100</f>
        <v>3.43296347638868</v>
      </c>
      <c r="I32" s="38">
        <f>0.0810130323640527*100</f>
        <v>8.1013032364052702</v>
      </c>
      <c r="J32" s="38">
        <f>J31+I32</f>
        <v>19.192867776999869</v>
      </c>
    </row>
    <row r="33" spans="1:15" x14ac:dyDescent="0.35">
      <c r="A33" s="204"/>
      <c r="B33" s="3" t="s">
        <v>67</v>
      </c>
      <c r="C33" s="51" t="s">
        <v>66</v>
      </c>
      <c r="D33" s="15" t="s">
        <v>13</v>
      </c>
      <c r="E33" s="33">
        <v>-0.90023383693468695</v>
      </c>
      <c r="F33" s="37">
        <v>0.17027249122833499</v>
      </c>
      <c r="G33" s="37">
        <v>-0.15450813181893</v>
      </c>
      <c r="H33" s="38">
        <f>0.244420976218013*100</f>
        <v>24.442097621801302</v>
      </c>
      <c r="I33" s="38">
        <f>-0.144019324723944*100</f>
        <v>-14.4019324723944</v>
      </c>
      <c r="J33" s="38">
        <f t="shared" ref="J33:J35" si="4">J32+I33</f>
        <v>4.790935304605469</v>
      </c>
    </row>
    <row r="34" spans="1:15" x14ac:dyDescent="0.35">
      <c r="A34" s="204"/>
      <c r="B34" s="198" t="s">
        <v>49</v>
      </c>
      <c r="C34" s="199" t="s">
        <v>111</v>
      </c>
      <c r="D34" s="15" t="s">
        <v>14</v>
      </c>
      <c r="E34" s="33">
        <v>-1.561795239527E-2</v>
      </c>
      <c r="F34" s="37">
        <v>0.10178465492632199</v>
      </c>
      <c r="G34" s="37">
        <v>-6.7278281774420003E-3</v>
      </c>
      <c r="H34" s="38">
        <f>0.0904932962753264*100</f>
        <v>9.0493296275326394</v>
      </c>
      <c r="I34" s="38">
        <f>-0.00594723661156926*100</f>
        <v>-0.59472366115692599</v>
      </c>
      <c r="J34" s="38">
        <f t="shared" si="4"/>
        <v>4.1962116434485432</v>
      </c>
    </row>
    <row r="35" spans="1:15" ht="15" thickBot="1" x14ac:dyDescent="0.4">
      <c r="A35" s="204"/>
      <c r="B35" s="198"/>
      <c r="C35" s="199"/>
      <c r="D35" s="16" t="s">
        <v>11</v>
      </c>
      <c r="E35" s="33">
        <v>0.44072268789375402</v>
      </c>
      <c r="F35" s="37">
        <v>0.33611141855045001</v>
      </c>
      <c r="G35" s="37">
        <v>9.5780299355988002E-2</v>
      </c>
      <c r="H35" s="38">
        <f>0.333026979319288*100</f>
        <v>33.302697931928797</v>
      </c>
      <c r="I35" s="38">
        <f>0.0929379625743354*100</f>
        <v>9.2937962574335398</v>
      </c>
      <c r="J35" s="45">
        <f t="shared" si="4"/>
        <v>13.490007900882084</v>
      </c>
    </row>
    <row r="36" spans="1:15" ht="15" thickBot="1" x14ac:dyDescent="0.4">
      <c r="A36" s="204"/>
      <c r="B36" s="3" t="s">
        <v>64</v>
      </c>
      <c r="C36" t="s">
        <v>114</v>
      </c>
      <c r="D36" s="52" t="s">
        <v>54</v>
      </c>
      <c r="E36" s="67">
        <f>AVERAGE(E31:E35)</f>
        <v>0.36244171755811899</v>
      </c>
      <c r="F36" s="4">
        <f>AVERAGE(F31:F35)</f>
        <v>0.160934571349305</v>
      </c>
      <c r="G36" s="4">
        <f>AVERAGE(G31:G35)</f>
        <v>2.8071301518722402E-2</v>
      </c>
      <c r="H36" s="4">
        <f>AVERAGE(H31:H35)</f>
        <v>15.216799058478291</v>
      </c>
      <c r="I36" s="4">
        <f>AVERAGE(I31:I35)</f>
        <v>2.6980015801764168</v>
      </c>
      <c r="J36" s="64"/>
      <c r="K36"/>
    </row>
    <row r="37" spans="1:15" ht="15" thickBot="1" x14ac:dyDescent="0.4">
      <c r="A37" s="205"/>
      <c r="B37" s="8" t="s">
        <v>8</v>
      </c>
      <c r="C37" s="48" t="s">
        <v>103</v>
      </c>
      <c r="D37" s="200" t="s">
        <v>107</v>
      </c>
      <c r="E37" s="201"/>
      <c r="F37" s="201"/>
      <c r="G37" s="201"/>
      <c r="H37" s="201"/>
      <c r="I37" s="202"/>
      <c r="J37" s="63">
        <f>((AVERAGE(E31:E35))/STDEVP(E31:E35))</f>
        <v>0.4614321845871216</v>
      </c>
      <c r="K37" s="20"/>
      <c r="L37" s="20"/>
      <c r="M37" s="20"/>
      <c r="N37" s="20"/>
      <c r="O37" s="21"/>
    </row>
    <row r="38" spans="1:15" ht="15" hidden="1" thickBot="1" x14ac:dyDescent="0.4">
      <c r="A38" s="203" t="s">
        <v>119</v>
      </c>
      <c r="B38" s="6" t="s">
        <v>0</v>
      </c>
      <c r="C38" s="5" t="s">
        <v>91</v>
      </c>
      <c r="D38" s="14" t="s">
        <v>4</v>
      </c>
      <c r="E38" s="34">
        <v>0.48348162392675798</v>
      </c>
      <c r="F38" s="34">
        <v>9.0734996255812994E-2</v>
      </c>
      <c r="G38" s="35">
        <v>4.0601829714778E-2</v>
      </c>
      <c r="H38" s="36">
        <f>0.110385571762166*100</f>
        <v>11.038557176216599</v>
      </c>
      <c r="I38" s="36">
        <f>0.054442915385656*100</f>
        <v>5.4442915385655999</v>
      </c>
      <c r="J38" s="36">
        <f>I38</f>
        <v>5.4442915385655999</v>
      </c>
      <c r="K38" s="17"/>
      <c r="L38" s="5"/>
      <c r="M38" s="5"/>
      <c r="N38" s="5"/>
      <c r="O38" s="18"/>
    </row>
    <row r="39" spans="1:15" ht="15" hidden="1" thickBot="1" x14ac:dyDescent="0.4">
      <c r="A39" s="204"/>
      <c r="B39" s="3" t="s">
        <v>2</v>
      </c>
      <c r="C39" s="49" t="s">
        <v>73</v>
      </c>
      <c r="D39" s="15" t="s">
        <v>12</v>
      </c>
      <c r="E39" s="69">
        <v>1.6781940279735199</v>
      </c>
      <c r="F39" s="37">
        <v>3.2013743089073003E-2</v>
      </c>
      <c r="G39" s="37">
        <v>5.4651345863838997E-2</v>
      </c>
      <c r="H39" s="38">
        <f>0.0231123553550552*100</f>
        <v>2.3112355355055203</v>
      </c>
      <c r="I39" s="38">
        <f>0.0762473841419575*100</f>
        <v>7.6247384141957504</v>
      </c>
      <c r="J39" s="38">
        <f>J38+I39</f>
        <v>13.069029952761351</v>
      </c>
    </row>
    <row r="40" spans="1:15" ht="15" hidden="1" thickBot="1" x14ac:dyDescent="0.4">
      <c r="A40" s="204"/>
      <c r="B40" s="3" t="s">
        <v>67</v>
      </c>
      <c r="C40" s="51" t="s">
        <v>66</v>
      </c>
      <c r="D40" s="15" t="s">
        <v>13</v>
      </c>
      <c r="E40" s="33">
        <v>-0.63204827609505998</v>
      </c>
      <c r="F40" s="37">
        <v>5.6077204764687E-2</v>
      </c>
      <c r="G40" s="37">
        <v>-3.6342863728383003E-2</v>
      </c>
      <c r="H40" s="38">
        <f>0.101456912111371*100</f>
        <v>10.1456912111371</v>
      </c>
      <c r="I40" s="38">
        <f>-0.0508254918395461*100</f>
        <v>-5.08254918395461</v>
      </c>
      <c r="J40" s="38">
        <f t="shared" ref="J40:J42" si="5">J39+I40</f>
        <v>7.9864807688067412</v>
      </c>
    </row>
    <row r="41" spans="1:15" ht="15" hidden="1" thickBot="1" x14ac:dyDescent="0.4">
      <c r="A41" s="204"/>
      <c r="B41" s="198" t="s">
        <v>49</v>
      </c>
      <c r="C41" s="199" t="s">
        <v>111</v>
      </c>
      <c r="D41" s="15" t="s">
        <v>14</v>
      </c>
      <c r="E41" s="69">
        <v>1.9447097612924</v>
      </c>
      <c r="F41" s="37">
        <v>7.6423544712155997E-2</v>
      </c>
      <c r="G41" s="37">
        <v>0.15681994514953199</v>
      </c>
      <c r="H41" s="38">
        <f>0.0667811140144275*100</f>
        <v>6.6781114014427505</v>
      </c>
      <c r="I41" s="38">
        <f>0.22182824358244*100</f>
        <v>22.182824358243998</v>
      </c>
      <c r="J41" s="38">
        <f t="shared" si="5"/>
        <v>30.169305127050741</v>
      </c>
    </row>
    <row r="42" spans="1:15" ht="15" hidden="1" thickBot="1" x14ac:dyDescent="0.4">
      <c r="A42" s="204"/>
      <c r="B42" s="198"/>
      <c r="C42" s="199"/>
      <c r="D42" s="16" t="s">
        <v>11</v>
      </c>
      <c r="E42" s="55">
        <v>1.05312671195561</v>
      </c>
      <c r="F42" s="37">
        <v>0.28583370373501898</v>
      </c>
      <c r="G42" s="37">
        <v>0.29737752643611098</v>
      </c>
      <c r="H42" s="65">
        <f>0.324315284670496*100</f>
        <v>32.431528467049596</v>
      </c>
      <c r="I42" s="45">
        <f>0.403755279964767*100</f>
        <v>40.375527996476698</v>
      </c>
      <c r="J42" s="50">
        <f t="shared" si="5"/>
        <v>70.54483312352744</v>
      </c>
    </row>
    <row r="43" spans="1:15" ht="15" hidden="1" thickBot="1" x14ac:dyDescent="0.4">
      <c r="A43" s="204"/>
      <c r="B43" s="3" t="s">
        <v>64</v>
      </c>
      <c r="C43" t="s">
        <v>121</v>
      </c>
      <c r="D43" s="52" t="s">
        <v>54</v>
      </c>
      <c r="E43" s="4">
        <f>AVERAGE(E38:E42)</f>
        <v>0.90549276981064553</v>
      </c>
      <c r="F43" s="4">
        <f>AVERAGE(F38:F42)</f>
        <v>0.10821663851134959</v>
      </c>
      <c r="G43" s="4">
        <f>AVERAGE(G38:G42)</f>
        <v>0.10262155668717539</v>
      </c>
      <c r="H43" s="4">
        <f>AVERAGE(H38:H42)</f>
        <v>12.521024758270313</v>
      </c>
      <c r="I43" s="4">
        <f>AVERAGE(I38:I42)</f>
        <v>14.108966624705488</v>
      </c>
      <c r="J43" s="64"/>
      <c r="K43"/>
    </row>
    <row r="44" spans="1:15" ht="15" hidden="1" thickBot="1" x14ac:dyDescent="0.4">
      <c r="A44" s="205"/>
      <c r="B44" s="8" t="s">
        <v>8</v>
      </c>
      <c r="C44" s="53" t="s">
        <v>72</v>
      </c>
      <c r="D44" s="200" t="s">
        <v>98</v>
      </c>
      <c r="E44" s="201"/>
      <c r="F44" s="201"/>
      <c r="G44" s="201"/>
      <c r="H44" s="201"/>
      <c r="I44" s="202"/>
      <c r="J44" s="63">
        <f>((AVERAGE(E38:E42))/STDEVP(E38:E42))</f>
        <v>0.98319091669490988</v>
      </c>
      <c r="K44" s="20"/>
      <c r="L44" s="20"/>
      <c r="M44" s="20"/>
      <c r="N44" s="20"/>
      <c r="O44" s="21"/>
    </row>
    <row r="45" spans="1:15" x14ac:dyDescent="0.35">
      <c r="A45" s="203" t="s">
        <v>151</v>
      </c>
      <c r="B45" s="6" t="s">
        <v>0</v>
      </c>
      <c r="C45" s="5" t="s">
        <v>176</v>
      </c>
      <c r="D45" s="14" t="s">
        <v>4</v>
      </c>
      <c r="E45" s="34">
        <v>9.6184945244663006E-2</v>
      </c>
      <c r="F45" s="34">
        <v>0.103645337620116</v>
      </c>
      <c r="G45" s="35">
        <v>4.6704671551479997E-3</v>
      </c>
      <c r="H45" s="36">
        <f>0.0907780474496156*100</f>
        <v>9.0778047449615595</v>
      </c>
      <c r="I45" s="36">
        <f>0.00399635885073212*100</f>
        <v>0.39963588507321202</v>
      </c>
      <c r="J45" s="36">
        <f>I45</f>
        <v>0.39963588507321202</v>
      </c>
      <c r="K45" s="17"/>
      <c r="L45" s="5"/>
      <c r="M45" s="5"/>
      <c r="N45" s="5"/>
      <c r="O45" s="18"/>
    </row>
    <row r="46" spans="1:15" x14ac:dyDescent="0.35">
      <c r="A46" s="204"/>
      <c r="B46" s="3" t="s">
        <v>2</v>
      </c>
      <c r="C46" s="49" t="s">
        <v>73</v>
      </c>
      <c r="D46" s="15" t="s">
        <v>12</v>
      </c>
      <c r="E46" s="33">
        <v>0.95673721113300503</v>
      </c>
      <c r="F46" s="37">
        <v>3.5724941226927001E-2</v>
      </c>
      <c r="G46" s="37">
        <v>3.4110159467351998E-2</v>
      </c>
      <c r="H46" s="38">
        <f>0.0169956503611556*100</f>
        <v>1.6995650361155599</v>
      </c>
      <c r="I46" s="38">
        <f>0.0444721699163355*100</f>
        <v>4.4472169916335496</v>
      </c>
      <c r="J46" s="38">
        <f>J45+I46</f>
        <v>4.8468528767067616</v>
      </c>
    </row>
    <row r="47" spans="1:15" x14ac:dyDescent="0.35">
      <c r="A47" s="204"/>
      <c r="B47" s="3" t="s">
        <v>67</v>
      </c>
      <c r="C47" s="51" t="s">
        <v>66</v>
      </c>
      <c r="D47" s="15" t="s">
        <v>13</v>
      </c>
      <c r="E47" s="33">
        <v>-0.33614475913457897</v>
      </c>
      <c r="F47" s="37">
        <v>0.16251246496805599</v>
      </c>
      <c r="G47" s="37">
        <v>-6.5558619362313997E-2</v>
      </c>
      <c r="H47" s="45">
        <f>0.26203126464088*100</f>
        <v>26.203126464088001</v>
      </c>
      <c r="I47" s="38">
        <f>-0.0894716141348335*100</f>
        <v>-8.9471614134833501</v>
      </c>
      <c r="J47" s="38">
        <f t="shared" ref="J47:J49" si="6">J46+I47</f>
        <v>-4.1003085367765886</v>
      </c>
    </row>
    <row r="48" spans="1:15" x14ac:dyDescent="0.35">
      <c r="A48" s="204"/>
      <c r="B48" s="198" t="s">
        <v>49</v>
      </c>
      <c r="C48" s="199" t="s">
        <v>111</v>
      </c>
      <c r="D48" s="15" t="s">
        <v>14</v>
      </c>
      <c r="E48" s="22">
        <v>1.12914431001506</v>
      </c>
      <c r="F48" s="37">
        <v>0.12543461559181099</v>
      </c>
      <c r="G48" s="37">
        <v>0.14308659126317899</v>
      </c>
      <c r="H48" s="38">
        <f>0.0890796679279936*100</f>
        <v>8.9079667927993604</v>
      </c>
      <c r="I48" s="38">
        <f>0.186894098346426*100</f>
        <v>18.6894098346426</v>
      </c>
      <c r="J48" s="38">
        <f t="shared" si="6"/>
        <v>14.589101297866012</v>
      </c>
    </row>
    <row r="49" spans="1:15" ht="15" thickBot="1" x14ac:dyDescent="0.4">
      <c r="A49" s="204"/>
      <c r="B49" s="198"/>
      <c r="C49" s="199"/>
      <c r="D49" s="16" t="s">
        <v>11</v>
      </c>
      <c r="E49" s="22">
        <v>1.61312075310535</v>
      </c>
      <c r="F49" s="37">
        <v>0.14747272136838999</v>
      </c>
      <c r="G49" s="37">
        <v>0.25467146501966398</v>
      </c>
      <c r="H49" s="38">
        <f>0.120731226205189*100</f>
        <v>12.0731226205189</v>
      </c>
      <c r="I49" s="38">
        <f>0.33857715421095*100</f>
        <v>33.857715421095001</v>
      </c>
      <c r="J49" s="50">
        <f t="shared" si="6"/>
        <v>48.446816718961017</v>
      </c>
    </row>
    <row r="50" spans="1:15" ht="15" thickBot="1" x14ac:dyDescent="0.4">
      <c r="A50" s="204"/>
      <c r="B50" s="3" t="s">
        <v>64</v>
      </c>
      <c r="C50" t="s">
        <v>114</v>
      </c>
      <c r="D50" s="52" t="s">
        <v>54</v>
      </c>
      <c r="E50" s="67">
        <f>AVERAGE(E45:E49)</f>
        <v>0.69180849207269979</v>
      </c>
      <c r="F50" s="4">
        <f>AVERAGE(F45:F49)</f>
        <v>0.11495801615505999</v>
      </c>
      <c r="G50" s="4">
        <f>AVERAGE(G45:G49)</f>
        <v>7.4196012708605791E-2</v>
      </c>
      <c r="H50" s="54">
        <f>AVERAGE(H45:H49)</f>
        <v>11.592317131696678</v>
      </c>
      <c r="I50" s="4">
        <f>AVERAGE(I45:I49)</f>
        <v>9.6893633437922038</v>
      </c>
      <c r="J50" s="64"/>
      <c r="K50"/>
    </row>
    <row r="51" spans="1:15" ht="15" thickBot="1" x14ac:dyDescent="0.4">
      <c r="A51" s="205"/>
      <c r="B51" s="8" t="s">
        <v>8</v>
      </c>
      <c r="C51" s="48" t="s">
        <v>173</v>
      </c>
      <c r="D51" s="200" t="s">
        <v>177</v>
      </c>
      <c r="E51" s="201"/>
      <c r="F51" s="201"/>
      <c r="G51" s="201"/>
      <c r="H51" s="201"/>
      <c r="I51" s="202"/>
      <c r="J51" s="63">
        <f>((AVERAGE(E45:E49))/STDEVP(E45:E49))</f>
        <v>0.97414215409825888</v>
      </c>
      <c r="K51" s="20"/>
      <c r="L51" s="20"/>
      <c r="M51" s="20"/>
      <c r="N51" s="20"/>
      <c r="O51" s="21"/>
    </row>
    <row r="52" spans="1:15" x14ac:dyDescent="0.35">
      <c r="A52" s="203" t="s">
        <v>150</v>
      </c>
      <c r="B52" s="6" t="s">
        <v>0</v>
      </c>
      <c r="C52" s="5" t="s">
        <v>179</v>
      </c>
      <c r="D52" s="14" t="s">
        <v>4</v>
      </c>
      <c r="E52" s="34">
        <v>0.96361951116922395</v>
      </c>
      <c r="F52" s="34">
        <v>0.12613408765828399</v>
      </c>
      <c r="G52" s="35">
        <v>0.120348544972362</v>
      </c>
      <c r="H52" s="36">
        <f>0.0653772102998415*100</f>
        <v>6.5377210299841506</v>
      </c>
      <c r="I52" s="36">
        <f>0.121823453536571*100</f>
        <v>12.1823453536571</v>
      </c>
      <c r="J52" s="36">
        <f>I52</f>
        <v>12.1823453536571</v>
      </c>
      <c r="K52" s="17"/>
      <c r="L52" s="5"/>
      <c r="M52" s="5"/>
      <c r="N52" s="5"/>
      <c r="O52" s="18"/>
    </row>
    <row r="53" spans="1:15" x14ac:dyDescent="0.35">
      <c r="A53" s="204"/>
      <c r="B53" s="3" t="s">
        <v>2</v>
      </c>
      <c r="C53" s="49" t="s">
        <v>73</v>
      </c>
      <c r="D53" s="15" t="s">
        <v>12</v>
      </c>
      <c r="E53" s="33">
        <v>2.45261422006977</v>
      </c>
      <c r="F53" s="37">
        <v>3.6590397310896999E-2</v>
      </c>
      <c r="G53" s="37">
        <v>9.3147924361882004E-2</v>
      </c>
      <c r="H53" s="38">
        <f>0.0182576448897303*100</f>
        <v>1.82576448897303</v>
      </c>
      <c r="I53" s="38">
        <f>0.0943512058679167*100</f>
        <v>9.4351205867916708</v>
      </c>
      <c r="J53" s="38">
        <f>J52+I53</f>
        <v>21.617465940448771</v>
      </c>
    </row>
    <row r="54" spans="1:15" x14ac:dyDescent="0.35">
      <c r="A54" s="204"/>
      <c r="B54" s="3" t="s">
        <v>67</v>
      </c>
      <c r="C54" s="51" t="s">
        <v>66</v>
      </c>
      <c r="D54" s="15" t="s">
        <v>13</v>
      </c>
      <c r="E54" s="33">
        <v>3.1639090520310001E-3</v>
      </c>
      <c r="F54" s="37">
        <v>0.162495688899157</v>
      </c>
      <c r="G54" s="37">
        <v>-1.2609276823676E-2</v>
      </c>
      <c r="H54" s="45">
        <f>0.143197438426068*100</f>
        <v>14.319743842606799</v>
      </c>
      <c r="I54" s="38">
        <f>-0.0129302517962754*100</f>
        <v>-1.29302517962754</v>
      </c>
      <c r="J54" s="38">
        <f t="shared" ref="J54:J56" si="7">J53+I54</f>
        <v>20.324440760821229</v>
      </c>
    </row>
    <row r="55" spans="1:15" x14ac:dyDescent="0.35">
      <c r="A55" s="204"/>
      <c r="B55" s="198" t="s">
        <v>49</v>
      </c>
      <c r="C55" s="199" t="s">
        <v>111</v>
      </c>
      <c r="D55" s="15" t="s">
        <v>14</v>
      </c>
      <c r="E55" s="22">
        <v>-1.48738874163551</v>
      </c>
      <c r="F55" s="37">
        <v>8.2876302418065997E-2</v>
      </c>
      <c r="G55" s="37">
        <v>-0.119031963882889</v>
      </c>
      <c r="H55" s="38">
        <f>0.144580338763512*100</f>
        <v>14.4580338763512</v>
      </c>
      <c r="I55" s="38">
        <f>-0.120459303118214*100</f>
        <v>-12.045930311821399</v>
      </c>
      <c r="J55" s="38">
        <f t="shared" si="7"/>
        <v>8.27851044899983</v>
      </c>
    </row>
    <row r="56" spans="1:15" ht="15" thickBot="1" x14ac:dyDescent="0.4">
      <c r="A56" s="204"/>
      <c r="B56" s="198"/>
      <c r="C56" s="199"/>
      <c r="D56" s="16" t="s">
        <v>11</v>
      </c>
      <c r="E56" s="22">
        <v>0.25716855611016798</v>
      </c>
      <c r="F56" s="37">
        <v>0.33268185258060301</v>
      </c>
      <c r="G56" s="37">
        <v>3.0532896966893999E-2</v>
      </c>
      <c r="H56" s="38">
        <f>0.348992196531*100</f>
        <v>34.899219653099998</v>
      </c>
      <c r="I56" s="38">
        <f>0.0301918039320303*100</f>
        <v>3.0191803932030301</v>
      </c>
      <c r="J56" s="50">
        <f t="shared" si="7"/>
        <v>11.29769084220286</v>
      </c>
    </row>
    <row r="57" spans="1:15" ht="15" thickBot="1" x14ac:dyDescent="0.4">
      <c r="A57" s="204"/>
      <c r="B57" s="3" t="s">
        <v>64</v>
      </c>
      <c r="C57" t="s">
        <v>114</v>
      </c>
      <c r="D57" s="52" t="s">
        <v>54</v>
      </c>
      <c r="E57" s="67">
        <f>AVERAGE(E52:E56)</f>
        <v>0.43783549095313656</v>
      </c>
      <c r="F57" s="4">
        <f>AVERAGE(F52:F56)</f>
        <v>0.14815566577340139</v>
      </c>
      <c r="G57" s="4">
        <f>AVERAGE(G52:G56)</f>
        <v>2.2477625118914598E-2</v>
      </c>
      <c r="H57" s="54">
        <f>AVERAGE(H52:H56)</f>
        <v>14.408096578203038</v>
      </c>
      <c r="I57" s="4">
        <f>AVERAGE(I52:I56)</f>
        <v>2.2595381684405718</v>
      </c>
      <c r="J57" s="64"/>
      <c r="K57"/>
    </row>
    <row r="58" spans="1:15" ht="15" thickBot="1" x14ac:dyDescent="0.4">
      <c r="A58" s="205"/>
      <c r="B58" s="8" t="s">
        <v>8</v>
      </c>
      <c r="C58" s="48" t="s">
        <v>178</v>
      </c>
      <c r="D58" s="200" t="s">
        <v>182</v>
      </c>
      <c r="E58" s="201"/>
      <c r="F58" s="201"/>
      <c r="G58" s="201"/>
      <c r="H58" s="201"/>
      <c r="I58" s="202"/>
      <c r="J58" s="63">
        <f>((AVERAGE(E52:E56))/STDEVP(E52:E56))</f>
        <v>0.340568707034405</v>
      </c>
      <c r="K58" s="20"/>
      <c r="L58" s="20"/>
      <c r="M58" s="20"/>
      <c r="N58" s="20"/>
      <c r="O58" s="21"/>
    </row>
    <row r="59" spans="1:15" x14ac:dyDescent="0.35">
      <c r="A59" s="219"/>
      <c r="B59" s="219"/>
      <c r="C59" s="219"/>
      <c r="D59" s="219"/>
      <c r="E59" s="219"/>
      <c r="F59" s="219"/>
      <c r="G59" s="219"/>
      <c r="H59" s="219"/>
      <c r="I59" s="219"/>
      <c r="J59" s="219"/>
      <c r="K59" s="219"/>
      <c r="L59" s="219"/>
      <c r="M59" s="219"/>
      <c r="N59" s="219"/>
      <c r="O59" s="219"/>
    </row>
    <row r="60" spans="1:15" x14ac:dyDescent="0.35">
      <c r="B60" s="1"/>
      <c r="D60" t="s">
        <v>180</v>
      </c>
      <c r="E60" s="1" t="s">
        <v>116</v>
      </c>
      <c r="F60" s="1" t="s">
        <v>112</v>
      </c>
      <c r="G60" s="1" t="s">
        <v>113</v>
      </c>
      <c r="H60" s="1" t="s">
        <v>151</v>
      </c>
      <c r="I60" s="1" t="s">
        <v>150</v>
      </c>
      <c r="J60"/>
      <c r="K60"/>
      <c r="O60"/>
    </row>
    <row r="61" spans="1:15" x14ac:dyDescent="0.35">
      <c r="B61" s="1"/>
      <c r="D61" s="170" t="s">
        <v>4</v>
      </c>
      <c r="E61" s="171">
        <f>E67</f>
        <v>0.61566824809832899</v>
      </c>
      <c r="F61" s="171">
        <f t="shared" ref="F61:I61" si="8">F67</f>
        <v>-0.13067446453033299</v>
      </c>
      <c r="G61" s="171">
        <f t="shared" si="8"/>
        <v>0.89791770915445801</v>
      </c>
      <c r="H61" s="171">
        <f t="shared" si="8"/>
        <v>9.6184945244663006E-2</v>
      </c>
      <c r="I61" s="171">
        <f t="shared" si="8"/>
        <v>0.96361951116922395</v>
      </c>
      <c r="J61"/>
      <c r="K61"/>
      <c r="O61"/>
    </row>
    <row r="62" spans="1:15" x14ac:dyDescent="0.35">
      <c r="B62" s="1"/>
      <c r="D62" s="170" t="s">
        <v>12</v>
      </c>
      <c r="E62" s="172">
        <f>E61+E68</f>
        <v>3.3242631571099488</v>
      </c>
      <c r="F62" s="172">
        <f>F61+F68</f>
        <v>2.1348799958444271</v>
      </c>
      <c r="G62" s="172">
        <f>G61+G68</f>
        <v>2.2873376892267978</v>
      </c>
      <c r="H62" s="172">
        <f>H61+H68</f>
        <v>1.0529221563776681</v>
      </c>
      <c r="I62" s="172">
        <f>I61+I68</f>
        <v>3.4162337312389939</v>
      </c>
      <c r="J62"/>
      <c r="K62"/>
      <c r="O62"/>
    </row>
    <row r="63" spans="1:15" x14ac:dyDescent="0.35">
      <c r="B63" s="1"/>
      <c r="D63" s="170" t="s">
        <v>13</v>
      </c>
      <c r="E63" s="172">
        <f t="shared" ref="E63:I65" si="9">E62+E69</f>
        <v>4.2932506638584966</v>
      </c>
      <c r="F63" s="172">
        <f t="shared" si="9"/>
        <v>2.922292306638508</v>
      </c>
      <c r="G63" s="172">
        <f t="shared" si="9"/>
        <v>1.3871038522921109</v>
      </c>
      <c r="H63" s="172">
        <f t="shared" si="9"/>
        <v>0.71677739724308909</v>
      </c>
      <c r="I63" s="172">
        <f t="shared" si="9"/>
        <v>3.4193976402910247</v>
      </c>
      <c r="J63"/>
      <c r="K63"/>
      <c r="O63"/>
    </row>
    <row r="64" spans="1:15" x14ac:dyDescent="0.35">
      <c r="B64" s="1"/>
      <c r="D64" s="170" t="s">
        <v>14</v>
      </c>
      <c r="E64" s="172">
        <f t="shared" si="9"/>
        <v>6.0545613828276066</v>
      </c>
      <c r="F64" s="172">
        <f t="shared" si="9"/>
        <v>3.9772566259581179</v>
      </c>
      <c r="G64" s="172">
        <f t="shared" si="9"/>
        <v>1.3714858998968409</v>
      </c>
      <c r="H64" s="172">
        <f t="shared" si="9"/>
        <v>1.8459217072581491</v>
      </c>
      <c r="I64" s="172">
        <f t="shared" si="9"/>
        <v>1.9320088986555146</v>
      </c>
      <c r="J64"/>
      <c r="K64"/>
      <c r="O64"/>
    </row>
    <row r="65" spans="2:15" x14ac:dyDescent="0.35">
      <c r="B65" s="1"/>
      <c r="D65" s="173" t="s">
        <v>11</v>
      </c>
      <c r="E65" s="172">
        <f t="shared" si="9"/>
        <v>6.5581676936424342</v>
      </c>
      <c r="F65" s="172">
        <f t="shared" si="9"/>
        <v>4.7554899532196488</v>
      </c>
      <c r="G65" s="172">
        <f t="shared" si="9"/>
        <v>1.8122085877905949</v>
      </c>
      <c r="H65" s="172">
        <f t="shared" si="9"/>
        <v>3.459042460363499</v>
      </c>
      <c r="I65" s="172">
        <f t="shared" si="9"/>
        <v>2.1891774547656828</v>
      </c>
      <c r="J65"/>
      <c r="K65"/>
      <c r="O65"/>
    </row>
    <row r="66" spans="2:15" x14ac:dyDescent="0.35">
      <c r="B66" s="1"/>
      <c r="D66" s="220" t="s">
        <v>123</v>
      </c>
      <c r="E66" s="220"/>
      <c r="F66" s="220"/>
      <c r="G66" s="220"/>
      <c r="H66" s="220"/>
      <c r="I66" s="220"/>
      <c r="J66"/>
      <c r="K66"/>
      <c r="O66"/>
    </row>
    <row r="67" spans="2:15" x14ac:dyDescent="0.35">
      <c r="B67" s="1"/>
      <c r="D67" s="170" t="s">
        <v>4</v>
      </c>
      <c r="E67" s="171">
        <f>E17</f>
        <v>0.61566824809832899</v>
      </c>
      <c r="F67" s="171">
        <f>E24</f>
        <v>-0.13067446453033299</v>
      </c>
      <c r="G67" s="171">
        <f>E31</f>
        <v>0.89791770915445801</v>
      </c>
      <c r="H67" s="171">
        <f>E45</f>
        <v>9.6184945244663006E-2</v>
      </c>
      <c r="I67" s="171">
        <f>E52</f>
        <v>0.96361951116922395</v>
      </c>
      <c r="J67"/>
      <c r="K67"/>
      <c r="O67"/>
    </row>
    <row r="68" spans="2:15" x14ac:dyDescent="0.35">
      <c r="B68" s="1"/>
      <c r="D68" s="170" t="s">
        <v>12</v>
      </c>
      <c r="E68" s="171">
        <f t="shared" ref="E68:E71" si="10">E18</f>
        <v>2.7085949090116199</v>
      </c>
      <c r="F68" s="171">
        <f t="shared" ref="F68:F71" si="11">E25</f>
        <v>2.2655544603747599</v>
      </c>
      <c r="G68" s="171">
        <f t="shared" ref="G68:G71" si="12">E32</f>
        <v>1.3894199800723399</v>
      </c>
      <c r="H68" s="171">
        <f t="shared" ref="H68:H71" si="13">E46</f>
        <v>0.95673721113300503</v>
      </c>
      <c r="I68" s="171">
        <f t="shared" ref="I68:I71" si="14">E53</f>
        <v>2.45261422006977</v>
      </c>
      <c r="J68"/>
      <c r="K68"/>
      <c r="O68"/>
    </row>
    <row r="69" spans="2:15" x14ac:dyDescent="0.35">
      <c r="B69" s="1"/>
      <c r="D69" s="170" t="s">
        <v>13</v>
      </c>
      <c r="E69" s="171">
        <f t="shared" si="10"/>
        <v>0.96898750674854806</v>
      </c>
      <c r="F69" s="171">
        <f t="shared" si="11"/>
        <v>0.78741231079408103</v>
      </c>
      <c r="G69" s="171">
        <f t="shared" si="12"/>
        <v>-0.90023383693468695</v>
      </c>
      <c r="H69" s="171">
        <f t="shared" si="13"/>
        <v>-0.33614475913457897</v>
      </c>
      <c r="I69" s="171">
        <f t="shared" si="14"/>
        <v>3.1639090520310001E-3</v>
      </c>
      <c r="J69"/>
      <c r="K69"/>
      <c r="O69"/>
    </row>
    <row r="70" spans="2:15" x14ac:dyDescent="0.35">
      <c r="B70" s="1"/>
      <c r="D70" s="170" t="s">
        <v>14</v>
      </c>
      <c r="E70" s="171">
        <f t="shared" si="10"/>
        <v>1.76131071896911</v>
      </c>
      <c r="F70" s="171">
        <f t="shared" si="11"/>
        <v>1.0549643193196101</v>
      </c>
      <c r="G70" s="171">
        <f t="shared" si="12"/>
        <v>-1.561795239527E-2</v>
      </c>
      <c r="H70" s="171">
        <f t="shared" si="13"/>
        <v>1.12914431001506</v>
      </c>
      <c r="I70" s="171">
        <f t="shared" si="14"/>
        <v>-1.48738874163551</v>
      </c>
      <c r="J70"/>
      <c r="K70"/>
      <c r="O70"/>
    </row>
    <row r="71" spans="2:15" x14ac:dyDescent="0.35">
      <c r="B71" s="1"/>
      <c r="D71" s="173" t="s">
        <v>11</v>
      </c>
      <c r="E71" s="171">
        <f t="shared" si="10"/>
        <v>0.50360631081482798</v>
      </c>
      <c r="F71" s="171">
        <f t="shared" si="11"/>
        <v>0.77823332726153105</v>
      </c>
      <c r="G71" s="171">
        <f t="shared" si="12"/>
        <v>0.44072268789375402</v>
      </c>
      <c r="H71" s="171">
        <f t="shared" si="13"/>
        <v>1.61312075310535</v>
      </c>
      <c r="I71" s="171">
        <f t="shared" si="14"/>
        <v>0.25716855611016798</v>
      </c>
      <c r="J71"/>
      <c r="K71"/>
      <c r="O71"/>
    </row>
    <row r="72" spans="2:15" x14ac:dyDescent="0.35">
      <c r="B72" s="1"/>
      <c r="D72" t="s">
        <v>181</v>
      </c>
      <c r="E72" s="1" t="s">
        <v>116</v>
      </c>
      <c r="F72" s="1" t="s">
        <v>112</v>
      </c>
      <c r="G72" s="1" t="s">
        <v>113</v>
      </c>
      <c r="H72" s="1" t="s">
        <v>151</v>
      </c>
      <c r="I72" s="1" t="s">
        <v>150</v>
      </c>
      <c r="J72"/>
      <c r="K72"/>
      <c r="O72"/>
    </row>
    <row r="73" spans="2:15" x14ac:dyDescent="0.35">
      <c r="B73" s="1"/>
      <c r="D73" s="170" t="s">
        <v>4</v>
      </c>
      <c r="E73" s="171">
        <f>J17</f>
        <v>7.3604136371056894</v>
      </c>
      <c r="F73" s="171">
        <f>J24</f>
        <v>-1.41774830080173</v>
      </c>
      <c r="G73" s="171">
        <f>J31</f>
        <v>11.0915645405946</v>
      </c>
      <c r="H73" s="1">
        <f>J45</f>
        <v>0.39963588507321202</v>
      </c>
      <c r="I73" s="171">
        <f>J52</f>
        <v>12.1823453536571</v>
      </c>
      <c r="J73"/>
      <c r="K73"/>
      <c r="O73"/>
    </row>
    <row r="74" spans="2:15" x14ac:dyDescent="0.35">
      <c r="B74" s="1"/>
      <c r="D74" s="170" t="s">
        <v>12</v>
      </c>
      <c r="E74" s="171">
        <f t="shared" ref="E74:E77" si="15">J18</f>
        <v>23.77363250645789</v>
      </c>
      <c r="F74" s="171">
        <f t="shared" ref="F74:F77" si="16">J25</f>
        <v>11.74260367781887</v>
      </c>
      <c r="G74" s="171">
        <f t="shared" ref="G74:G77" si="17">J32</f>
        <v>19.192867776999869</v>
      </c>
      <c r="H74" s="1">
        <f t="shared" ref="H74:H77" si="18">J46</f>
        <v>4.8468528767067616</v>
      </c>
      <c r="I74" s="171">
        <f t="shared" ref="I74:I77" si="19">J53</f>
        <v>21.617465940448771</v>
      </c>
      <c r="J74"/>
      <c r="K74"/>
      <c r="O74"/>
    </row>
    <row r="75" spans="2:15" x14ac:dyDescent="0.35">
      <c r="B75" s="1"/>
      <c r="D75" s="170" t="s">
        <v>13</v>
      </c>
      <c r="E75" s="171">
        <f t="shared" si="15"/>
        <v>39.103451741307993</v>
      </c>
      <c r="F75" s="171">
        <f t="shared" si="16"/>
        <v>19.041308966067628</v>
      </c>
      <c r="G75" s="171">
        <f t="shared" si="17"/>
        <v>4.790935304605469</v>
      </c>
      <c r="H75" s="1">
        <f t="shared" si="18"/>
        <v>-4.1003085367765886</v>
      </c>
      <c r="I75" s="171">
        <f t="shared" si="19"/>
        <v>20.324440760821229</v>
      </c>
      <c r="J75"/>
      <c r="K75"/>
      <c r="O75"/>
    </row>
    <row r="76" spans="2:15" x14ac:dyDescent="0.35">
      <c r="B76" s="1"/>
      <c r="D76" s="170" t="s">
        <v>14</v>
      </c>
      <c r="E76" s="171">
        <f t="shared" si="15"/>
        <v>61.67385831196799</v>
      </c>
      <c r="F76" s="171">
        <f t="shared" si="16"/>
        <v>31.567160225607129</v>
      </c>
      <c r="G76" s="171">
        <f t="shared" si="17"/>
        <v>4.1962116434485432</v>
      </c>
      <c r="H76" s="1">
        <f t="shared" si="18"/>
        <v>14.589101297866012</v>
      </c>
      <c r="I76" s="171">
        <f t="shared" si="19"/>
        <v>8.27851044899983</v>
      </c>
      <c r="J76"/>
      <c r="K76"/>
      <c r="O76"/>
    </row>
    <row r="77" spans="2:15" x14ac:dyDescent="0.35">
      <c r="B77" s="1"/>
      <c r="D77" s="173" t="s">
        <v>11</v>
      </c>
      <c r="E77" s="171">
        <f t="shared" si="15"/>
        <v>72.459280403205696</v>
      </c>
      <c r="F77" s="171">
        <f t="shared" si="16"/>
        <v>57.532778024739329</v>
      </c>
      <c r="G77" s="171">
        <f t="shared" si="17"/>
        <v>13.490007900882084</v>
      </c>
      <c r="H77" s="1">
        <f t="shared" si="18"/>
        <v>48.446816718961017</v>
      </c>
      <c r="I77" s="171">
        <f t="shared" si="19"/>
        <v>11.29769084220286</v>
      </c>
      <c r="J77"/>
      <c r="K77"/>
      <c r="O77"/>
    </row>
    <row r="78" spans="2:15" x14ac:dyDescent="0.35">
      <c r="B78" s="1"/>
      <c r="D78" t="s">
        <v>125</v>
      </c>
      <c r="E78" s="1" t="s">
        <v>116</v>
      </c>
      <c r="F78" s="1" t="s">
        <v>112</v>
      </c>
      <c r="G78" s="1" t="s">
        <v>113</v>
      </c>
      <c r="H78" s="1" t="s">
        <v>151</v>
      </c>
      <c r="I78" s="1" t="s">
        <v>150</v>
      </c>
      <c r="J78"/>
      <c r="K78"/>
      <c r="O78"/>
    </row>
    <row r="79" spans="2:15" x14ac:dyDescent="0.35">
      <c r="B79" s="1"/>
      <c r="D79" s="170" t="s">
        <v>4</v>
      </c>
      <c r="E79" s="171">
        <f>H17</f>
        <v>8.3571372593065387</v>
      </c>
      <c r="F79" s="171">
        <f>H24</f>
        <v>10.721711809984399</v>
      </c>
      <c r="G79" s="171">
        <f>H31</f>
        <v>5.8569066347400298</v>
      </c>
      <c r="H79" s="1">
        <f>H45</f>
        <v>9.0778047449615595</v>
      </c>
      <c r="I79" s="171">
        <f>H52</f>
        <v>6.5377210299841506</v>
      </c>
      <c r="J79"/>
      <c r="K79"/>
      <c r="O79"/>
    </row>
    <row r="80" spans="2:15" x14ac:dyDescent="0.35">
      <c r="B80" s="1"/>
      <c r="D80" s="170" t="s">
        <v>12</v>
      </c>
      <c r="E80" s="171">
        <f t="shared" ref="E80:E83" si="20">H18</f>
        <v>3.3386541624484996</v>
      </c>
      <c r="F80" s="171">
        <f t="shared" ref="F80:F83" si="21">H25</f>
        <v>1.71915431876838</v>
      </c>
      <c r="G80" s="171">
        <f t="shared" ref="G80:G83" si="22">H32</f>
        <v>3.43296347638868</v>
      </c>
      <c r="H80" s="1">
        <f t="shared" ref="H80:H83" si="23">H46</f>
        <v>1.6995650361155599</v>
      </c>
      <c r="I80" s="171">
        <f t="shared" ref="I80:I83" si="24">H53</f>
        <v>1.82576448897303</v>
      </c>
      <c r="J80"/>
      <c r="K80"/>
      <c r="O80"/>
    </row>
    <row r="81" spans="2:15" x14ac:dyDescent="0.35">
      <c r="B81" s="1"/>
      <c r="D81" s="170" t="s">
        <v>13</v>
      </c>
      <c r="E81" s="171">
        <f t="shared" si="20"/>
        <v>12.076283134086701</v>
      </c>
      <c r="F81" s="171">
        <f t="shared" si="21"/>
        <v>6.4388924719336398</v>
      </c>
      <c r="G81" s="171">
        <f t="shared" si="22"/>
        <v>24.442097621801302</v>
      </c>
      <c r="H81" s="1">
        <f t="shared" si="23"/>
        <v>26.203126464088001</v>
      </c>
      <c r="I81" s="171">
        <f t="shared" si="24"/>
        <v>14.319743842606799</v>
      </c>
      <c r="J81"/>
      <c r="K81"/>
      <c r="O81"/>
    </row>
    <row r="82" spans="2:15" x14ac:dyDescent="0.35">
      <c r="B82" s="1"/>
      <c r="D82" s="170" t="s">
        <v>14</v>
      </c>
      <c r="E82" s="171">
        <f t="shared" si="20"/>
        <v>6.8593116569808501</v>
      </c>
      <c r="F82" s="171">
        <f t="shared" si="21"/>
        <v>12.881050086818</v>
      </c>
      <c r="G82" s="171">
        <f t="shared" si="22"/>
        <v>9.0493296275326394</v>
      </c>
      <c r="H82" s="1">
        <f t="shared" si="23"/>
        <v>8.9079667927993604</v>
      </c>
      <c r="I82" s="171">
        <f t="shared" si="24"/>
        <v>14.4580338763512</v>
      </c>
      <c r="J82"/>
      <c r="K82"/>
      <c r="O82"/>
    </row>
    <row r="83" spans="2:15" x14ac:dyDescent="0.35">
      <c r="B83" s="1"/>
      <c r="D83" s="173" t="s">
        <v>11</v>
      </c>
      <c r="E83" s="171">
        <f t="shared" si="20"/>
        <v>21.902339671591601</v>
      </c>
      <c r="F83" s="171">
        <f t="shared" si="21"/>
        <v>32.295988626696499</v>
      </c>
      <c r="G83" s="171">
        <f t="shared" si="22"/>
        <v>33.302697931928797</v>
      </c>
      <c r="H83" s="1">
        <f t="shared" si="23"/>
        <v>12.0731226205189</v>
      </c>
      <c r="I83" s="171">
        <f t="shared" si="24"/>
        <v>34.899219653099998</v>
      </c>
      <c r="J83"/>
      <c r="K83"/>
      <c r="O83"/>
    </row>
    <row r="84" spans="2:15" x14ac:dyDescent="0.35">
      <c r="B84" s="1"/>
      <c r="D84"/>
      <c r="E84" s="1"/>
      <c r="F84" s="1"/>
      <c r="G84" s="1"/>
      <c r="H84" s="1"/>
      <c r="I84" s="1"/>
      <c r="J84" s="1"/>
      <c r="K84"/>
      <c r="O84"/>
    </row>
    <row r="85" spans="2:15" x14ac:dyDescent="0.35">
      <c r="B85" s="1"/>
      <c r="D85"/>
      <c r="E85" s="1"/>
      <c r="F85" s="1"/>
      <c r="G85" s="1"/>
      <c r="H85" s="1"/>
      <c r="I85" s="1"/>
      <c r="J85" s="1"/>
      <c r="K85"/>
      <c r="O85"/>
    </row>
    <row r="86" spans="2:15" x14ac:dyDescent="0.35">
      <c r="B86" s="1"/>
      <c r="D86"/>
      <c r="E86" s="1"/>
      <c r="F86" s="1"/>
      <c r="G86" s="1"/>
      <c r="H86" s="1"/>
      <c r="I86" s="1"/>
      <c r="J86" s="1"/>
      <c r="K86"/>
      <c r="O86"/>
    </row>
    <row r="87" spans="2:15" x14ac:dyDescent="0.35">
      <c r="B87" s="1"/>
      <c r="D87"/>
      <c r="E87" s="1"/>
      <c r="F87" s="1"/>
      <c r="G87" s="1"/>
      <c r="H87" s="1"/>
      <c r="I87" s="1"/>
      <c r="J87" s="1"/>
      <c r="K87"/>
      <c r="O87"/>
    </row>
    <row r="88" spans="2:15" x14ac:dyDescent="0.35">
      <c r="B88" s="1"/>
      <c r="D88"/>
      <c r="E88" s="1"/>
      <c r="F88" s="1"/>
      <c r="G88" s="1"/>
      <c r="H88" s="1"/>
      <c r="I88" s="1"/>
      <c r="J88" s="1"/>
      <c r="K88"/>
      <c r="O88"/>
    </row>
    <row r="89" spans="2:15" x14ac:dyDescent="0.35">
      <c r="B89" s="1"/>
      <c r="D89"/>
      <c r="E89" s="1"/>
      <c r="F89" s="1"/>
      <c r="G89" s="1"/>
      <c r="H89" s="1"/>
      <c r="I89" s="1"/>
      <c r="J89" s="1"/>
      <c r="K89"/>
      <c r="O89"/>
    </row>
    <row r="90" spans="2:15" x14ac:dyDescent="0.35">
      <c r="B90" s="1"/>
      <c r="D90"/>
      <c r="E90" s="1"/>
      <c r="F90" s="1"/>
      <c r="G90" s="1"/>
      <c r="H90" s="1"/>
      <c r="I90" s="1"/>
      <c r="J90" s="1"/>
      <c r="K90"/>
      <c r="O90"/>
    </row>
  </sheetData>
  <mergeCells count="37">
    <mergeCell ref="D66:I66"/>
    <mergeCell ref="A38:A44"/>
    <mergeCell ref="B41:B42"/>
    <mergeCell ref="C41:C42"/>
    <mergeCell ref="D44:I44"/>
    <mergeCell ref="A45:A51"/>
    <mergeCell ref="B48:B49"/>
    <mergeCell ref="C48:C49"/>
    <mergeCell ref="D51:I51"/>
    <mergeCell ref="A52:A58"/>
    <mergeCell ref="B55:B56"/>
    <mergeCell ref="C55:C56"/>
    <mergeCell ref="D58:I58"/>
    <mergeCell ref="A59:O59"/>
    <mergeCell ref="A17:A23"/>
    <mergeCell ref="B20:B21"/>
    <mergeCell ref="C20:C21"/>
    <mergeCell ref="D23:I23"/>
    <mergeCell ref="D30:I30"/>
    <mergeCell ref="A24:A30"/>
    <mergeCell ref="B27:B28"/>
    <mergeCell ref="C27:C28"/>
    <mergeCell ref="A31:A37"/>
    <mergeCell ref="B34:B35"/>
    <mergeCell ref="C34:C35"/>
    <mergeCell ref="D37:I37"/>
    <mergeCell ref="A1:O1"/>
    <mergeCell ref="B2:C2"/>
    <mergeCell ref="K2:O2"/>
    <mergeCell ref="A10:A16"/>
    <mergeCell ref="B13:B14"/>
    <mergeCell ref="C13:C14"/>
    <mergeCell ref="D16:I16"/>
    <mergeCell ref="D9:I9"/>
    <mergeCell ref="C6:C7"/>
    <mergeCell ref="B6:B7"/>
    <mergeCell ref="A3:A9"/>
  </mergeCells>
  <conditionalFormatting sqref="E61:I65">
    <cfRule type="cellIs" dxfId="93" priority="46" operator="lessThan">
      <formula>0</formula>
    </cfRule>
  </conditionalFormatting>
  <conditionalFormatting sqref="E67:E71">
    <cfRule type="cellIs" dxfId="92" priority="45" operator="lessThan">
      <formula>0</formula>
    </cfRule>
  </conditionalFormatting>
  <conditionalFormatting sqref="F67:F71">
    <cfRule type="cellIs" dxfId="91" priority="44" operator="lessThan">
      <formula>0</formula>
    </cfRule>
  </conditionalFormatting>
  <conditionalFormatting sqref="G67:G71">
    <cfRule type="cellIs" dxfId="90" priority="43" operator="lessThan">
      <formula>0</formula>
    </cfRule>
  </conditionalFormatting>
  <conditionalFormatting sqref="I67:I71">
    <cfRule type="cellIs" dxfId="89" priority="42" operator="lessThan">
      <formula>0</formula>
    </cfRule>
  </conditionalFormatting>
  <conditionalFormatting sqref="E73:E77">
    <cfRule type="cellIs" dxfId="88" priority="41" operator="lessThan">
      <formula>0</formula>
    </cfRule>
  </conditionalFormatting>
  <conditionalFormatting sqref="F73:F77">
    <cfRule type="cellIs" dxfId="87" priority="40" operator="lessThan">
      <formula>0</formula>
    </cfRule>
  </conditionalFormatting>
  <conditionalFormatting sqref="G73:G77">
    <cfRule type="cellIs" dxfId="86" priority="39" operator="lessThan">
      <formula>0</formula>
    </cfRule>
  </conditionalFormatting>
  <conditionalFormatting sqref="I73:I77">
    <cfRule type="cellIs" dxfId="85" priority="38" operator="lessThan">
      <formula>0</formula>
    </cfRule>
  </conditionalFormatting>
  <conditionalFormatting sqref="E79:E83">
    <cfRule type="cellIs" dxfId="84" priority="37" operator="lessThan">
      <formula>0</formula>
    </cfRule>
  </conditionalFormatting>
  <conditionalFormatting sqref="F79:F83">
    <cfRule type="cellIs" dxfId="83" priority="36" operator="lessThan">
      <formula>0</formula>
    </cfRule>
  </conditionalFormatting>
  <conditionalFormatting sqref="G79:G83">
    <cfRule type="cellIs" dxfId="82" priority="35" operator="lessThan">
      <formula>0</formula>
    </cfRule>
  </conditionalFormatting>
  <conditionalFormatting sqref="I79:I83">
    <cfRule type="cellIs" dxfId="81" priority="34" operator="lessThan">
      <formula>0</formula>
    </cfRule>
  </conditionalFormatting>
  <conditionalFormatting sqref="H67:H71">
    <cfRule type="cellIs" dxfId="80" priority="33" operator="lessThan">
      <formula>0</formula>
    </cfRule>
  </conditionalFormatting>
  <conditionalFormatting sqref="F3">
    <cfRule type="cellIs" dxfId="79" priority="32" operator="lessThan">
      <formula>0</formula>
    </cfRule>
  </conditionalFormatting>
  <conditionalFormatting sqref="E3:G7 I3:J7">
    <cfRule type="cellIs" dxfId="78" priority="31" operator="lessThan">
      <formula>0</formula>
    </cfRule>
  </conditionalFormatting>
  <conditionalFormatting sqref="H3:H7">
    <cfRule type="cellIs" dxfId="77" priority="30" operator="lessThan">
      <formula>0</formula>
    </cfRule>
  </conditionalFormatting>
  <conditionalFormatting sqref="E8:I8">
    <cfRule type="cellIs" dxfId="76" priority="29" operator="lessThan">
      <formula>0</formula>
    </cfRule>
  </conditionalFormatting>
  <conditionalFormatting sqref="F10">
    <cfRule type="cellIs" dxfId="75" priority="28" operator="lessThan">
      <formula>0</formula>
    </cfRule>
  </conditionalFormatting>
  <conditionalFormatting sqref="E10:G14 I10:J14">
    <cfRule type="cellIs" dxfId="74" priority="27" operator="lessThan">
      <formula>0</formula>
    </cfRule>
  </conditionalFormatting>
  <conditionalFormatting sqref="H10:H14">
    <cfRule type="cellIs" dxfId="73" priority="26" operator="lessThan">
      <formula>0</formula>
    </cfRule>
  </conditionalFormatting>
  <conditionalFormatting sqref="E15:I15">
    <cfRule type="cellIs" dxfId="72" priority="25" operator="lessThan">
      <formula>0</formula>
    </cfRule>
  </conditionalFormatting>
  <conditionalFormatting sqref="F24">
    <cfRule type="cellIs" dxfId="71" priority="24" operator="lessThan">
      <formula>0</formula>
    </cfRule>
  </conditionalFormatting>
  <conditionalFormatting sqref="E24:G28 I24:J28">
    <cfRule type="cellIs" dxfId="70" priority="23" operator="lessThan">
      <formula>0</formula>
    </cfRule>
  </conditionalFormatting>
  <conditionalFormatting sqref="H24:H28">
    <cfRule type="cellIs" dxfId="69" priority="22" operator="lessThan">
      <formula>0</formula>
    </cfRule>
  </conditionalFormatting>
  <conditionalFormatting sqref="E29:I29">
    <cfRule type="cellIs" dxfId="68" priority="21" operator="lessThan">
      <formula>0</formula>
    </cfRule>
  </conditionalFormatting>
  <conditionalFormatting sqref="F45">
    <cfRule type="cellIs" dxfId="67" priority="20" operator="lessThan">
      <formula>0</formula>
    </cfRule>
  </conditionalFormatting>
  <conditionalFormatting sqref="E45:G49 I45:J49">
    <cfRule type="cellIs" dxfId="66" priority="19" operator="lessThan">
      <formula>0</formula>
    </cfRule>
  </conditionalFormatting>
  <conditionalFormatting sqref="H45:H49">
    <cfRule type="cellIs" dxfId="65" priority="18" operator="lessThan">
      <formula>0</formula>
    </cfRule>
  </conditionalFormatting>
  <conditionalFormatting sqref="E50:I50">
    <cfRule type="cellIs" dxfId="64" priority="17" operator="lessThan">
      <formula>0</formula>
    </cfRule>
  </conditionalFormatting>
  <conditionalFormatting sqref="E17:J21">
    <cfRule type="cellIs" dxfId="63" priority="16" operator="lessThan">
      <formula>0</formula>
    </cfRule>
  </conditionalFormatting>
  <conditionalFormatting sqref="E22:I22">
    <cfRule type="cellIs" dxfId="62" priority="15" operator="lessThan">
      <formula>0</formula>
    </cfRule>
  </conditionalFormatting>
  <conditionalFormatting sqref="F31">
    <cfRule type="cellIs" dxfId="61" priority="14" operator="lessThan">
      <formula>0</formula>
    </cfRule>
  </conditionalFormatting>
  <conditionalFormatting sqref="E31:G35 I31:J35">
    <cfRule type="cellIs" dxfId="60" priority="13" operator="lessThan">
      <formula>0</formula>
    </cfRule>
  </conditionalFormatting>
  <conditionalFormatting sqref="H31:H35">
    <cfRule type="cellIs" dxfId="59" priority="12" operator="lessThan">
      <formula>0</formula>
    </cfRule>
  </conditionalFormatting>
  <conditionalFormatting sqref="E36:I36">
    <cfRule type="cellIs" dxfId="58" priority="11" operator="lessThan">
      <formula>0</formula>
    </cfRule>
  </conditionalFormatting>
  <conditionalFormatting sqref="F38">
    <cfRule type="cellIs" dxfId="57" priority="10" operator="lessThan">
      <formula>0</formula>
    </cfRule>
  </conditionalFormatting>
  <conditionalFormatting sqref="E38:G38 I38:J42 E40:G40 F39:G39 E42:G42 F41:G41">
    <cfRule type="cellIs" dxfId="56" priority="9" operator="lessThan">
      <formula>0</formula>
    </cfRule>
  </conditionalFormatting>
  <conditionalFormatting sqref="H38:H42">
    <cfRule type="cellIs" dxfId="55" priority="8" operator="lessThan">
      <formula>0</formula>
    </cfRule>
  </conditionalFormatting>
  <conditionalFormatting sqref="E43:I43">
    <cfRule type="cellIs" dxfId="54" priority="7" operator="lessThan">
      <formula>0</formula>
    </cfRule>
  </conditionalFormatting>
  <conditionalFormatting sqref="E39">
    <cfRule type="cellIs" dxfId="53" priority="6" operator="lessThan">
      <formula>0</formula>
    </cfRule>
  </conditionalFormatting>
  <conditionalFormatting sqref="E41">
    <cfRule type="cellIs" dxfId="52" priority="5" operator="lessThan">
      <formula>0</formula>
    </cfRule>
  </conditionalFormatting>
  <conditionalFormatting sqref="F52">
    <cfRule type="cellIs" dxfId="51" priority="4" operator="lessThan">
      <formula>0</formula>
    </cfRule>
  </conditionalFormatting>
  <conditionalFormatting sqref="E52:G56 I52:J56">
    <cfRule type="cellIs" dxfId="50" priority="3" operator="lessThan">
      <formula>0</formula>
    </cfRule>
  </conditionalFormatting>
  <conditionalFormatting sqref="H52:H56">
    <cfRule type="cellIs" dxfId="49" priority="2" operator="lessThan">
      <formula>0</formula>
    </cfRule>
  </conditionalFormatting>
  <conditionalFormatting sqref="E57:I57">
    <cfRule type="cellIs" dxfId="48" priority="1" operator="lessThan">
      <formula>0</formula>
    </cfRule>
  </conditionalFormatting>
  <pageMargins left="0.25" right="0.25" top="0.75" bottom="0.75" header="0.3" footer="0.3"/>
  <pageSetup scale="25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C5072-30A9-45AE-9B1A-E6A7AB2515F7}">
  <sheetPr>
    <pageSetUpPr fitToPage="1"/>
  </sheetPr>
  <dimension ref="A1:P83"/>
  <sheetViews>
    <sheetView workbookViewId="0">
      <selection activeCell="Q22" sqref="Q22"/>
    </sheetView>
  </sheetViews>
  <sheetFormatPr defaultRowHeight="14.5" x14ac:dyDescent="0.35"/>
  <cols>
    <col min="1" max="1" width="4" style="1" customWidth="1"/>
    <col min="2" max="2" width="14.81640625" style="3" customWidth="1"/>
    <col min="3" max="3" width="60.36328125" customWidth="1"/>
    <col min="4" max="4" width="10.26953125" style="2" customWidth="1"/>
    <col min="5" max="5" width="10.36328125" style="7" customWidth="1"/>
    <col min="6" max="7" width="10.36328125" style="3" customWidth="1"/>
    <col min="8" max="10" width="10.36328125" style="10" customWidth="1"/>
    <col min="11" max="11" width="13.81640625" style="12" customWidth="1"/>
    <col min="12" max="14" width="13.81640625" customWidth="1"/>
    <col min="15" max="15" width="13.81640625" style="13" customWidth="1"/>
    <col min="16" max="16" width="14.90625" customWidth="1"/>
  </cols>
  <sheetData>
    <row r="1" spans="1:15" ht="19" thickBot="1" x14ac:dyDescent="0.4">
      <c r="A1" s="209" t="s">
        <v>262</v>
      </c>
      <c r="B1" s="209"/>
      <c r="C1" s="209"/>
      <c r="D1" s="209"/>
      <c r="E1" s="209"/>
      <c r="F1" s="209"/>
      <c r="G1" s="209"/>
      <c r="H1" s="209"/>
      <c r="I1" s="209"/>
      <c r="J1" s="209"/>
      <c r="K1" s="209"/>
      <c r="L1" s="209"/>
      <c r="M1" s="209"/>
      <c r="N1" s="209"/>
      <c r="O1" s="209"/>
    </row>
    <row r="2" spans="1:15" ht="58" customHeight="1" thickBot="1" x14ac:dyDescent="0.4">
      <c r="A2" s="39" t="s">
        <v>7</v>
      </c>
      <c r="B2" s="210" t="s">
        <v>48</v>
      </c>
      <c r="C2" s="211"/>
      <c r="D2" s="40" t="s">
        <v>5</v>
      </c>
      <c r="E2" s="39" t="s">
        <v>6</v>
      </c>
      <c r="F2" s="41" t="s">
        <v>37</v>
      </c>
      <c r="G2" s="41" t="s">
        <v>38</v>
      </c>
      <c r="H2" s="42" t="s">
        <v>43</v>
      </c>
      <c r="I2" s="43" t="s">
        <v>41</v>
      </c>
      <c r="J2" s="43" t="s">
        <v>40</v>
      </c>
      <c r="K2" s="212" t="s">
        <v>42</v>
      </c>
      <c r="L2" s="213"/>
      <c r="M2" s="213"/>
      <c r="N2" s="213"/>
      <c r="O2" s="214"/>
    </row>
    <row r="3" spans="1:15" ht="15" hidden="1" thickBot="1" x14ac:dyDescent="0.4">
      <c r="A3" s="206" t="s">
        <v>92</v>
      </c>
      <c r="B3" s="6" t="s">
        <v>0</v>
      </c>
      <c r="C3" s="5" t="s">
        <v>91</v>
      </c>
      <c r="D3" s="14" t="s">
        <v>4</v>
      </c>
      <c r="E3" s="34">
        <v>-0.183743773216406</v>
      </c>
      <c r="F3" s="34">
        <v>5.6315820568995999E-2</v>
      </c>
      <c r="G3" s="35">
        <v>-1.1858839838747E-2</v>
      </c>
      <c r="H3" s="36">
        <f>0.101629192867562*100</f>
        <v>10.1629192867562</v>
      </c>
      <c r="I3" s="36">
        <f>-0.0252948527919822*100</f>
        <v>-2.5294852791982203</v>
      </c>
      <c r="J3" s="36">
        <f>I3</f>
        <v>-2.5294852791982203</v>
      </c>
      <c r="K3" s="17"/>
      <c r="L3" s="5"/>
      <c r="M3" s="5"/>
      <c r="N3" s="5"/>
      <c r="O3" s="18"/>
    </row>
    <row r="4" spans="1:15" ht="15" hidden="1" thickBot="1" x14ac:dyDescent="0.4">
      <c r="A4" s="207"/>
      <c r="B4" s="3" t="s">
        <v>2</v>
      </c>
      <c r="C4" s="49" t="s">
        <v>73</v>
      </c>
      <c r="D4" s="15" t="s">
        <v>12</v>
      </c>
      <c r="E4" s="33">
        <v>0.58293380039882903</v>
      </c>
      <c r="F4" s="37">
        <v>3.2315480968553002E-2</v>
      </c>
      <c r="G4" s="37">
        <v>1.8486202241653E-2</v>
      </c>
      <c r="H4" s="38">
        <f>0.0623928091987129*100</f>
        <v>6.2392809198712902</v>
      </c>
      <c r="I4" s="38">
        <f>0.0347520435047181*100</f>
        <v>3.4752043504718095</v>
      </c>
      <c r="J4" s="38">
        <f>J3+I4</f>
        <v>0.94571907127358923</v>
      </c>
    </row>
    <row r="5" spans="1:15" ht="15" hidden="1" thickBot="1" x14ac:dyDescent="0.4">
      <c r="A5" s="207"/>
      <c r="B5" s="3" t="s">
        <v>67</v>
      </c>
      <c r="C5" s="51" t="s">
        <v>66</v>
      </c>
      <c r="D5" s="15" t="s">
        <v>13</v>
      </c>
      <c r="E5" s="33">
        <v>-0.12557260382163901</v>
      </c>
      <c r="F5" s="37">
        <v>9.2990996406563997E-2</v>
      </c>
      <c r="G5" s="37">
        <v>-1.5842136969423E-2</v>
      </c>
      <c r="H5" s="38">
        <f>0.12402104252372*100</f>
        <v>12.402104252372</v>
      </c>
      <c r="I5" s="38">
        <f>-0.0373309267602238*100</f>
        <v>-3.7330926760223799</v>
      </c>
      <c r="J5" s="38">
        <f t="shared" ref="J5:J7" si="0">J4+I5</f>
        <v>-2.7873736047487907</v>
      </c>
    </row>
    <row r="6" spans="1:15" ht="15" hidden="1" thickBot="1" x14ac:dyDescent="0.4">
      <c r="A6" s="207"/>
      <c r="B6" s="198" t="s">
        <v>49</v>
      </c>
      <c r="C6" s="199" t="s">
        <v>111</v>
      </c>
      <c r="D6" s="15" t="s">
        <v>14</v>
      </c>
      <c r="E6" s="22">
        <v>1.2507718263755601</v>
      </c>
      <c r="F6" s="37">
        <v>8.7931690796278994E-2</v>
      </c>
      <c r="G6" s="37">
        <v>0.11193374958336801</v>
      </c>
      <c r="H6" s="38">
        <f>0.101135022984286*100</f>
        <v>10.1135022984286</v>
      </c>
      <c r="I6" s="38">
        <f>0.216921048008893*100</f>
        <v>21.6921048008893</v>
      </c>
      <c r="J6" s="38">
        <f t="shared" si="0"/>
        <v>18.90473119614051</v>
      </c>
    </row>
    <row r="7" spans="1:15" ht="15" hidden="1" thickBot="1" x14ac:dyDescent="0.4">
      <c r="A7" s="207"/>
      <c r="B7" s="198"/>
      <c r="C7" s="199"/>
      <c r="D7" s="16" t="s">
        <v>11</v>
      </c>
      <c r="E7" s="22">
        <v>1.2958767120602299</v>
      </c>
      <c r="F7" s="37">
        <v>0.122159100865405</v>
      </c>
      <c r="G7" s="37">
        <v>0.16272802692962199</v>
      </c>
      <c r="H7" s="38">
        <f>0.151017080689432*100</f>
        <v>15.101708068943202</v>
      </c>
      <c r="I7" s="45">
        <f>0.316893404717963*100</f>
        <v>31.689340471796299</v>
      </c>
      <c r="J7" s="45">
        <f t="shared" si="0"/>
        <v>50.594071667936809</v>
      </c>
    </row>
    <row r="8" spans="1:15" ht="15" hidden="1" thickBot="1" x14ac:dyDescent="0.4">
      <c r="A8" s="207"/>
      <c r="B8" s="3" t="s">
        <v>64</v>
      </c>
      <c r="C8" t="s">
        <v>65</v>
      </c>
      <c r="D8" s="52" t="s">
        <v>54</v>
      </c>
      <c r="E8" s="4">
        <f>AVERAGE(E3:E7)</f>
        <v>0.56405319235931484</v>
      </c>
      <c r="F8" s="4">
        <f>AVERAGE(F3:F7)</f>
        <v>7.8342617921159402E-2</v>
      </c>
      <c r="G8" s="4">
        <f>AVERAGE(G3:G7)</f>
        <v>5.3089400389294591E-2</v>
      </c>
      <c r="H8" s="4">
        <f>AVERAGE(H3:H7)</f>
        <v>10.803902965274258</v>
      </c>
      <c r="I8" s="4">
        <f>AVERAGE(I3:I7)</f>
        <v>10.118814333587363</v>
      </c>
      <c r="J8" s="64"/>
      <c r="K8"/>
    </row>
    <row r="9" spans="1:15" ht="15" hidden="1" thickBot="1" x14ac:dyDescent="0.4">
      <c r="A9" s="208"/>
      <c r="B9" s="8" t="s">
        <v>8</v>
      </c>
      <c r="C9" s="53" t="s">
        <v>72</v>
      </c>
      <c r="D9" s="200" t="s">
        <v>98</v>
      </c>
      <c r="E9" s="201"/>
      <c r="F9" s="201"/>
      <c r="G9" s="201"/>
      <c r="H9" s="201"/>
      <c r="I9" s="202"/>
      <c r="J9" s="63">
        <f>((AVERAGE(E3:E7))/STDEVP(E3:E7))</f>
        <v>0.8825645930337106</v>
      </c>
      <c r="K9" s="20"/>
      <c r="L9" s="20"/>
      <c r="M9" s="20"/>
      <c r="N9" s="20"/>
      <c r="O9" s="21"/>
    </row>
    <row r="10" spans="1:15" ht="15" hidden="1" thickBot="1" x14ac:dyDescent="0.4">
      <c r="A10" s="206" t="s">
        <v>100</v>
      </c>
      <c r="B10" s="6" t="s">
        <v>0</v>
      </c>
      <c r="C10" s="5" t="s">
        <v>101</v>
      </c>
      <c r="D10" s="14" t="s">
        <v>4</v>
      </c>
      <c r="E10" s="46">
        <v>1.08016821041124</v>
      </c>
      <c r="F10" s="46">
        <v>0.13447568151898301</v>
      </c>
      <c r="G10" s="35">
        <v>0.14598066851009001</v>
      </c>
      <c r="H10" s="36">
        <f>0.0898741516800382*100</f>
        <v>8.987415168003821</v>
      </c>
      <c r="I10" s="36">
        <f>0.13607633236466*100</f>
        <v>13.607633236465999</v>
      </c>
      <c r="J10" s="36">
        <f>I10</f>
        <v>13.607633236465999</v>
      </c>
      <c r="K10" s="17"/>
      <c r="L10" s="5"/>
      <c r="M10" s="5"/>
      <c r="N10" s="5"/>
      <c r="O10" s="18"/>
    </row>
    <row r="11" spans="1:15" ht="15" hidden="1" thickBot="1" x14ac:dyDescent="0.4">
      <c r="A11" s="207"/>
      <c r="B11" s="3" t="s">
        <v>2</v>
      </c>
      <c r="C11" s="49" t="s">
        <v>73</v>
      </c>
      <c r="D11" s="15" t="s">
        <v>12</v>
      </c>
      <c r="E11" s="33">
        <v>1.1860493119302</v>
      </c>
      <c r="F11" s="37">
        <v>4.2993163361283997E-2</v>
      </c>
      <c r="G11" s="37">
        <v>5.1340787020678E-2</v>
      </c>
      <c r="H11" s="38">
        <f>0.0195466980662462*100</f>
        <v>1.95466980662462</v>
      </c>
      <c r="I11" s="38">
        <f>0.0478364340047154*100</f>
        <v>4.78364340047154</v>
      </c>
      <c r="J11" s="38">
        <f>J10+I11</f>
        <v>18.39127663693754</v>
      </c>
    </row>
    <row r="12" spans="1:15" ht="15" hidden="1" thickBot="1" x14ac:dyDescent="0.4">
      <c r="A12" s="207"/>
      <c r="B12" s="3" t="s">
        <v>67</v>
      </c>
      <c r="C12" s="51" t="s">
        <v>66</v>
      </c>
      <c r="D12" s="15" t="s">
        <v>13</v>
      </c>
      <c r="E12" s="33">
        <v>-0.65115512740932302</v>
      </c>
      <c r="F12" s="37">
        <v>0.170838130722964</v>
      </c>
      <c r="G12" s="37">
        <v>-0.118267902358135</v>
      </c>
      <c r="H12" s="38">
        <f>0.213841274965724*100</f>
        <v>21.3841274965724</v>
      </c>
      <c r="I12" s="38">
        <f>-0.109878110030031*100</f>
        <v>-10.987811003003101</v>
      </c>
      <c r="J12" s="38">
        <f t="shared" ref="J12:J14" si="1">J11+I12</f>
        <v>7.4034656339344398</v>
      </c>
    </row>
    <row r="13" spans="1:15" ht="15" hidden="1" thickBot="1" x14ac:dyDescent="0.4">
      <c r="A13" s="207"/>
      <c r="B13" s="198" t="s">
        <v>49</v>
      </c>
      <c r="C13" s="199" t="s">
        <v>111</v>
      </c>
      <c r="D13" s="15" t="s">
        <v>14</v>
      </c>
      <c r="E13" s="33">
        <v>1.4006217953380899</v>
      </c>
      <c r="F13" s="37">
        <v>0.12613054971533999</v>
      </c>
      <c r="G13" s="37">
        <v>0.183725339341271</v>
      </c>
      <c r="H13" s="38">
        <f>0.0831125645346547*100</f>
        <v>8.3112564534654698</v>
      </c>
      <c r="I13" s="38">
        <f>0.17084728087487*100</f>
        <v>17.084728087487001</v>
      </c>
      <c r="J13" s="38">
        <f t="shared" si="1"/>
        <v>24.488193721421439</v>
      </c>
    </row>
    <row r="14" spans="1:15" ht="15" hidden="1" thickBot="1" x14ac:dyDescent="0.4">
      <c r="A14" s="207"/>
      <c r="B14" s="198"/>
      <c r="C14" s="199"/>
      <c r="D14" s="16" t="s">
        <v>11</v>
      </c>
      <c r="E14" s="33">
        <v>0.53267281339680095</v>
      </c>
      <c r="F14" s="37">
        <v>0.33015996602439002</v>
      </c>
      <c r="G14" s="37">
        <v>0.12885986900413501</v>
      </c>
      <c r="H14" s="65">
        <f>0.291193956660585*100</f>
        <v>29.119395666058502</v>
      </c>
      <c r="I14" s="38">
        <f>0.123519570010148*100</f>
        <v>12.351957001014799</v>
      </c>
      <c r="J14" s="45">
        <f t="shared" si="1"/>
        <v>36.840150722436235</v>
      </c>
    </row>
    <row r="15" spans="1:15" ht="15" hidden="1" thickBot="1" x14ac:dyDescent="0.4">
      <c r="A15" s="207"/>
      <c r="B15" s="3" t="s">
        <v>64</v>
      </c>
      <c r="C15" t="s">
        <v>65</v>
      </c>
      <c r="D15" s="52" t="s">
        <v>54</v>
      </c>
      <c r="E15" s="67">
        <f>AVERAGE(E10:E14)</f>
        <v>0.70967140073340151</v>
      </c>
      <c r="F15" s="4">
        <f>AVERAGE(F10:F14)</f>
        <v>0.1609194982685922</v>
      </c>
      <c r="G15" s="4">
        <f>AVERAGE(G10:G14)</f>
        <v>7.8327752303607806E-2</v>
      </c>
      <c r="H15" s="4">
        <f>AVERAGE(H10:H14)</f>
        <v>13.95137291814496</v>
      </c>
      <c r="I15" s="4">
        <f>AVERAGE(I10:I14)</f>
        <v>7.3680301444872471</v>
      </c>
      <c r="J15" s="64"/>
      <c r="K15"/>
    </row>
    <row r="16" spans="1:15" ht="15" hidden="1" thickBot="1" x14ac:dyDescent="0.4">
      <c r="A16" s="208"/>
      <c r="B16" s="8" t="s">
        <v>8</v>
      </c>
      <c r="C16" s="48" t="s">
        <v>103</v>
      </c>
      <c r="D16" s="200" t="s">
        <v>107</v>
      </c>
      <c r="E16" s="201"/>
      <c r="F16" s="201"/>
      <c r="G16" s="201"/>
      <c r="H16" s="201"/>
      <c r="I16" s="202"/>
      <c r="J16" s="63">
        <f>((AVERAGE(E10:E14))/STDEVP(E10:E14))</f>
        <v>0.96133665446918326</v>
      </c>
      <c r="K16" s="20"/>
      <c r="L16" s="20"/>
      <c r="M16" s="20"/>
      <c r="N16" s="20"/>
      <c r="O16" s="21"/>
    </row>
    <row r="17" spans="1:16" x14ac:dyDescent="0.35">
      <c r="A17" s="221" t="s">
        <v>116</v>
      </c>
      <c r="B17" s="6" t="s">
        <v>0</v>
      </c>
      <c r="C17" s="5" t="s">
        <v>115</v>
      </c>
      <c r="D17" s="14" t="s">
        <v>4</v>
      </c>
      <c r="E17" s="34">
        <v>0.61566824809832899</v>
      </c>
      <c r="F17" s="35">
        <v>7.5316369639063005E-2</v>
      </c>
      <c r="G17" s="35">
        <v>4.4521881337645001E-2</v>
      </c>
      <c r="H17" s="36">
        <f>0.0835713725930654*100</f>
        <v>8.3571372593065387</v>
      </c>
      <c r="I17" s="36">
        <f>0.0736041363710569*100</f>
        <v>7.3604136371056894</v>
      </c>
      <c r="J17" s="36">
        <f>I17</f>
        <v>7.3604136371056894</v>
      </c>
      <c r="K17" s="17"/>
      <c r="L17" s="5"/>
      <c r="M17" s="5"/>
      <c r="N17" s="5"/>
      <c r="O17" s="18"/>
    </row>
    <row r="18" spans="1:16" x14ac:dyDescent="0.35">
      <c r="A18" s="222"/>
      <c r="B18" s="3" t="s">
        <v>2</v>
      </c>
      <c r="C18" s="49" t="s">
        <v>73</v>
      </c>
      <c r="D18" s="15" t="s">
        <v>12</v>
      </c>
      <c r="E18" s="55">
        <v>2.7085949090116199</v>
      </c>
      <c r="F18" s="37">
        <v>3.3215707955426998E-2</v>
      </c>
      <c r="G18" s="37">
        <v>9.3520381342915002E-2</v>
      </c>
      <c r="H18" s="38">
        <f>0.033386541624485*100</f>
        <v>3.3386541624484996</v>
      </c>
      <c r="I18" s="38">
        <f>0.164132188693522*100</f>
        <v>16.4132188693522</v>
      </c>
      <c r="J18" s="38">
        <f>J17+I18</f>
        <v>23.77363250645789</v>
      </c>
    </row>
    <row r="19" spans="1:16" x14ac:dyDescent="0.35">
      <c r="A19" s="222"/>
      <c r="B19" s="3" t="s">
        <v>67</v>
      </c>
      <c r="C19" s="51" t="s">
        <v>66</v>
      </c>
      <c r="D19" s="15" t="s">
        <v>13</v>
      </c>
      <c r="E19" s="33">
        <v>0.96898750674854806</v>
      </c>
      <c r="F19" s="37">
        <v>9.3935265451814007E-2</v>
      </c>
      <c r="G19" s="37">
        <v>9.0486409797346998E-2</v>
      </c>
      <c r="H19" s="38">
        <f>0.120762831340867*100</f>
        <v>12.076283134086701</v>
      </c>
      <c r="I19" s="38">
        <f>0.153298192348501*100</f>
        <v>15.329819234850101</v>
      </c>
      <c r="J19" s="38">
        <f t="shared" ref="J19:J21" si="2">J18+I19</f>
        <v>39.103451741307993</v>
      </c>
    </row>
    <row r="20" spans="1:16" x14ac:dyDescent="0.35">
      <c r="A20" s="222"/>
      <c r="B20" s="198" t="s">
        <v>49</v>
      </c>
      <c r="C20" s="199" t="s">
        <v>111</v>
      </c>
      <c r="D20" s="15" t="s">
        <v>14</v>
      </c>
      <c r="E20" s="55">
        <v>1.76131071896911</v>
      </c>
      <c r="F20" s="37">
        <v>7.0046175990468001E-2</v>
      </c>
      <c r="G20" s="37">
        <v>0.12852532044357501</v>
      </c>
      <c r="H20" s="38">
        <f>0.0685931165698085*100</f>
        <v>6.8593116569808501</v>
      </c>
      <c r="I20" s="38">
        <f>0.2257040657066*100</f>
        <v>22.570406570660001</v>
      </c>
      <c r="J20" s="38">
        <f t="shared" si="2"/>
        <v>61.67385831196799</v>
      </c>
    </row>
    <row r="21" spans="1:16" ht="15" thickBot="1" x14ac:dyDescent="0.4">
      <c r="A21" s="222"/>
      <c r="B21" s="198"/>
      <c r="C21" s="199"/>
      <c r="D21" s="16" t="s">
        <v>11</v>
      </c>
      <c r="E21" s="33">
        <v>0.50360631081482798</v>
      </c>
      <c r="F21" s="37">
        <v>0.16670934278777799</v>
      </c>
      <c r="G21" s="37">
        <v>7.2504098139415996E-2</v>
      </c>
      <c r="H21" s="38">
        <f>0.219023396715916*100</f>
        <v>21.902339671591601</v>
      </c>
      <c r="I21" s="38">
        <f>0.107854220912377*100</f>
        <v>10.785422091237699</v>
      </c>
      <c r="J21" s="50">
        <f t="shared" si="2"/>
        <v>72.459280403205696</v>
      </c>
    </row>
    <row r="22" spans="1:16" ht="15" thickBot="1" x14ac:dyDescent="0.4">
      <c r="A22" s="222"/>
      <c r="B22" s="3" t="s">
        <v>64</v>
      </c>
      <c r="C22" s="66" t="s">
        <v>117</v>
      </c>
      <c r="D22" s="52" t="s">
        <v>54</v>
      </c>
      <c r="E22" s="54">
        <f>AVERAGE(E17:E21)</f>
        <v>1.3116335387284868</v>
      </c>
      <c r="F22" s="4">
        <f>AVERAGE(F17:F21)</f>
        <v>8.7844572364910001E-2</v>
      </c>
      <c r="G22" s="4">
        <f>AVERAGE(G17:G21)</f>
        <v>8.5911618212179602E-2</v>
      </c>
      <c r="H22" s="54">
        <f>AVERAGE(H17:H21)</f>
        <v>10.506745176882839</v>
      </c>
      <c r="I22" s="54">
        <f>AVERAGE(I17:I21)</f>
        <v>14.491856080641139</v>
      </c>
      <c r="J22" s="64"/>
      <c r="K22"/>
    </row>
    <row r="23" spans="1:16" ht="15" thickBot="1" x14ac:dyDescent="0.4">
      <c r="A23" s="223"/>
      <c r="B23" s="3" t="s">
        <v>8</v>
      </c>
      <c r="C23" s="53" t="s">
        <v>71</v>
      </c>
      <c r="D23" s="200" t="s">
        <v>98</v>
      </c>
      <c r="E23" s="201"/>
      <c r="F23" s="201"/>
      <c r="G23" s="201"/>
      <c r="H23" s="201"/>
      <c r="I23" s="202"/>
      <c r="J23" s="68">
        <f>((AVERAGE(E17:E21))/STDEVP(E17:E21))</f>
        <v>1.588629806687035</v>
      </c>
      <c r="K23" s="20"/>
      <c r="L23" s="20"/>
      <c r="M23" s="20"/>
      <c r="N23" s="20"/>
      <c r="O23" s="21"/>
    </row>
    <row r="24" spans="1:16" x14ac:dyDescent="0.35">
      <c r="A24" s="203" t="s">
        <v>112</v>
      </c>
      <c r="B24" s="6" t="s">
        <v>0</v>
      </c>
      <c r="C24" s="5" t="s">
        <v>174</v>
      </c>
      <c r="D24" s="14" t="s">
        <v>4</v>
      </c>
      <c r="E24" s="34">
        <v>-0.13067446453033299</v>
      </c>
      <c r="F24" s="34">
        <v>5.3458002210487E-2</v>
      </c>
      <c r="G24" s="35">
        <v>-8.3719915992039994E-3</v>
      </c>
      <c r="H24" s="36">
        <f>0.107217118099844*100</f>
        <v>10.721711809984399</v>
      </c>
      <c r="I24" s="36">
        <f>-0.0141774830080173*100</f>
        <v>-1.41774830080173</v>
      </c>
      <c r="J24" s="36">
        <f>I24</f>
        <v>-1.41774830080173</v>
      </c>
      <c r="K24" s="17"/>
      <c r="L24" s="5"/>
      <c r="M24" s="5"/>
      <c r="N24" s="5"/>
      <c r="O24" s="18"/>
    </row>
    <row r="25" spans="1:16" x14ac:dyDescent="0.35">
      <c r="A25" s="204"/>
      <c r="B25" s="3" t="s">
        <v>2</v>
      </c>
      <c r="C25" s="49" t="s">
        <v>73</v>
      </c>
      <c r="D25" s="15" t="s">
        <v>12</v>
      </c>
      <c r="E25" s="55">
        <v>2.2655544603747599</v>
      </c>
      <c r="F25" s="37">
        <v>3.5572456942423003E-2</v>
      </c>
      <c r="G25" s="37">
        <v>8.3231673245686005E-2</v>
      </c>
      <c r="H25" s="38">
        <f>0.0171915431876838*100</f>
        <v>1.71915431876838</v>
      </c>
      <c r="I25" s="38">
        <f>0.131603519786206*100</f>
        <v>13.1603519786206</v>
      </c>
      <c r="J25" s="38">
        <f>J24+I25</f>
        <v>11.74260367781887</v>
      </c>
    </row>
    <row r="26" spans="1:16" x14ac:dyDescent="0.35">
      <c r="A26" s="204"/>
      <c r="B26" s="3" t="s">
        <v>67</v>
      </c>
      <c r="C26" s="51" t="s">
        <v>66</v>
      </c>
      <c r="D26" s="15" t="s">
        <v>13</v>
      </c>
      <c r="E26" s="33">
        <v>0.78741231079408103</v>
      </c>
      <c r="F26" s="37">
        <v>6.1277217950085998E-2</v>
      </c>
      <c r="G26" s="37">
        <v>4.7473775992270997E-2</v>
      </c>
      <c r="H26" s="38">
        <f>0.0643889247193364*100</f>
        <v>6.4388924719336398</v>
      </c>
      <c r="I26" s="38">
        <f>0.0729870528824876*100</f>
        <v>7.2987052882487591</v>
      </c>
      <c r="J26" s="38">
        <f t="shared" ref="J26:J28" si="3">J25+I26</f>
        <v>19.041308966067628</v>
      </c>
      <c r="P26" t="s">
        <v>266</v>
      </c>
    </row>
    <row r="27" spans="1:16" x14ac:dyDescent="0.35">
      <c r="A27" s="204"/>
      <c r="B27" s="198" t="s">
        <v>49</v>
      </c>
      <c r="C27" s="199" t="s">
        <v>111</v>
      </c>
      <c r="D27" s="15" t="s">
        <v>14</v>
      </c>
      <c r="E27" s="55">
        <v>1.0549643193196101</v>
      </c>
      <c r="F27" s="37">
        <v>7.6328696618534003E-2</v>
      </c>
      <c r="G27" s="37">
        <v>8.0690596025006001E-2</v>
      </c>
      <c r="H27" s="38">
        <f>0.12881050086818*100</f>
        <v>12.881050086818</v>
      </c>
      <c r="I27" s="38">
        <f>0.125258512595395*100</f>
        <v>12.5258512595395</v>
      </c>
      <c r="J27" s="38">
        <f t="shared" si="3"/>
        <v>31.567160225607129</v>
      </c>
    </row>
    <row r="28" spans="1:16" ht="15" thickBot="1" x14ac:dyDescent="0.4">
      <c r="A28" s="204"/>
      <c r="B28" s="198"/>
      <c r="C28" s="199"/>
      <c r="D28" s="16" t="s">
        <v>11</v>
      </c>
      <c r="E28" s="22">
        <v>0.77823332726153105</v>
      </c>
      <c r="F28" s="37">
        <v>0.25619698004076602</v>
      </c>
      <c r="G28" s="37">
        <v>0.18140443181937499</v>
      </c>
      <c r="H28" s="38">
        <f>0.322959886266965*100</f>
        <v>32.295988626696499</v>
      </c>
      <c r="I28" s="45">
        <f>0.259656177991322*100</f>
        <v>25.9656177991322</v>
      </c>
      <c r="J28" s="50">
        <f t="shared" si="3"/>
        <v>57.532778024739329</v>
      </c>
    </row>
    <row r="29" spans="1:16" ht="15" thickBot="1" x14ac:dyDescent="0.4">
      <c r="A29" s="204"/>
      <c r="B29" s="3" t="s">
        <v>64</v>
      </c>
      <c r="C29" t="s">
        <v>118</v>
      </c>
      <c r="D29" s="52" t="s">
        <v>54</v>
      </c>
      <c r="E29" s="4">
        <f>AVERAGE(E24:E28)</f>
        <v>0.95109799064392975</v>
      </c>
      <c r="F29" s="4">
        <f>AVERAGE(F24:F28)</f>
        <v>9.6566670752459199E-2</v>
      </c>
      <c r="G29" s="4">
        <f>AVERAGE(G24:G28)</f>
        <v>7.6885697096626807E-2</v>
      </c>
      <c r="H29" s="4">
        <f>AVERAGE(H24:H28)</f>
        <v>12.811359462840183</v>
      </c>
      <c r="I29" s="4">
        <f>AVERAGE(I24:I28)</f>
        <v>11.506555604947867</v>
      </c>
      <c r="J29" s="64"/>
      <c r="K29"/>
    </row>
    <row r="30" spans="1:16" ht="15" thickBot="1" x14ac:dyDescent="0.4">
      <c r="A30" s="205"/>
      <c r="B30" s="8" t="s">
        <v>8</v>
      </c>
      <c r="C30" s="53" t="s">
        <v>72</v>
      </c>
      <c r="D30" s="200" t="s">
        <v>98</v>
      </c>
      <c r="E30" s="201"/>
      <c r="F30" s="201"/>
      <c r="G30" s="201"/>
      <c r="H30" s="201"/>
      <c r="I30" s="202"/>
      <c r="J30" s="168">
        <f>((AVERAGE(E24:E28))/STDEVP(E24:E28))</f>
        <v>1.2349858201846147</v>
      </c>
      <c r="K30" s="20"/>
      <c r="L30" s="20"/>
      <c r="M30" s="20"/>
      <c r="N30" s="20"/>
      <c r="O30" s="21"/>
    </row>
    <row r="31" spans="1:16" x14ac:dyDescent="0.35">
      <c r="A31" s="203" t="s">
        <v>259</v>
      </c>
      <c r="B31" s="6" t="s">
        <v>0</v>
      </c>
      <c r="C31" s="5" t="s">
        <v>174</v>
      </c>
      <c r="D31" s="14" t="s">
        <v>4</v>
      </c>
      <c r="E31" s="46">
        <v>0.22220413862130201</v>
      </c>
      <c r="F31" s="34">
        <v>7.1763050496466002E-2</v>
      </c>
      <c r="G31" s="35">
        <v>1.3461093805940001E-2</v>
      </c>
      <c r="H31" s="36">
        <v>0.10726071890335701</v>
      </c>
      <c r="I31" s="47">
        <v>1.8001643635264301E-2</v>
      </c>
      <c r="J31" s="36">
        <f>I31</f>
        <v>1.8001643635264301E-2</v>
      </c>
      <c r="K31" s="17"/>
      <c r="L31" s="5"/>
      <c r="M31" s="5"/>
      <c r="N31" s="5"/>
      <c r="O31" s="18"/>
    </row>
    <row r="32" spans="1:16" x14ac:dyDescent="0.35">
      <c r="A32" s="204"/>
      <c r="B32" s="3" t="s">
        <v>2</v>
      </c>
      <c r="C32" s="49" t="s">
        <v>73</v>
      </c>
      <c r="D32" s="15" t="s">
        <v>12</v>
      </c>
      <c r="E32" s="33">
        <v>1.42467479445922</v>
      </c>
      <c r="F32" s="37">
        <v>4.6608795347011997E-2</v>
      </c>
      <c r="G32" s="37">
        <v>6.7490550828543994E-2</v>
      </c>
      <c r="H32" s="38">
        <v>3.93327089476515E-2</v>
      </c>
      <c r="I32" s="38">
        <v>9.9722383257065506E-2</v>
      </c>
      <c r="J32" s="38">
        <f>J31+I32</f>
        <v>0.1177240268923298</v>
      </c>
      <c r="P32" t="s">
        <v>263</v>
      </c>
    </row>
    <row r="33" spans="1:16" x14ac:dyDescent="0.35">
      <c r="A33" s="204"/>
      <c r="B33" s="3" t="s">
        <v>67</v>
      </c>
      <c r="C33" s="51" t="s">
        <v>66</v>
      </c>
      <c r="D33" s="15" t="s">
        <v>13</v>
      </c>
      <c r="E33" s="33">
        <v>-0.51131365432965104</v>
      </c>
      <c r="F33" s="37">
        <v>0.12583486480463901</v>
      </c>
      <c r="G33" s="37">
        <v>-6.9678662603535002E-2</v>
      </c>
      <c r="H33" s="38">
        <v>0.208686558881717</v>
      </c>
      <c r="I33" s="38">
        <v>-0.105369129737552</v>
      </c>
      <c r="J33" s="38">
        <f t="shared" ref="J33:J35" si="4">J32+I33</f>
        <v>1.2354897154777805E-2</v>
      </c>
    </row>
    <row r="34" spans="1:16" x14ac:dyDescent="0.35">
      <c r="A34" s="204"/>
      <c r="B34" s="198" t="s">
        <v>49</v>
      </c>
      <c r="C34" s="199" t="s">
        <v>111</v>
      </c>
      <c r="D34" s="15" t="s">
        <v>14</v>
      </c>
      <c r="E34" s="33">
        <v>0.14880325549906201</v>
      </c>
      <c r="F34" s="37">
        <v>5.8339865399160001E-2</v>
      </c>
      <c r="G34" s="37">
        <v>7.0132254121549999E-3</v>
      </c>
      <c r="H34" s="38">
        <v>9.0313239285347194E-2</v>
      </c>
      <c r="I34" s="38">
        <v>9.1370966510071396E-3</v>
      </c>
      <c r="J34" s="38">
        <f t="shared" si="4"/>
        <v>2.1491993805784947E-2</v>
      </c>
    </row>
    <row r="35" spans="1:16" ht="15" thickBot="1" x14ac:dyDescent="0.4">
      <c r="A35" s="204"/>
      <c r="B35" s="198"/>
      <c r="C35" s="199"/>
      <c r="D35" s="16" t="s">
        <v>11</v>
      </c>
      <c r="E35" s="33">
        <v>1.14495541760233</v>
      </c>
      <c r="F35" s="37">
        <v>0.208721993962421</v>
      </c>
      <c r="G35" s="37">
        <v>0.242363185465576</v>
      </c>
      <c r="H35" s="38">
        <v>0.18656352954108901</v>
      </c>
      <c r="I35" s="45">
        <v>0.35405068191736999</v>
      </c>
      <c r="J35" s="45">
        <f t="shared" si="4"/>
        <v>0.37554267572315492</v>
      </c>
    </row>
    <row r="36" spans="1:16" ht="15" thickBot="1" x14ac:dyDescent="0.4">
      <c r="A36" s="204"/>
      <c r="B36" s="3" t="s">
        <v>64</v>
      </c>
      <c r="C36" t="s">
        <v>258</v>
      </c>
      <c r="D36" s="52" t="s">
        <v>54</v>
      </c>
      <c r="E36" s="4">
        <f>AVERAGE(E31:E35)</f>
        <v>0.4858647903704526</v>
      </c>
      <c r="F36" s="4">
        <f>AVERAGE(F31:F35)</f>
        <v>0.10225371400193958</v>
      </c>
      <c r="G36" s="4">
        <f>AVERAGE(G31:G35)</f>
        <v>5.2129878581735997E-2</v>
      </c>
      <c r="H36" s="4">
        <f>AVERAGE(H31:H35)</f>
        <v>0.12643135111183235</v>
      </c>
      <c r="I36" s="4">
        <f>AVERAGE(I31:I35)</f>
        <v>7.5108535144630978E-2</v>
      </c>
      <c r="J36" s="64"/>
      <c r="K36"/>
    </row>
    <row r="37" spans="1:16" ht="15" thickBot="1" x14ac:dyDescent="0.4">
      <c r="A37" s="205"/>
      <c r="B37" s="8" t="s">
        <v>8</v>
      </c>
      <c r="C37" s="53" t="s">
        <v>72</v>
      </c>
      <c r="D37" s="200" t="s">
        <v>98</v>
      </c>
      <c r="E37" s="201"/>
      <c r="F37" s="201"/>
      <c r="G37" s="201"/>
      <c r="H37" s="201"/>
      <c r="I37" s="202"/>
      <c r="J37" s="168">
        <f>((AVERAGE(E31:E35))/STDEVP(E31:E35))</f>
        <v>0.68804510750697256</v>
      </c>
      <c r="K37" s="20"/>
      <c r="L37" s="20"/>
      <c r="M37" s="20"/>
      <c r="N37" s="20"/>
      <c r="O37" s="21"/>
    </row>
    <row r="38" spans="1:16" x14ac:dyDescent="0.35">
      <c r="A38" s="203" t="s">
        <v>260</v>
      </c>
      <c r="B38" s="6" t="s">
        <v>0</v>
      </c>
      <c r="C38" s="5" t="s">
        <v>174</v>
      </c>
      <c r="D38" s="14" t="s">
        <v>4</v>
      </c>
      <c r="E38" s="46"/>
      <c r="F38" s="46"/>
      <c r="G38" s="35"/>
      <c r="H38" s="36"/>
      <c r="I38" s="36"/>
      <c r="J38" s="36">
        <f>I38</f>
        <v>0</v>
      </c>
      <c r="K38" s="17"/>
      <c r="L38" s="5"/>
      <c r="M38" s="5"/>
      <c r="N38" s="5"/>
      <c r="O38" s="18"/>
    </row>
    <row r="39" spans="1:16" x14ac:dyDescent="0.35">
      <c r="A39" s="204"/>
      <c r="B39" s="3" t="s">
        <v>2</v>
      </c>
      <c r="C39" s="49" t="s">
        <v>73</v>
      </c>
      <c r="D39" s="15" t="s">
        <v>12</v>
      </c>
      <c r="E39" s="33"/>
      <c r="F39" s="37"/>
      <c r="G39" s="37"/>
      <c r="H39" s="38"/>
      <c r="I39" s="38"/>
      <c r="J39" s="38">
        <f>J38+I39</f>
        <v>0</v>
      </c>
    </row>
    <row r="40" spans="1:16" x14ac:dyDescent="0.35">
      <c r="A40" s="204"/>
      <c r="B40" s="3" t="s">
        <v>67</v>
      </c>
      <c r="C40" s="51" t="s">
        <v>66</v>
      </c>
      <c r="D40" s="15" t="s">
        <v>13</v>
      </c>
      <c r="E40" s="33"/>
      <c r="F40" s="37"/>
      <c r="G40" s="37"/>
      <c r="H40" s="38"/>
      <c r="I40" s="38"/>
      <c r="J40" s="38">
        <f t="shared" ref="J40:J42" si="5">J39+I40</f>
        <v>0</v>
      </c>
      <c r="P40" t="s">
        <v>264</v>
      </c>
    </row>
    <row r="41" spans="1:16" x14ac:dyDescent="0.35">
      <c r="A41" s="204"/>
      <c r="B41" s="198" t="s">
        <v>49</v>
      </c>
      <c r="C41" s="199" t="s">
        <v>111</v>
      </c>
      <c r="D41" s="15" t="s">
        <v>14</v>
      </c>
      <c r="E41" s="33"/>
      <c r="F41" s="37"/>
      <c r="G41" s="37"/>
      <c r="H41" s="38"/>
      <c r="I41" s="38"/>
      <c r="J41" s="38">
        <f t="shared" si="5"/>
        <v>0</v>
      </c>
    </row>
    <row r="42" spans="1:16" ht="15" thickBot="1" x14ac:dyDescent="0.4">
      <c r="A42" s="204"/>
      <c r="B42" s="198"/>
      <c r="C42" s="199"/>
      <c r="D42" s="16" t="s">
        <v>11</v>
      </c>
      <c r="E42" s="33"/>
      <c r="F42" s="37"/>
      <c r="G42" s="37"/>
      <c r="H42" s="38"/>
      <c r="I42" s="38"/>
      <c r="J42" s="45">
        <f t="shared" si="5"/>
        <v>0</v>
      </c>
    </row>
    <row r="43" spans="1:16" ht="15" thickBot="1" x14ac:dyDescent="0.4">
      <c r="A43" s="204"/>
      <c r="B43" s="3" t="s">
        <v>64</v>
      </c>
      <c r="C43" t="s">
        <v>258</v>
      </c>
      <c r="D43" s="52" t="s">
        <v>54</v>
      </c>
      <c r="E43" s="67" t="e">
        <f>AVERAGE(E38:E42)</f>
        <v>#DIV/0!</v>
      </c>
      <c r="F43" s="4" t="e">
        <f>AVERAGE(F38:F42)</f>
        <v>#DIV/0!</v>
      </c>
      <c r="G43" s="4" t="e">
        <f>AVERAGE(G38:G42)</f>
        <v>#DIV/0!</v>
      </c>
      <c r="H43" s="4" t="e">
        <f>AVERAGE(H38:H42)</f>
        <v>#DIV/0!</v>
      </c>
      <c r="I43" s="4" t="e">
        <f>AVERAGE(I38:I42)</f>
        <v>#DIV/0!</v>
      </c>
      <c r="J43" s="64"/>
      <c r="K43"/>
    </row>
    <row r="44" spans="1:16" ht="15" thickBot="1" x14ac:dyDescent="0.4">
      <c r="A44" s="205"/>
      <c r="B44" s="8" t="s">
        <v>8</v>
      </c>
      <c r="C44" s="53" t="s">
        <v>72</v>
      </c>
      <c r="D44" s="200" t="s">
        <v>107</v>
      </c>
      <c r="E44" s="201"/>
      <c r="F44" s="201"/>
      <c r="G44" s="201"/>
      <c r="H44" s="201"/>
      <c r="I44" s="202"/>
      <c r="J44" s="63" t="e">
        <f>((AVERAGE(E38:E42))/STDEVP(E38:E42))</f>
        <v>#DIV/0!</v>
      </c>
      <c r="K44" s="20"/>
      <c r="L44" s="20"/>
      <c r="M44" s="20"/>
      <c r="N44" s="20"/>
      <c r="O44" s="21"/>
    </row>
    <row r="45" spans="1:16" ht="15" hidden="1" thickBot="1" x14ac:dyDescent="0.4">
      <c r="A45" s="203" t="s">
        <v>119</v>
      </c>
      <c r="B45" s="6" t="s">
        <v>0</v>
      </c>
      <c r="C45" s="5" t="s">
        <v>91</v>
      </c>
      <c r="D45" s="14" t="s">
        <v>4</v>
      </c>
      <c r="E45" s="34">
        <v>0.48348162392675798</v>
      </c>
      <c r="F45" s="34">
        <v>9.0734996255812994E-2</v>
      </c>
      <c r="G45" s="35">
        <v>4.0601829714778E-2</v>
      </c>
      <c r="H45" s="36">
        <f>0.110385571762166*100</f>
        <v>11.038557176216599</v>
      </c>
      <c r="I45" s="36">
        <f>0.054442915385656*100</f>
        <v>5.4442915385655999</v>
      </c>
      <c r="J45" s="36">
        <f>I45</f>
        <v>5.4442915385655999</v>
      </c>
      <c r="K45" s="17"/>
      <c r="L45" s="5"/>
      <c r="M45" s="5"/>
      <c r="N45" s="5"/>
      <c r="O45" s="18"/>
    </row>
    <row r="46" spans="1:16" ht="15" hidden="1" thickBot="1" x14ac:dyDescent="0.4">
      <c r="A46" s="204"/>
      <c r="B46" s="3" t="s">
        <v>2</v>
      </c>
      <c r="C46" s="49" t="s">
        <v>73</v>
      </c>
      <c r="D46" s="15" t="s">
        <v>12</v>
      </c>
      <c r="E46" s="69">
        <v>1.6781940279735199</v>
      </c>
      <c r="F46" s="37">
        <v>3.2013743089073003E-2</v>
      </c>
      <c r="G46" s="37">
        <v>5.4651345863838997E-2</v>
      </c>
      <c r="H46" s="38">
        <f>0.0231123553550552*100</f>
        <v>2.3112355355055203</v>
      </c>
      <c r="I46" s="38">
        <f>0.0762473841419575*100</f>
        <v>7.6247384141957504</v>
      </c>
      <c r="J46" s="38">
        <f>J45+I46</f>
        <v>13.069029952761351</v>
      </c>
    </row>
    <row r="47" spans="1:16" ht="15" hidden="1" thickBot="1" x14ac:dyDescent="0.4">
      <c r="A47" s="204"/>
      <c r="B47" s="3" t="s">
        <v>67</v>
      </c>
      <c r="C47" s="51" t="s">
        <v>66</v>
      </c>
      <c r="D47" s="15" t="s">
        <v>13</v>
      </c>
      <c r="E47" s="33">
        <v>-0.63204827609505998</v>
      </c>
      <c r="F47" s="37">
        <v>5.6077204764687E-2</v>
      </c>
      <c r="G47" s="37">
        <v>-3.6342863728383003E-2</v>
      </c>
      <c r="H47" s="38">
        <f>0.101456912111371*100</f>
        <v>10.1456912111371</v>
      </c>
      <c r="I47" s="38">
        <f>-0.0508254918395461*100</f>
        <v>-5.08254918395461</v>
      </c>
      <c r="J47" s="38">
        <f t="shared" ref="J47:J49" si="6">J46+I47</f>
        <v>7.9864807688067412</v>
      </c>
    </row>
    <row r="48" spans="1:16" ht="15" hidden="1" thickBot="1" x14ac:dyDescent="0.4">
      <c r="A48" s="204"/>
      <c r="B48" s="198" t="s">
        <v>49</v>
      </c>
      <c r="C48" s="199" t="s">
        <v>111</v>
      </c>
      <c r="D48" s="15" t="s">
        <v>14</v>
      </c>
      <c r="E48" s="69">
        <v>1.9447097612924</v>
      </c>
      <c r="F48" s="37">
        <v>7.6423544712155997E-2</v>
      </c>
      <c r="G48" s="37">
        <v>0.15681994514953199</v>
      </c>
      <c r="H48" s="38">
        <f>0.0667811140144275*100</f>
        <v>6.6781114014427505</v>
      </c>
      <c r="I48" s="38">
        <f>0.22182824358244*100</f>
        <v>22.182824358243998</v>
      </c>
      <c r="J48" s="38">
        <f t="shared" si="6"/>
        <v>30.169305127050741</v>
      </c>
    </row>
    <row r="49" spans="1:16" ht="15" hidden="1" thickBot="1" x14ac:dyDescent="0.4">
      <c r="A49" s="204"/>
      <c r="B49" s="198"/>
      <c r="C49" s="199"/>
      <c r="D49" s="16" t="s">
        <v>11</v>
      </c>
      <c r="E49" s="55">
        <v>1.05312671195561</v>
      </c>
      <c r="F49" s="37">
        <v>0.28583370373501898</v>
      </c>
      <c r="G49" s="37">
        <v>0.29737752643611098</v>
      </c>
      <c r="H49" s="65">
        <f>0.324315284670496*100</f>
        <v>32.431528467049596</v>
      </c>
      <c r="I49" s="45">
        <f>0.403755279964767*100</f>
        <v>40.375527996476698</v>
      </c>
      <c r="J49" s="50">
        <f t="shared" si="6"/>
        <v>70.54483312352744</v>
      </c>
    </row>
    <row r="50" spans="1:16" ht="15" hidden="1" thickBot="1" x14ac:dyDescent="0.4">
      <c r="A50" s="204"/>
      <c r="B50" s="3" t="s">
        <v>64</v>
      </c>
      <c r="C50" t="s">
        <v>121</v>
      </c>
      <c r="D50" s="52" t="s">
        <v>54</v>
      </c>
      <c r="E50" s="4">
        <f>AVERAGE(E45:E49)</f>
        <v>0.90549276981064553</v>
      </c>
      <c r="F50" s="4">
        <f>AVERAGE(F45:F49)</f>
        <v>0.10821663851134959</v>
      </c>
      <c r="G50" s="4">
        <f>AVERAGE(G45:G49)</f>
        <v>0.10262155668717539</v>
      </c>
      <c r="H50" s="4">
        <f>AVERAGE(H45:H49)</f>
        <v>12.521024758270313</v>
      </c>
      <c r="I50" s="4">
        <f>AVERAGE(I45:I49)</f>
        <v>14.108966624705488</v>
      </c>
      <c r="J50" s="64"/>
      <c r="K50"/>
    </row>
    <row r="51" spans="1:16" ht="15" hidden="1" thickBot="1" x14ac:dyDescent="0.4">
      <c r="A51" s="205"/>
      <c r="B51" s="8" t="s">
        <v>8</v>
      </c>
      <c r="C51" s="53" t="s">
        <v>72</v>
      </c>
      <c r="D51" s="200" t="s">
        <v>98</v>
      </c>
      <c r="E51" s="201"/>
      <c r="F51" s="201"/>
      <c r="G51" s="201"/>
      <c r="H51" s="201"/>
      <c r="I51" s="202"/>
      <c r="J51" s="63">
        <f>((AVERAGE(E45:E49))/STDEVP(E45:E49))</f>
        <v>0.98319091669490988</v>
      </c>
      <c r="K51" s="20"/>
      <c r="L51" s="20"/>
      <c r="M51" s="20"/>
      <c r="N51" s="20"/>
      <c r="O51" s="21"/>
    </row>
    <row r="52" spans="1:16" x14ac:dyDescent="0.35">
      <c r="A52" s="203" t="s">
        <v>261</v>
      </c>
      <c r="B52" s="6" t="s">
        <v>0</v>
      </c>
      <c r="C52" s="5" t="s">
        <v>174</v>
      </c>
      <c r="D52" s="14" t="s">
        <v>4</v>
      </c>
      <c r="E52" s="34"/>
      <c r="F52" s="34"/>
      <c r="G52" s="35"/>
      <c r="H52" s="36"/>
      <c r="I52" s="36"/>
      <c r="J52" s="36">
        <f>I52</f>
        <v>0</v>
      </c>
      <c r="K52" s="17"/>
      <c r="L52" s="5"/>
      <c r="M52" s="5"/>
      <c r="N52" s="5"/>
      <c r="O52" s="18"/>
    </row>
    <row r="53" spans="1:16" x14ac:dyDescent="0.35">
      <c r="A53" s="204"/>
      <c r="B53" s="3" t="s">
        <v>2</v>
      </c>
      <c r="C53" s="49" t="s">
        <v>73</v>
      </c>
      <c r="D53" s="15" t="s">
        <v>12</v>
      </c>
      <c r="E53" s="33"/>
      <c r="F53" s="37"/>
      <c r="G53" s="37"/>
      <c r="H53" s="38"/>
      <c r="I53" s="38"/>
      <c r="J53" s="38">
        <f>J52+I53</f>
        <v>0</v>
      </c>
    </row>
    <row r="54" spans="1:16" x14ac:dyDescent="0.35">
      <c r="A54" s="204"/>
      <c r="B54" s="3" t="s">
        <v>67</v>
      </c>
      <c r="C54" s="51" t="s">
        <v>66</v>
      </c>
      <c r="D54" s="15" t="s">
        <v>13</v>
      </c>
      <c r="E54" s="33"/>
      <c r="F54" s="37"/>
      <c r="G54" s="37"/>
      <c r="H54" s="45"/>
      <c r="I54" s="38"/>
      <c r="J54" s="38">
        <f t="shared" ref="J54:J56" si="7">J53+I54</f>
        <v>0</v>
      </c>
    </row>
    <row r="55" spans="1:16" x14ac:dyDescent="0.35">
      <c r="A55" s="204"/>
      <c r="B55" s="198" t="s">
        <v>49</v>
      </c>
      <c r="C55" s="199" t="s">
        <v>111</v>
      </c>
      <c r="D55" s="15" t="s">
        <v>14</v>
      </c>
      <c r="E55" s="22"/>
      <c r="F55" s="37"/>
      <c r="G55" s="37"/>
      <c r="H55" s="38"/>
      <c r="I55" s="38"/>
      <c r="J55" s="38">
        <f t="shared" si="7"/>
        <v>0</v>
      </c>
      <c r="P55" t="s">
        <v>265</v>
      </c>
    </row>
    <row r="56" spans="1:16" ht="15" thickBot="1" x14ac:dyDescent="0.4">
      <c r="A56" s="204"/>
      <c r="B56" s="198"/>
      <c r="C56" s="199"/>
      <c r="D56" s="16" t="s">
        <v>11</v>
      </c>
      <c r="E56" s="22"/>
      <c r="F56" s="37"/>
      <c r="G56" s="37"/>
      <c r="H56" s="38"/>
      <c r="I56" s="38"/>
      <c r="J56" s="50">
        <f t="shared" si="7"/>
        <v>0</v>
      </c>
    </row>
    <row r="57" spans="1:16" ht="15" thickBot="1" x14ac:dyDescent="0.4">
      <c r="A57" s="204"/>
      <c r="B57" s="3" t="s">
        <v>64</v>
      </c>
      <c r="C57" t="s">
        <v>258</v>
      </c>
      <c r="D57" s="52" t="s">
        <v>54</v>
      </c>
      <c r="E57" s="67" t="e">
        <f>AVERAGE(E52:E56)</f>
        <v>#DIV/0!</v>
      </c>
      <c r="F57" s="4" t="e">
        <f>AVERAGE(F52:F56)</f>
        <v>#DIV/0!</v>
      </c>
      <c r="G57" s="4" t="e">
        <f>AVERAGE(G52:G56)</f>
        <v>#DIV/0!</v>
      </c>
      <c r="H57" s="67" t="e">
        <f>AVERAGE(H52:H56)</f>
        <v>#DIV/0!</v>
      </c>
      <c r="I57" s="4" t="e">
        <f>AVERAGE(I52:I56)</f>
        <v>#DIV/0!</v>
      </c>
      <c r="J57" s="64"/>
      <c r="K57"/>
    </row>
    <row r="58" spans="1:16" ht="15" thickBot="1" x14ac:dyDescent="0.4">
      <c r="A58" s="205"/>
      <c r="B58" s="8" t="s">
        <v>8</v>
      </c>
      <c r="C58" s="53" t="s">
        <v>72</v>
      </c>
      <c r="D58" s="200" t="s">
        <v>177</v>
      </c>
      <c r="E58" s="201"/>
      <c r="F58" s="201"/>
      <c r="G58" s="201"/>
      <c r="H58" s="201"/>
      <c r="I58" s="202"/>
      <c r="J58" s="63" t="e">
        <f>((AVERAGE(E52:E56))/STDEVP(E52:E56))</f>
        <v>#DIV/0!</v>
      </c>
      <c r="K58" s="20"/>
      <c r="L58" s="20"/>
      <c r="M58" s="20"/>
      <c r="N58" s="20"/>
      <c r="O58" s="21"/>
    </row>
    <row r="59" spans="1:16" ht="15" thickBot="1" x14ac:dyDescent="0.4">
      <c r="A59" s="224"/>
      <c r="B59" s="224"/>
      <c r="C59" s="224"/>
      <c r="D59" s="224"/>
      <c r="E59" s="224"/>
      <c r="F59" s="224"/>
      <c r="G59" s="224"/>
      <c r="H59" s="224"/>
      <c r="I59" s="224"/>
      <c r="J59" s="224"/>
      <c r="K59" s="224"/>
      <c r="L59" s="224"/>
      <c r="M59" s="224"/>
      <c r="N59" s="224"/>
      <c r="O59" s="225"/>
    </row>
    <row r="60" spans="1:16" ht="15" thickBot="1" x14ac:dyDescent="0.4">
      <c r="D60" s="59" t="s">
        <v>180</v>
      </c>
      <c r="E60" s="11" t="s">
        <v>116</v>
      </c>
      <c r="F60" s="60" t="s">
        <v>112</v>
      </c>
      <c r="G60" s="11" t="s">
        <v>113</v>
      </c>
      <c r="H60" s="60" t="s">
        <v>151</v>
      </c>
      <c r="I60" s="44" t="s">
        <v>150</v>
      </c>
      <c r="J60"/>
      <c r="K60"/>
    </row>
    <row r="61" spans="1:16" x14ac:dyDescent="0.35">
      <c r="D61" s="15" t="s">
        <v>4</v>
      </c>
      <c r="E61" s="22">
        <f>E67</f>
        <v>0.61566824809832899</v>
      </c>
      <c r="F61" s="22">
        <f t="shared" ref="F61:I61" si="8">F67</f>
        <v>-0.13067446453033299</v>
      </c>
      <c r="G61" s="22">
        <f t="shared" si="8"/>
        <v>0</v>
      </c>
      <c r="H61" s="22">
        <f t="shared" si="8"/>
        <v>0</v>
      </c>
      <c r="I61" s="22" t="e">
        <f t="shared" si="8"/>
        <v>#REF!</v>
      </c>
      <c r="J61"/>
      <c r="K61"/>
    </row>
    <row r="62" spans="1:16" x14ac:dyDescent="0.35">
      <c r="D62" s="15" t="s">
        <v>12</v>
      </c>
      <c r="E62" s="33">
        <f>E61+E68</f>
        <v>3.3242631571099488</v>
      </c>
      <c r="F62" s="33">
        <f>F61+F68</f>
        <v>2.1348799958444271</v>
      </c>
      <c r="G62" s="33">
        <f>G61+G68</f>
        <v>0</v>
      </c>
      <c r="H62" s="33">
        <f>H61+H68</f>
        <v>0</v>
      </c>
      <c r="I62" s="33" t="e">
        <f>I61+I68</f>
        <v>#REF!</v>
      </c>
      <c r="J62"/>
      <c r="K62"/>
    </row>
    <row r="63" spans="1:16" x14ac:dyDescent="0.35">
      <c r="D63" s="15" t="s">
        <v>13</v>
      </c>
      <c r="E63" s="33">
        <f t="shared" ref="E63:I65" si="9">E62+E69</f>
        <v>4.2932506638584966</v>
      </c>
      <c r="F63" s="33">
        <f t="shared" si="9"/>
        <v>2.922292306638508</v>
      </c>
      <c r="G63" s="33">
        <f t="shared" si="9"/>
        <v>0</v>
      </c>
      <c r="H63" s="33">
        <f t="shared" si="9"/>
        <v>0</v>
      </c>
      <c r="I63" s="33" t="e">
        <f t="shared" si="9"/>
        <v>#REF!</v>
      </c>
      <c r="J63"/>
      <c r="K63"/>
    </row>
    <row r="64" spans="1:16" x14ac:dyDescent="0.35">
      <c r="D64" s="15" t="s">
        <v>14</v>
      </c>
      <c r="E64" s="33">
        <f t="shared" si="9"/>
        <v>6.0545613828276066</v>
      </c>
      <c r="F64" s="33">
        <f t="shared" si="9"/>
        <v>3.9772566259581179</v>
      </c>
      <c r="G64" s="33">
        <f t="shared" si="9"/>
        <v>0</v>
      </c>
      <c r="H64" s="33">
        <f t="shared" si="9"/>
        <v>0</v>
      </c>
      <c r="I64" s="33" t="e">
        <f t="shared" si="9"/>
        <v>#REF!</v>
      </c>
      <c r="J64"/>
      <c r="K64"/>
    </row>
    <row r="65" spans="4:11" ht="15" thickBot="1" x14ac:dyDescent="0.4">
      <c r="D65" s="16" t="s">
        <v>11</v>
      </c>
      <c r="E65" s="33">
        <f t="shared" si="9"/>
        <v>6.5581676936424342</v>
      </c>
      <c r="F65" s="33">
        <f t="shared" si="9"/>
        <v>4.7554899532196488</v>
      </c>
      <c r="G65" s="33">
        <f t="shared" si="9"/>
        <v>0</v>
      </c>
      <c r="H65" s="33">
        <f t="shared" si="9"/>
        <v>0</v>
      </c>
      <c r="I65" s="33" t="e">
        <f t="shared" si="9"/>
        <v>#REF!</v>
      </c>
      <c r="J65"/>
      <c r="K65"/>
    </row>
    <row r="66" spans="4:11" ht="15" thickBot="1" x14ac:dyDescent="0.4">
      <c r="D66" s="226" t="s">
        <v>123</v>
      </c>
      <c r="E66" s="227"/>
      <c r="F66" s="227"/>
      <c r="G66" s="227"/>
      <c r="H66" s="227"/>
      <c r="I66" s="228"/>
      <c r="J66"/>
      <c r="K66"/>
    </row>
    <row r="67" spans="4:11" ht="15" thickBot="1" x14ac:dyDescent="0.4">
      <c r="D67" s="14" t="s">
        <v>4</v>
      </c>
      <c r="E67" s="46">
        <f>E17</f>
        <v>0.61566824809832899</v>
      </c>
      <c r="F67" s="46">
        <f>E24</f>
        <v>-0.13067446453033299</v>
      </c>
      <c r="G67" s="46">
        <f>E38</f>
        <v>0</v>
      </c>
      <c r="H67" s="46">
        <f>E52</f>
        <v>0</v>
      </c>
      <c r="I67" s="56" t="e">
        <f>#REF!</f>
        <v>#REF!</v>
      </c>
      <c r="J67"/>
      <c r="K67"/>
    </row>
    <row r="68" spans="4:11" ht="15" thickBot="1" x14ac:dyDescent="0.4">
      <c r="D68" s="15" t="s">
        <v>12</v>
      </c>
      <c r="E68" s="46">
        <f>E18</f>
        <v>2.7085949090116199</v>
      </c>
      <c r="F68" s="46">
        <f>E25</f>
        <v>2.2655544603747599</v>
      </c>
      <c r="G68" s="46">
        <f>E39</f>
        <v>0</v>
      </c>
      <c r="H68" s="46">
        <f>E53</f>
        <v>0</v>
      </c>
      <c r="I68" s="56" t="e">
        <f>#REF!</f>
        <v>#REF!</v>
      </c>
      <c r="J68"/>
      <c r="K68"/>
    </row>
    <row r="69" spans="4:11" ht="15" thickBot="1" x14ac:dyDescent="0.4">
      <c r="D69" s="15" t="s">
        <v>13</v>
      </c>
      <c r="E69" s="46">
        <f>E19</f>
        <v>0.96898750674854806</v>
      </c>
      <c r="F69" s="46">
        <f>E26</f>
        <v>0.78741231079408103</v>
      </c>
      <c r="G69" s="46">
        <f>E40</f>
        <v>0</v>
      </c>
      <c r="H69" s="46">
        <f>E54</f>
        <v>0</v>
      </c>
      <c r="I69" s="56" t="e">
        <f>#REF!</f>
        <v>#REF!</v>
      </c>
      <c r="J69"/>
      <c r="K69"/>
    </row>
    <row r="70" spans="4:11" ht="15" thickBot="1" x14ac:dyDescent="0.4">
      <c r="D70" s="15" t="s">
        <v>14</v>
      </c>
      <c r="E70" s="46">
        <f>E20</f>
        <v>1.76131071896911</v>
      </c>
      <c r="F70" s="46">
        <f>E27</f>
        <v>1.0549643193196101</v>
      </c>
      <c r="G70" s="46">
        <f>E41</f>
        <v>0</v>
      </c>
      <c r="H70" s="46">
        <f>E55</f>
        <v>0</v>
      </c>
      <c r="I70" s="56" t="e">
        <f>#REF!</f>
        <v>#REF!</v>
      </c>
      <c r="J70"/>
      <c r="K70"/>
    </row>
    <row r="71" spans="4:11" ht="15" thickBot="1" x14ac:dyDescent="0.4">
      <c r="D71" s="57" t="s">
        <v>11</v>
      </c>
      <c r="E71" s="46">
        <f>E21</f>
        <v>0.50360631081482798</v>
      </c>
      <c r="F71" s="46">
        <f>E28</f>
        <v>0.77823332726153105</v>
      </c>
      <c r="G71" s="46">
        <f>E42</f>
        <v>0</v>
      </c>
      <c r="H71" s="46">
        <f>E56</f>
        <v>0</v>
      </c>
      <c r="I71" s="56" t="e">
        <f>#REF!</f>
        <v>#REF!</v>
      </c>
      <c r="J71"/>
      <c r="K71"/>
    </row>
    <row r="72" spans="4:11" ht="15" thickBot="1" x14ac:dyDescent="0.4">
      <c r="D72" s="59" t="s">
        <v>181</v>
      </c>
      <c r="E72" s="11" t="s">
        <v>116</v>
      </c>
      <c r="F72" s="60" t="s">
        <v>112</v>
      </c>
      <c r="G72" s="11" t="s">
        <v>113</v>
      </c>
      <c r="H72" s="60" t="s">
        <v>151</v>
      </c>
      <c r="I72" s="44" t="s">
        <v>150</v>
      </c>
      <c r="J72"/>
      <c r="K72"/>
    </row>
    <row r="73" spans="4:11" x14ac:dyDescent="0.35">
      <c r="D73" s="15" t="s">
        <v>4</v>
      </c>
      <c r="E73" s="22">
        <f>J17</f>
        <v>7.3604136371056894</v>
      </c>
      <c r="F73" s="22">
        <f>J24</f>
        <v>-1.41774830080173</v>
      </c>
      <c r="G73" s="22">
        <f>J38</f>
        <v>0</v>
      </c>
      <c r="H73" s="3">
        <f>J52</f>
        <v>0</v>
      </c>
      <c r="I73" s="58" t="e">
        <f>#REF!</f>
        <v>#REF!</v>
      </c>
      <c r="J73"/>
      <c r="K73"/>
    </row>
    <row r="74" spans="4:11" x14ac:dyDescent="0.35">
      <c r="D74" s="15" t="s">
        <v>12</v>
      </c>
      <c r="E74" s="22">
        <f>J18</f>
        <v>23.77363250645789</v>
      </c>
      <c r="F74" s="22">
        <f>J25</f>
        <v>11.74260367781887</v>
      </c>
      <c r="G74" s="22">
        <f>J39</f>
        <v>0</v>
      </c>
      <c r="H74" s="3">
        <f>J53</f>
        <v>0</v>
      </c>
      <c r="I74" s="58" t="e">
        <f>#REF!</f>
        <v>#REF!</v>
      </c>
      <c r="J74"/>
      <c r="K74"/>
    </row>
    <row r="75" spans="4:11" x14ac:dyDescent="0.35">
      <c r="D75" s="15" t="s">
        <v>13</v>
      </c>
      <c r="E75" s="22">
        <f>J19</f>
        <v>39.103451741307993</v>
      </c>
      <c r="F75" s="22">
        <f>J26</f>
        <v>19.041308966067628</v>
      </c>
      <c r="G75" s="22">
        <f>J40</f>
        <v>0</v>
      </c>
      <c r="H75" s="3">
        <f>J54</f>
        <v>0</v>
      </c>
      <c r="I75" s="58" t="e">
        <f>#REF!</f>
        <v>#REF!</v>
      </c>
      <c r="J75"/>
      <c r="K75"/>
    </row>
    <row r="76" spans="4:11" x14ac:dyDescent="0.35">
      <c r="D76" s="15" t="s">
        <v>14</v>
      </c>
      <c r="E76" s="22">
        <f>J20</f>
        <v>61.67385831196799</v>
      </c>
      <c r="F76" s="22">
        <f>J27</f>
        <v>31.567160225607129</v>
      </c>
      <c r="G76" s="22">
        <f>J41</f>
        <v>0</v>
      </c>
      <c r="H76" s="3">
        <f>J55</f>
        <v>0</v>
      </c>
      <c r="I76" s="58" t="e">
        <f>#REF!</f>
        <v>#REF!</v>
      </c>
      <c r="J76"/>
      <c r="K76"/>
    </row>
    <row r="77" spans="4:11" ht="15" thickBot="1" x14ac:dyDescent="0.4">
      <c r="D77" s="16" t="s">
        <v>11</v>
      </c>
      <c r="E77" s="22">
        <f>J21</f>
        <v>72.459280403205696</v>
      </c>
      <c r="F77" s="22">
        <f>J28</f>
        <v>57.532778024739329</v>
      </c>
      <c r="G77" s="22">
        <f>J42</f>
        <v>0</v>
      </c>
      <c r="H77" s="3">
        <f>J56</f>
        <v>0</v>
      </c>
      <c r="I77" s="58" t="e">
        <f>#REF!</f>
        <v>#REF!</v>
      </c>
      <c r="J77"/>
      <c r="K77"/>
    </row>
    <row r="78" spans="4:11" ht="15" thickBot="1" x14ac:dyDescent="0.4">
      <c r="D78" s="61" t="s">
        <v>125</v>
      </c>
      <c r="E78" s="11" t="s">
        <v>116</v>
      </c>
      <c r="F78" s="60" t="s">
        <v>112</v>
      </c>
      <c r="G78" s="11" t="s">
        <v>113</v>
      </c>
      <c r="H78" s="60" t="s">
        <v>151</v>
      </c>
      <c r="I78" s="44" t="s">
        <v>150</v>
      </c>
      <c r="J78"/>
      <c r="K78"/>
    </row>
    <row r="79" spans="4:11" x14ac:dyDescent="0.35">
      <c r="D79" s="14" t="s">
        <v>4</v>
      </c>
      <c r="E79" s="22">
        <f>H17</f>
        <v>8.3571372593065387</v>
      </c>
      <c r="F79" s="22">
        <f>H24</f>
        <v>10.721711809984399</v>
      </c>
      <c r="G79" s="22">
        <f>H38</f>
        <v>0</v>
      </c>
      <c r="H79" s="3">
        <f>H52</f>
        <v>0</v>
      </c>
      <c r="I79" s="58" t="e">
        <f>#REF!</f>
        <v>#REF!</v>
      </c>
      <c r="J79"/>
      <c r="K79"/>
    </row>
    <row r="80" spans="4:11" x14ac:dyDescent="0.35">
      <c r="D80" s="15" t="s">
        <v>12</v>
      </c>
      <c r="E80" s="22">
        <f>H18</f>
        <v>3.3386541624484996</v>
      </c>
      <c r="F80" s="22">
        <f>H25</f>
        <v>1.71915431876838</v>
      </c>
      <c r="G80" s="22">
        <f>H39</f>
        <v>0</v>
      </c>
      <c r="H80" s="3">
        <f>H53</f>
        <v>0</v>
      </c>
      <c r="I80" s="58" t="e">
        <f>#REF!</f>
        <v>#REF!</v>
      </c>
      <c r="J80"/>
      <c r="K80"/>
    </row>
    <row r="81" spans="4:11" x14ac:dyDescent="0.35">
      <c r="D81" s="15" t="s">
        <v>13</v>
      </c>
      <c r="E81" s="22">
        <f>H19</f>
        <v>12.076283134086701</v>
      </c>
      <c r="F81" s="22">
        <f>H26</f>
        <v>6.4388924719336398</v>
      </c>
      <c r="G81" s="22">
        <f>H40</f>
        <v>0</v>
      </c>
      <c r="H81" s="3">
        <f>H54</f>
        <v>0</v>
      </c>
      <c r="I81" s="58" t="e">
        <f>#REF!</f>
        <v>#REF!</v>
      </c>
      <c r="J81"/>
      <c r="K81"/>
    </row>
    <row r="82" spans="4:11" x14ac:dyDescent="0.35">
      <c r="D82" s="15" t="s">
        <v>14</v>
      </c>
      <c r="E82" s="22">
        <f>H20</f>
        <v>6.8593116569808501</v>
      </c>
      <c r="F82" s="22">
        <f>H27</f>
        <v>12.881050086818</v>
      </c>
      <c r="G82" s="22">
        <f>H41</f>
        <v>0</v>
      </c>
      <c r="H82" s="3">
        <f>H55</f>
        <v>0</v>
      </c>
      <c r="I82" s="58" t="e">
        <f>#REF!</f>
        <v>#REF!</v>
      </c>
      <c r="J82"/>
      <c r="K82"/>
    </row>
    <row r="83" spans="4:11" ht="15" thickBot="1" x14ac:dyDescent="0.4">
      <c r="D83" s="57" t="s">
        <v>11</v>
      </c>
      <c r="E83" s="22">
        <f>H21</f>
        <v>21.902339671591601</v>
      </c>
      <c r="F83" s="22">
        <f>H28</f>
        <v>32.295988626696499</v>
      </c>
      <c r="G83" s="22">
        <f>H42</f>
        <v>0</v>
      </c>
      <c r="H83" s="3">
        <f>H56</f>
        <v>0</v>
      </c>
      <c r="I83" s="58" t="e">
        <f>#REF!</f>
        <v>#REF!</v>
      </c>
      <c r="J83"/>
      <c r="K83"/>
    </row>
  </sheetData>
  <mergeCells count="37">
    <mergeCell ref="A59:O59"/>
    <mergeCell ref="D66:I66"/>
    <mergeCell ref="A45:A51"/>
    <mergeCell ref="B48:B49"/>
    <mergeCell ref="C48:C49"/>
    <mergeCell ref="D51:I51"/>
    <mergeCell ref="A52:A58"/>
    <mergeCell ref="B55:B56"/>
    <mergeCell ref="C55:C56"/>
    <mergeCell ref="D58:I58"/>
    <mergeCell ref="A24:A30"/>
    <mergeCell ref="B27:B28"/>
    <mergeCell ref="C27:C28"/>
    <mergeCell ref="D30:I30"/>
    <mergeCell ref="A38:A44"/>
    <mergeCell ref="B41:B42"/>
    <mergeCell ref="C41:C42"/>
    <mergeCell ref="D44:I44"/>
    <mergeCell ref="A31:A37"/>
    <mergeCell ref="B34:B35"/>
    <mergeCell ref="C34:C35"/>
    <mergeCell ref="D37:I37"/>
    <mergeCell ref="A10:A16"/>
    <mergeCell ref="B13:B14"/>
    <mergeCell ref="C13:C14"/>
    <mergeCell ref="D16:I16"/>
    <mergeCell ref="A17:A23"/>
    <mergeCell ref="B20:B21"/>
    <mergeCell ref="C20:C21"/>
    <mergeCell ref="D23:I23"/>
    <mergeCell ref="A1:O1"/>
    <mergeCell ref="B2:C2"/>
    <mergeCell ref="K2:O2"/>
    <mergeCell ref="A3:A9"/>
    <mergeCell ref="B6:B7"/>
    <mergeCell ref="C6:C7"/>
    <mergeCell ref="D9:I9"/>
  </mergeCells>
  <conditionalFormatting sqref="E61:I65">
    <cfRule type="cellIs" dxfId="47" priority="50" operator="lessThan">
      <formula>0</formula>
    </cfRule>
  </conditionalFormatting>
  <conditionalFormatting sqref="E67:E71">
    <cfRule type="cellIs" dxfId="46" priority="49" operator="lessThan">
      <formula>0</formula>
    </cfRule>
  </conditionalFormatting>
  <conditionalFormatting sqref="F67:F71">
    <cfRule type="cellIs" dxfId="45" priority="48" operator="lessThan">
      <formula>0</formula>
    </cfRule>
  </conditionalFormatting>
  <conditionalFormatting sqref="G67:G71">
    <cfRule type="cellIs" dxfId="44" priority="47" operator="lessThan">
      <formula>0</formula>
    </cfRule>
  </conditionalFormatting>
  <conditionalFormatting sqref="I67:I71">
    <cfRule type="cellIs" dxfId="43" priority="46" operator="lessThan">
      <formula>0</formula>
    </cfRule>
  </conditionalFormatting>
  <conditionalFormatting sqref="E73:E77">
    <cfRule type="cellIs" dxfId="42" priority="45" operator="lessThan">
      <formula>0</formula>
    </cfRule>
  </conditionalFormatting>
  <conditionalFormatting sqref="F73:F77">
    <cfRule type="cellIs" dxfId="41" priority="44" operator="lessThan">
      <formula>0</formula>
    </cfRule>
  </conditionalFormatting>
  <conditionalFormatting sqref="G73:G77">
    <cfRule type="cellIs" dxfId="40" priority="43" operator="lessThan">
      <formula>0</formula>
    </cfRule>
  </conditionalFormatting>
  <conditionalFormatting sqref="I73:I77">
    <cfRule type="cellIs" dxfId="39" priority="42" operator="lessThan">
      <formula>0</formula>
    </cfRule>
  </conditionalFormatting>
  <conditionalFormatting sqref="E79:E83">
    <cfRule type="cellIs" dxfId="38" priority="41" operator="lessThan">
      <formula>0</formula>
    </cfRule>
  </conditionalFormatting>
  <conditionalFormatting sqref="F79:F83">
    <cfRule type="cellIs" dxfId="37" priority="40" operator="lessThan">
      <formula>0</formula>
    </cfRule>
  </conditionalFormatting>
  <conditionalFormatting sqref="G79:G83">
    <cfRule type="cellIs" dxfId="36" priority="39" operator="lessThan">
      <formula>0</formula>
    </cfRule>
  </conditionalFormatting>
  <conditionalFormatting sqref="I79:I83">
    <cfRule type="cellIs" dxfId="35" priority="38" operator="lessThan">
      <formula>0</formula>
    </cfRule>
  </conditionalFormatting>
  <conditionalFormatting sqref="H67:H71">
    <cfRule type="cellIs" dxfId="34" priority="37" operator="lessThan">
      <formula>0</formula>
    </cfRule>
  </conditionalFormatting>
  <conditionalFormatting sqref="F3">
    <cfRule type="cellIs" dxfId="33" priority="36" operator="lessThan">
      <formula>0</formula>
    </cfRule>
  </conditionalFormatting>
  <conditionalFormatting sqref="E3:G7 I3:J7">
    <cfRule type="cellIs" dxfId="32" priority="35" operator="lessThan">
      <formula>0</formula>
    </cfRule>
  </conditionalFormatting>
  <conditionalFormatting sqref="H3:H7">
    <cfRule type="cellIs" dxfId="31" priority="34" operator="lessThan">
      <formula>0</formula>
    </cfRule>
  </conditionalFormatting>
  <conditionalFormatting sqref="E8:I8">
    <cfRule type="cellIs" dxfId="30" priority="33" operator="lessThan">
      <formula>0</formula>
    </cfRule>
  </conditionalFormatting>
  <conditionalFormatting sqref="F10">
    <cfRule type="cellIs" dxfId="29" priority="32" operator="lessThan">
      <formula>0</formula>
    </cfRule>
  </conditionalFormatting>
  <conditionalFormatting sqref="E10:G14 I10:J14">
    <cfRule type="cellIs" dxfId="28" priority="31" operator="lessThan">
      <formula>0</formula>
    </cfRule>
  </conditionalFormatting>
  <conditionalFormatting sqref="H10:H14">
    <cfRule type="cellIs" dxfId="27" priority="30" operator="lessThan">
      <formula>0</formula>
    </cfRule>
  </conditionalFormatting>
  <conditionalFormatting sqref="E15:I15">
    <cfRule type="cellIs" dxfId="26" priority="29" operator="lessThan">
      <formula>0</formula>
    </cfRule>
  </conditionalFormatting>
  <conditionalFormatting sqref="F24">
    <cfRule type="cellIs" dxfId="25" priority="28" operator="lessThan">
      <formula>0</formula>
    </cfRule>
  </conditionalFormatting>
  <conditionalFormatting sqref="E24:G28 I24:J28">
    <cfRule type="cellIs" dxfId="24" priority="27" operator="lessThan">
      <formula>0</formula>
    </cfRule>
  </conditionalFormatting>
  <conditionalFormatting sqref="H24:H28">
    <cfRule type="cellIs" dxfId="23" priority="26" operator="lessThan">
      <formula>0</formula>
    </cfRule>
  </conditionalFormatting>
  <conditionalFormatting sqref="E29:I29">
    <cfRule type="cellIs" dxfId="22" priority="25" operator="lessThan">
      <formula>0</formula>
    </cfRule>
  </conditionalFormatting>
  <conditionalFormatting sqref="F52">
    <cfRule type="cellIs" dxfId="21" priority="24" operator="lessThan">
      <formula>0</formula>
    </cfRule>
  </conditionalFormatting>
  <conditionalFormatting sqref="E52:G56 I52:J56">
    <cfRule type="cellIs" dxfId="20" priority="23" operator="lessThan">
      <formula>0</formula>
    </cfRule>
  </conditionalFormatting>
  <conditionalFormatting sqref="H52:H56">
    <cfRule type="cellIs" dxfId="19" priority="22" operator="lessThan">
      <formula>0</formula>
    </cfRule>
  </conditionalFormatting>
  <conditionalFormatting sqref="E57:I57">
    <cfRule type="cellIs" dxfId="18" priority="21" operator="lessThan">
      <formula>0</formula>
    </cfRule>
  </conditionalFormatting>
  <conditionalFormatting sqref="E17:J21">
    <cfRule type="cellIs" dxfId="17" priority="20" operator="lessThan">
      <formula>0</formula>
    </cfRule>
  </conditionalFormatting>
  <conditionalFormatting sqref="E22:I22">
    <cfRule type="cellIs" dxfId="16" priority="19" operator="lessThan">
      <formula>0</formula>
    </cfRule>
  </conditionalFormatting>
  <conditionalFormatting sqref="F38">
    <cfRule type="cellIs" dxfId="15" priority="18" operator="lessThan">
      <formula>0</formula>
    </cfRule>
  </conditionalFormatting>
  <conditionalFormatting sqref="E38:G42 I38:J42">
    <cfRule type="cellIs" dxfId="14" priority="17" operator="lessThan">
      <formula>0</formula>
    </cfRule>
  </conditionalFormatting>
  <conditionalFormatting sqref="H38:H42">
    <cfRule type="cellIs" dxfId="13" priority="16" operator="lessThan">
      <formula>0</formula>
    </cfRule>
  </conditionalFormatting>
  <conditionalFormatting sqref="E43:I43">
    <cfRule type="cellIs" dxfId="12" priority="15" operator="lessThan">
      <formula>0</formula>
    </cfRule>
  </conditionalFormatting>
  <conditionalFormatting sqref="F45">
    <cfRule type="cellIs" dxfId="11" priority="14" operator="lessThan">
      <formula>0</formula>
    </cfRule>
  </conditionalFormatting>
  <conditionalFormatting sqref="E45:G45 I45:J49 E47:G47 F46:G46 E49:G49 F48:G48">
    <cfRule type="cellIs" dxfId="10" priority="13" operator="lessThan">
      <formula>0</formula>
    </cfRule>
  </conditionalFormatting>
  <conditionalFormatting sqref="H45:H49">
    <cfRule type="cellIs" dxfId="9" priority="12" operator="lessThan">
      <formula>0</formula>
    </cfRule>
  </conditionalFormatting>
  <conditionalFormatting sqref="E50:I50">
    <cfRule type="cellIs" dxfId="8" priority="11" operator="lessThan">
      <formula>0</formula>
    </cfRule>
  </conditionalFormatting>
  <conditionalFormatting sqref="E46">
    <cfRule type="cellIs" dxfId="7" priority="10" operator="lessThan">
      <formula>0</formula>
    </cfRule>
  </conditionalFormatting>
  <conditionalFormatting sqref="E48">
    <cfRule type="cellIs" dxfId="6" priority="9" operator="lessThan">
      <formula>0</formula>
    </cfRule>
  </conditionalFormatting>
  <conditionalFormatting sqref="F31">
    <cfRule type="cellIs" dxfId="5" priority="4" operator="lessThan">
      <formula>0</formula>
    </cfRule>
  </conditionalFormatting>
  <conditionalFormatting sqref="E31:G35 I31:J35">
    <cfRule type="cellIs" dxfId="4" priority="3" operator="lessThan">
      <formula>0</formula>
    </cfRule>
  </conditionalFormatting>
  <conditionalFormatting sqref="H31:H35">
    <cfRule type="cellIs" dxfId="3" priority="2" operator="lessThan">
      <formula>0</formula>
    </cfRule>
  </conditionalFormatting>
  <conditionalFormatting sqref="E36:I36">
    <cfRule type="cellIs" dxfId="2" priority="1" operator="lessThan">
      <formula>0</formula>
    </cfRule>
  </conditionalFormatting>
  <pageMargins left="0.25" right="0.25" top="0.75" bottom="0.75" header="0.3" footer="0.3"/>
  <pageSetup scale="25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29410-7DD5-4388-B381-A91781FDA282}">
  <dimension ref="A1:BA63"/>
  <sheetViews>
    <sheetView workbookViewId="0">
      <selection sqref="A1:Z34"/>
    </sheetView>
  </sheetViews>
  <sheetFormatPr defaultRowHeight="14.5" x14ac:dyDescent="0.35"/>
  <cols>
    <col min="1" max="2" width="22.7265625" customWidth="1"/>
    <col min="3" max="29" width="3" customWidth="1"/>
  </cols>
  <sheetData>
    <row r="1" spans="1:53" ht="15" thickBot="1" x14ac:dyDescent="0.4">
      <c r="A1" s="258" t="s">
        <v>170</v>
      </c>
      <c r="B1" s="258"/>
      <c r="C1" s="258"/>
      <c r="D1" s="258"/>
      <c r="E1" s="258"/>
      <c r="F1" s="258"/>
      <c r="G1" s="258"/>
      <c r="H1" s="258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</row>
    <row r="2" spans="1:53" ht="15" thickBot="1" x14ac:dyDescent="0.4">
      <c r="A2" s="243" t="s">
        <v>149</v>
      </c>
      <c r="B2" s="245" t="s">
        <v>73</v>
      </c>
      <c r="C2" s="236" t="s">
        <v>160</v>
      </c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237"/>
      <c r="X2" s="237"/>
      <c r="Y2" s="237"/>
      <c r="Z2" s="238"/>
    </row>
    <row r="3" spans="1:53" ht="34.5" customHeight="1" thickBot="1" x14ac:dyDescent="0.4">
      <c r="A3" s="244"/>
      <c r="B3" s="246"/>
      <c r="C3" s="92">
        <v>1</v>
      </c>
      <c r="D3" s="93">
        <v>2</v>
      </c>
      <c r="E3" s="94">
        <v>3</v>
      </c>
      <c r="F3" s="94">
        <v>4</v>
      </c>
      <c r="G3" s="93">
        <v>5</v>
      </c>
      <c r="H3" s="93">
        <v>6</v>
      </c>
      <c r="I3" s="93" t="s">
        <v>44</v>
      </c>
      <c r="J3" s="93" t="s">
        <v>45</v>
      </c>
      <c r="K3" s="93" t="s">
        <v>50</v>
      </c>
      <c r="L3" s="93" t="s">
        <v>55</v>
      </c>
      <c r="M3" s="93" t="s">
        <v>60</v>
      </c>
      <c r="N3" s="94" t="s">
        <v>62</v>
      </c>
      <c r="O3" s="94" t="s">
        <v>86</v>
      </c>
      <c r="P3" s="93" t="s">
        <v>90</v>
      </c>
      <c r="Q3" s="93" t="s">
        <v>92</v>
      </c>
      <c r="R3" s="93" t="s">
        <v>100</v>
      </c>
      <c r="S3" s="93" t="s">
        <v>106</v>
      </c>
      <c r="T3" s="114" t="s">
        <v>112</v>
      </c>
      <c r="U3" s="93" t="s">
        <v>113</v>
      </c>
      <c r="V3" s="114" t="s">
        <v>116</v>
      </c>
      <c r="W3" s="93" t="s">
        <v>119</v>
      </c>
      <c r="X3" s="93" t="s">
        <v>120</v>
      </c>
      <c r="Y3" s="93" t="s">
        <v>151</v>
      </c>
      <c r="Z3" s="95" t="s">
        <v>150</v>
      </c>
    </row>
    <row r="4" spans="1:53" ht="14.5" customHeight="1" thickBot="1" x14ac:dyDescent="0.4">
      <c r="A4" s="231" t="s">
        <v>195</v>
      </c>
      <c r="B4" s="232"/>
      <c r="C4" s="133">
        <f>RANK($B40,$B$40:$B$63,0)</f>
        <v>21</v>
      </c>
      <c r="D4" s="139">
        <f>RANK($B41,$B$40:$B$63,0)</f>
        <v>20</v>
      </c>
      <c r="E4" s="139">
        <f>RANK($B42,$B$40:$B$63,0)</f>
        <v>15</v>
      </c>
      <c r="F4" s="139">
        <f>RANK($B43,$B$40:$B$63,0)</f>
        <v>23</v>
      </c>
      <c r="G4" s="139">
        <f>RANK($B44,$B$40:$B$63,0)</f>
        <v>17</v>
      </c>
      <c r="H4" s="139">
        <f>RANK($B45,$B$40:$B$63,0)</f>
        <v>14</v>
      </c>
      <c r="I4" s="139">
        <f>RANK($B46,$B$40:$B$63,0)</f>
        <v>24</v>
      </c>
      <c r="J4" s="139">
        <f>RANK($B47,$B$40:$B$63,0)</f>
        <v>22</v>
      </c>
      <c r="K4" s="139">
        <f>RANK($B48,$B$40:$B$63,0)</f>
        <v>5</v>
      </c>
      <c r="L4" s="139">
        <f>RANK($B49,$B$40:$B$63,0)</f>
        <v>9</v>
      </c>
      <c r="M4" s="139">
        <f>RANK($B50,$B$40:$B$63,0)</f>
        <v>11</v>
      </c>
      <c r="N4" s="139">
        <f>RANK($B51,$B$40:$B$63,0)</f>
        <v>8</v>
      </c>
      <c r="O4" s="139">
        <f>RANK($B52,$B$40:$B$63,0)</f>
        <v>6</v>
      </c>
      <c r="P4" s="139">
        <f>RANK($B53,$B$40:$B$63,0)</f>
        <v>18</v>
      </c>
      <c r="Q4" s="139">
        <f>RANK($B54,$B$40:$B$63,0)</f>
        <v>7</v>
      </c>
      <c r="R4" s="139">
        <f>RANK($B55,$B$40:$B$63,0)</f>
        <v>18</v>
      </c>
      <c r="S4" s="139">
        <f>RANK($B56,$B$40:$B$63,0)</f>
        <v>16</v>
      </c>
      <c r="T4" s="139">
        <f>RANK($B57,$B$40:$B$63,0)</f>
        <v>2</v>
      </c>
      <c r="U4" s="139">
        <f>RANK($B58,$B$40:$B$63,0)</f>
        <v>10</v>
      </c>
      <c r="V4" s="139">
        <f>RANK($B59,$B$40:$B$63,0)</f>
        <v>1</v>
      </c>
      <c r="W4" s="139">
        <f>RANK($B60,$B$40:$B$63,0)</f>
        <v>3</v>
      </c>
      <c r="X4" s="139">
        <f>RANK($B61,$B$40:$B$63,0)</f>
        <v>13</v>
      </c>
      <c r="Y4" s="139">
        <f>RANK($B62,$B$40:$B$63,0)</f>
        <v>4</v>
      </c>
      <c r="Z4" s="112">
        <f>RANK($B63,$B$40:$B$63,0)</f>
        <v>12</v>
      </c>
    </row>
    <row r="5" spans="1:53" ht="20.5" customHeight="1" thickBot="1" x14ac:dyDescent="0.4">
      <c r="A5" s="231" t="s">
        <v>169</v>
      </c>
      <c r="B5" s="232"/>
      <c r="C5" s="247">
        <v>1997</v>
      </c>
      <c r="D5" s="248"/>
      <c r="E5" s="248"/>
      <c r="F5" s="248"/>
      <c r="G5" s="248"/>
      <c r="H5" s="249"/>
      <c r="I5" s="233">
        <v>2012</v>
      </c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5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  <c r="AQ5" s="66"/>
      <c r="AR5" s="66"/>
      <c r="AS5" s="66"/>
      <c r="AT5" s="66"/>
      <c r="AU5" s="66"/>
      <c r="AV5" s="66"/>
      <c r="AW5" s="66"/>
      <c r="AX5" s="66"/>
      <c r="AY5" s="66"/>
      <c r="AZ5" s="66"/>
      <c r="BA5" s="66"/>
    </row>
    <row r="6" spans="1:53" ht="14.5" customHeight="1" thickBot="1" x14ac:dyDescent="0.4">
      <c r="A6" s="231" t="s">
        <v>171</v>
      </c>
      <c r="B6" s="232"/>
      <c r="C6" s="119"/>
      <c r="D6" s="120"/>
      <c r="E6" s="120"/>
      <c r="F6" s="121"/>
      <c r="G6" s="121"/>
      <c r="H6" s="121"/>
      <c r="I6" s="120"/>
      <c r="J6" s="121"/>
      <c r="K6" s="120"/>
      <c r="L6" s="120"/>
      <c r="M6" s="120"/>
      <c r="N6" s="120"/>
      <c r="O6" s="121"/>
      <c r="P6" s="120"/>
      <c r="Q6" s="120"/>
      <c r="R6" s="121"/>
      <c r="S6" s="121"/>
      <c r="T6" s="120"/>
      <c r="U6" s="121"/>
      <c r="V6" s="120"/>
      <c r="W6" s="120"/>
      <c r="X6" s="121"/>
      <c r="Y6" s="121"/>
      <c r="Z6" s="121"/>
    </row>
    <row r="7" spans="1:53" ht="14.5" customHeight="1" thickBot="1" x14ac:dyDescent="0.4">
      <c r="A7" s="231" t="s">
        <v>183</v>
      </c>
      <c r="B7" s="232"/>
      <c r="C7" s="124">
        <v>63</v>
      </c>
      <c r="D7" s="125">
        <v>252</v>
      </c>
      <c r="E7" s="125">
        <v>252</v>
      </c>
      <c r="F7" s="125">
        <v>252</v>
      </c>
      <c r="G7" s="124">
        <v>63</v>
      </c>
      <c r="H7" s="125">
        <v>252</v>
      </c>
      <c r="I7" s="124">
        <v>63</v>
      </c>
      <c r="J7" s="125">
        <v>252</v>
      </c>
      <c r="K7" s="124">
        <v>63</v>
      </c>
      <c r="L7" s="124">
        <v>63</v>
      </c>
      <c r="M7" s="124">
        <v>63</v>
      </c>
      <c r="N7" s="124">
        <v>63</v>
      </c>
      <c r="O7" s="125">
        <v>252</v>
      </c>
      <c r="P7" s="124">
        <v>63</v>
      </c>
      <c r="Q7" s="124">
        <v>63</v>
      </c>
      <c r="R7" s="125">
        <v>252</v>
      </c>
      <c r="S7" s="125">
        <v>252</v>
      </c>
      <c r="T7" s="124">
        <v>63</v>
      </c>
      <c r="U7" s="125">
        <v>252</v>
      </c>
      <c r="V7" s="124">
        <v>63</v>
      </c>
      <c r="W7" s="124">
        <v>63</v>
      </c>
      <c r="X7" s="125">
        <v>252</v>
      </c>
      <c r="Y7" s="124">
        <v>63</v>
      </c>
      <c r="Z7" s="126">
        <v>121</v>
      </c>
    </row>
    <row r="8" spans="1:53" x14ac:dyDescent="0.35">
      <c r="A8" s="82" t="s">
        <v>126</v>
      </c>
      <c r="B8" s="80" t="s">
        <v>145</v>
      </c>
      <c r="C8" s="115"/>
      <c r="D8" s="116"/>
      <c r="E8" s="116"/>
      <c r="F8" s="116"/>
      <c r="G8" s="116"/>
      <c r="H8" s="116"/>
      <c r="I8" s="116"/>
      <c r="J8" s="117"/>
      <c r="K8" s="117"/>
      <c r="L8" s="116"/>
      <c r="M8" s="116"/>
      <c r="N8" s="116"/>
      <c r="O8" s="116"/>
      <c r="P8" s="116"/>
      <c r="Q8" s="116"/>
      <c r="R8" s="116"/>
      <c r="S8" s="117"/>
      <c r="T8" s="116"/>
      <c r="U8" s="116"/>
      <c r="V8" s="116"/>
      <c r="W8" s="117"/>
      <c r="X8" s="117"/>
      <c r="Y8" s="116"/>
      <c r="Z8" s="118"/>
    </row>
    <row r="9" spans="1:53" x14ac:dyDescent="0.35">
      <c r="A9" s="78" t="s">
        <v>127</v>
      </c>
      <c r="B9" s="79" t="s">
        <v>126</v>
      </c>
      <c r="C9" s="105"/>
      <c r="D9" s="81"/>
      <c r="E9" s="81"/>
      <c r="F9" s="81"/>
      <c r="G9" s="81"/>
      <c r="H9" s="81"/>
      <c r="I9" s="81"/>
      <c r="J9" s="81"/>
      <c r="K9" s="83"/>
      <c r="L9" s="83"/>
      <c r="M9" s="83"/>
      <c r="N9" s="83"/>
      <c r="O9" s="83"/>
      <c r="P9" s="83"/>
      <c r="Q9" s="83"/>
      <c r="R9" s="83"/>
      <c r="S9" s="83"/>
      <c r="T9" s="83"/>
      <c r="U9" s="83"/>
      <c r="V9" s="83"/>
      <c r="W9" s="83"/>
      <c r="X9" s="83"/>
      <c r="Y9" s="83"/>
      <c r="Z9" s="87"/>
    </row>
    <row r="10" spans="1:53" x14ac:dyDescent="0.35">
      <c r="A10" s="78" t="s">
        <v>128</v>
      </c>
      <c r="B10" s="79" t="s">
        <v>128</v>
      </c>
      <c r="C10" s="105"/>
      <c r="D10" s="81"/>
      <c r="E10" s="81"/>
      <c r="F10" s="81"/>
      <c r="G10" s="81"/>
      <c r="H10" s="81"/>
      <c r="I10" s="81"/>
      <c r="J10" s="81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7"/>
    </row>
    <row r="11" spans="1:53" x14ac:dyDescent="0.35">
      <c r="A11" s="78" t="s">
        <v>129</v>
      </c>
      <c r="B11" s="79" t="s">
        <v>129</v>
      </c>
      <c r="C11" s="110"/>
      <c r="D11" s="88"/>
      <c r="E11" s="88"/>
      <c r="F11" s="88"/>
      <c r="G11" s="88"/>
      <c r="H11" s="88"/>
      <c r="I11" s="88"/>
      <c r="J11" s="72"/>
      <c r="K11" s="72"/>
      <c r="L11" s="88"/>
      <c r="M11" s="88"/>
      <c r="N11" s="88"/>
      <c r="O11" s="88"/>
      <c r="P11" s="88"/>
      <c r="Q11" s="72"/>
      <c r="R11" s="72"/>
      <c r="S11" s="72"/>
      <c r="T11" s="88"/>
      <c r="U11" s="88"/>
      <c r="V11" s="88"/>
      <c r="W11" s="72"/>
      <c r="X11" s="72"/>
      <c r="Y11" s="88"/>
      <c r="Z11" s="74"/>
    </row>
    <row r="12" spans="1:53" x14ac:dyDescent="0.35">
      <c r="A12" s="78" t="s">
        <v>130</v>
      </c>
      <c r="B12" s="79" t="s">
        <v>129</v>
      </c>
      <c r="C12" s="105"/>
      <c r="D12" s="81"/>
      <c r="E12" s="81"/>
      <c r="F12" s="81"/>
      <c r="G12" s="81"/>
      <c r="H12" s="81"/>
      <c r="I12" s="81"/>
      <c r="J12" s="81"/>
      <c r="K12" s="83"/>
      <c r="L12" s="83"/>
      <c r="M12" s="83"/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7"/>
    </row>
    <row r="13" spans="1:53" x14ac:dyDescent="0.35">
      <c r="A13" s="78" t="s">
        <v>131</v>
      </c>
      <c r="B13" s="79" t="s">
        <v>146</v>
      </c>
      <c r="C13" s="105"/>
      <c r="D13" s="81"/>
      <c r="E13" s="81"/>
      <c r="F13" s="81"/>
      <c r="G13" s="81"/>
      <c r="H13" s="81"/>
      <c r="I13" s="81"/>
      <c r="J13" s="81"/>
      <c r="K13" s="83"/>
      <c r="L13" s="83"/>
      <c r="M13" s="83"/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7"/>
    </row>
    <row r="14" spans="1:53" x14ac:dyDescent="0.35">
      <c r="A14" s="78" t="s">
        <v>22</v>
      </c>
      <c r="B14" s="79" t="s">
        <v>22</v>
      </c>
      <c r="C14" s="106"/>
      <c r="D14" s="96"/>
      <c r="E14" s="96"/>
      <c r="F14" s="96"/>
      <c r="G14" s="96"/>
      <c r="H14" s="96"/>
      <c r="I14" s="96"/>
      <c r="J14" s="96"/>
      <c r="K14" s="97"/>
      <c r="L14" s="97"/>
      <c r="M14" s="97"/>
      <c r="N14" s="97"/>
      <c r="O14" s="97"/>
      <c r="P14" s="97"/>
      <c r="Q14" s="97"/>
      <c r="R14" s="97"/>
      <c r="S14" s="97"/>
      <c r="T14" s="97"/>
      <c r="U14" s="97"/>
      <c r="V14" s="97"/>
      <c r="W14" s="97"/>
      <c r="X14" s="97"/>
      <c r="Y14" s="97"/>
      <c r="Z14" s="98"/>
    </row>
    <row r="15" spans="1:53" x14ac:dyDescent="0.35">
      <c r="A15" s="78" t="s">
        <v>132</v>
      </c>
      <c r="B15" s="79" t="s">
        <v>147</v>
      </c>
      <c r="C15" s="107"/>
      <c r="D15" s="101"/>
      <c r="E15" s="99"/>
      <c r="F15" s="102"/>
      <c r="G15" s="99"/>
      <c r="H15" s="101"/>
      <c r="I15" s="99"/>
      <c r="J15" s="101"/>
      <c r="K15" s="99"/>
      <c r="L15" s="100"/>
      <c r="M15" s="101"/>
      <c r="N15" s="99"/>
      <c r="O15" s="99"/>
      <c r="P15" s="100"/>
      <c r="Q15" s="101"/>
      <c r="R15" s="99"/>
      <c r="S15" s="99"/>
      <c r="T15" s="100"/>
      <c r="U15" s="99"/>
      <c r="V15" s="99"/>
      <c r="W15" s="99"/>
      <c r="X15" s="99"/>
      <c r="Y15" s="99"/>
      <c r="Z15" s="108"/>
    </row>
    <row r="16" spans="1:53" x14ac:dyDescent="0.35">
      <c r="A16" s="78" t="s">
        <v>133</v>
      </c>
      <c r="B16" s="79" t="s">
        <v>148</v>
      </c>
      <c r="C16" s="109"/>
      <c r="D16" s="84"/>
      <c r="E16" s="84"/>
      <c r="F16" s="84"/>
      <c r="G16" s="84"/>
      <c r="H16" s="84"/>
      <c r="I16" s="84"/>
      <c r="J16" s="84"/>
      <c r="K16" s="85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6"/>
    </row>
    <row r="17" spans="1:26" x14ac:dyDescent="0.35">
      <c r="A17" s="78" t="s">
        <v>134</v>
      </c>
      <c r="B17" s="79" t="s">
        <v>152</v>
      </c>
      <c r="C17" s="105"/>
      <c r="D17" s="81"/>
      <c r="E17" s="81"/>
      <c r="F17" s="81"/>
      <c r="G17" s="81"/>
      <c r="H17" s="81"/>
      <c r="I17" s="81"/>
      <c r="J17" s="81"/>
      <c r="K17" s="83"/>
      <c r="L17" s="83"/>
      <c r="M17" s="83"/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7"/>
    </row>
    <row r="18" spans="1:26" x14ac:dyDescent="0.35">
      <c r="A18" s="78" t="s">
        <v>135</v>
      </c>
      <c r="B18" s="79" t="s">
        <v>153</v>
      </c>
      <c r="C18" s="105"/>
      <c r="D18" s="81"/>
      <c r="E18" s="81"/>
      <c r="F18" s="81"/>
      <c r="G18" s="81"/>
      <c r="H18" s="81"/>
      <c r="I18" s="81"/>
      <c r="J18" s="81"/>
      <c r="K18" s="83"/>
      <c r="L18" s="83"/>
      <c r="M18" s="83"/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7"/>
    </row>
    <row r="19" spans="1:26" x14ac:dyDescent="0.35">
      <c r="A19" s="78" t="s">
        <v>136</v>
      </c>
      <c r="B19" s="79" t="s">
        <v>154</v>
      </c>
      <c r="C19" s="105"/>
      <c r="D19" s="81"/>
      <c r="E19" s="81"/>
      <c r="F19" s="81"/>
      <c r="G19" s="81"/>
      <c r="H19" s="81"/>
      <c r="I19" s="81"/>
      <c r="J19" s="81"/>
      <c r="K19" s="83"/>
      <c r="L19" s="83"/>
      <c r="M19" s="83"/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7"/>
    </row>
    <row r="20" spans="1:26" x14ac:dyDescent="0.35">
      <c r="A20" s="78" t="s">
        <v>137</v>
      </c>
      <c r="B20" s="79" t="s">
        <v>155</v>
      </c>
      <c r="C20" s="105"/>
      <c r="D20" s="81"/>
      <c r="E20" s="81"/>
      <c r="F20" s="81"/>
      <c r="G20" s="81"/>
      <c r="H20" s="81"/>
      <c r="I20" s="81"/>
      <c r="J20" s="81"/>
      <c r="K20" s="83"/>
      <c r="L20" s="83"/>
      <c r="M20" s="83"/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7"/>
    </row>
    <row r="21" spans="1:26" x14ac:dyDescent="0.35">
      <c r="A21" s="78" t="s">
        <v>138</v>
      </c>
      <c r="B21" s="79" t="s">
        <v>156</v>
      </c>
      <c r="C21" s="105"/>
      <c r="D21" s="81"/>
      <c r="E21" s="81"/>
      <c r="F21" s="81"/>
      <c r="G21" s="81"/>
      <c r="H21" s="81"/>
      <c r="I21" s="81"/>
      <c r="J21" s="81"/>
      <c r="K21" s="83"/>
      <c r="L21" s="83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7"/>
    </row>
    <row r="22" spans="1:26" x14ac:dyDescent="0.35">
      <c r="A22" s="78" t="s">
        <v>139</v>
      </c>
      <c r="B22" s="79" t="s">
        <v>157</v>
      </c>
      <c r="C22" s="105"/>
      <c r="D22" s="81"/>
      <c r="E22" s="81"/>
      <c r="F22" s="81"/>
      <c r="G22" s="81"/>
      <c r="H22" s="81"/>
      <c r="I22" s="81"/>
      <c r="J22" s="81"/>
      <c r="K22" s="83"/>
      <c r="L22" s="83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7"/>
    </row>
    <row r="23" spans="1:26" x14ac:dyDescent="0.35">
      <c r="A23" s="78" t="s">
        <v>140</v>
      </c>
      <c r="B23" s="79" t="s">
        <v>158</v>
      </c>
      <c r="C23" s="105"/>
      <c r="D23" s="81"/>
      <c r="E23" s="81"/>
      <c r="F23" s="81"/>
      <c r="G23" s="81"/>
      <c r="H23" s="81"/>
      <c r="I23" s="81"/>
      <c r="J23" s="81"/>
      <c r="K23" s="83"/>
      <c r="L23" s="83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7"/>
    </row>
    <row r="24" spans="1:26" x14ac:dyDescent="0.35">
      <c r="A24" s="78" t="s">
        <v>141</v>
      </c>
      <c r="B24" s="79" t="s">
        <v>141</v>
      </c>
      <c r="C24" s="110"/>
      <c r="D24" s="88"/>
      <c r="E24" s="88"/>
      <c r="F24" s="88"/>
      <c r="G24" s="88"/>
      <c r="H24" s="88"/>
      <c r="I24" s="88"/>
      <c r="J24" s="72"/>
      <c r="K24" s="72"/>
      <c r="L24" s="88"/>
      <c r="M24" s="88"/>
      <c r="N24" s="88"/>
      <c r="O24" s="88"/>
      <c r="P24" s="88"/>
      <c r="Q24" s="88"/>
      <c r="R24" s="72"/>
      <c r="S24" s="72"/>
      <c r="T24" s="83"/>
      <c r="U24" s="83"/>
      <c r="V24" s="83"/>
      <c r="W24" s="72"/>
      <c r="X24" s="72"/>
      <c r="Y24" s="83"/>
      <c r="Z24" s="87"/>
    </row>
    <row r="25" spans="1:26" x14ac:dyDescent="0.35">
      <c r="A25" s="78" t="s">
        <v>142</v>
      </c>
      <c r="B25" s="79" t="s">
        <v>142</v>
      </c>
      <c r="C25" s="110"/>
      <c r="D25" s="88"/>
      <c r="E25" s="88"/>
      <c r="F25" s="88"/>
      <c r="G25" s="88"/>
      <c r="H25" s="88"/>
      <c r="I25" s="88"/>
      <c r="J25" s="72"/>
      <c r="K25" s="72"/>
      <c r="L25" s="88"/>
      <c r="M25" s="88"/>
      <c r="N25" s="88"/>
      <c r="O25" s="88"/>
      <c r="P25" s="88"/>
      <c r="Q25" s="88"/>
      <c r="R25" s="72"/>
      <c r="S25" s="72"/>
      <c r="T25" s="83"/>
      <c r="U25" s="83"/>
      <c r="V25" s="83"/>
      <c r="W25" s="72"/>
      <c r="X25" s="72"/>
      <c r="Y25" s="83"/>
      <c r="Z25" s="87"/>
    </row>
    <row r="26" spans="1:26" x14ac:dyDescent="0.35">
      <c r="A26" s="78" t="s">
        <v>143</v>
      </c>
      <c r="B26" s="79" t="s">
        <v>159</v>
      </c>
      <c r="C26" s="110"/>
      <c r="D26" s="88"/>
      <c r="E26" s="88"/>
      <c r="F26" s="88"/>
      <c r="G26" s="88"/>
      <c r="H26" s="88"/>
      <c r="I26" s="88"/>
      <c r="J26" s="72"/>
      <c r="K26" s="72"/>
      <c r="L26" s="88"/>
      <c r="M26" s="88"/>
      <c r="N26" s="88"/>
      <c r="O26" s="88"/>
      <c r="P26" s="88"/>
      <c r="Q26" s="88"/>
      <c r="R26" s="72"/>
      <c r="S26" s="72"/>
      <c r="T26" s="83"/>
      <c r="U26" s="83"/>
      <c r="V26" s="83"/>
      <c r="W26" s="72"/>
      <c r="X26" s="72"/>
      <c r="Y26" s="83"/>
      <c r="Z26" s="87"/>
    </row>
    <row r="27" spans="1:26" x14ac:dyDescent="0.35">
      <c r="A27" s="78" t="s">
        <v>144</v>
      </c>
      <c r="B27" s="122" t="s">
        <v>172</v>
      </c>
      <c r="C27" s="110"/>
      <c r="D27" s="88"/>
      <c r="E27" s="88"/>
      <c r="F27" s="88"/>
      <c r="G27" s="88"/>
      <c r="H27" s="88"/>
      <c r="I27" s="88"/>
      <c r="J27" s="72"/>
      <c r="K27" s="72"/>
      <c r="L27" s="88"/>
      <c r="M27" s="88"/>
      <c r="N27" s="88"/>
      <c r="O27" s="88"/>
      <c r="P27" s="88"/>
      <c r="Q27" s="88"/>
      <c r="R27" s="72"/>
      <c r="S27" s="72"/>
      <c r="T27" s="123"/>
      <c r="U27" s="123"/>
      <c r="V27" s="123"/>
      <c r="W27" s="123"/>
      <c r="X27" s="123"/>
      <c r="Y27" s="123"/>
      <c r="Z27" s="127"/>
    </row>
    <row r="28" spans="1:26" x14ac:dyDescent="0.35">
      <c r="A28" s="78" t="s">
        <v>5</v>
      </c>
      <c r="B28" s="79" t="s">
        <v>5</v>
      </c>
      <c r="C28" s="110"/>
      <c r="D28" s="88"/>
      <c r="E28" s="88"/>
      <c r="F28" s="88"/>
      <c r="G28" s="88"/>
      <c r="H28" s="88"/>
      <c r="I28" s="88"/>
      <c r="J28" s="72"/>
      <c r="K28" s="72"/>
      <c r="L28" s="88"/>
      <c r="M28" s="88"/>
      <c r="N28" s="88"/>
      <c r="O28" s="88"/>
      <c r="P28" s="88"/>
      <c r="Q28" s="88"/>
      <c r="R28" s="72"/>
      <c r="S28" s="72"/>
      <c r="T28" s="88"/>
      <c r="U28" s="88"/>
      <c r="V28" s="88"/>
      <c r="W28" s="72"/>
      <c r="X28" s="72"/>
      <c r="Y28" s="88"/>
      <c r="Z28" s="74"/>
    </row>
    <row r="29" spans="1:26" x14ac:dyDescent="0.35">
      <c r="A29" s="78" t="s">
        <v>167</v>
      </c>
      <c r="B29" s="79" t="s">
        <v>161</v>
      </c>
      <c r="C29" s="73"/>
      <c r="D29" s="72"/>
      <c r="E29" s="81"/>
      <c r="F29" s="72"/>
      <c r="G29" s="72"/>
      <c r="H29" s="81"/>
      <c r="I29" s="72"/>
      <c r="J29" s="81"/>
      <c r="K29" s="83"/>
      <c r="L29" s="83"/>
      <c r="M29" s="83"/>
      <c r="N29" s="83"/>
      <c r="O29" s="83"/>
      <c r="P29" s="72"/>
      <c r="Q29" s="72"/>
      <c r="R29" s="72"/>
      <c r="S29" s="72"/>
      <c r="T29" s="88"/>
      <c r="U29" s="88"/>
      <c r="V29" s="88"/>
      <c r="W29" s="88"/>
      <c r="X29" s="88"/>
      <c r="Y29" s="88"/>
      <c r="Z29" s="74"/>
    </row>
    <row r="30" spans="1:26" x14ac:dyDescent="0.35">
      <c r="A30" s="78" t="s">
        <v>168</v>
      </c>
      <c r="B30" s="79" t="s">
        <v>162</v>
      </c>
      <c r="C30" s="73"/>
      <c r="D30" s="72"/>
      <c r="E30" s="81"/>
      <c r="F30" s="72"/>
      <c r="G30" s="72"/>
      <c r="H30" s="81"/>
      <c r="I30" s="72"/>
      <c r="J30" s="81"/>
      <c r="K30" s="83"/>
      <c r="L30" s="83"/>
      <c r="M30" s="83"/>
      <c r="N30" s="83"/>
      <c r="O30" s="83"/>
      <c r="P30" s="72"/>
      <c r="Q30" s="72"/>
      <c r="R30" s="72"/>
      <c r="S30" s="72"/>
      <c r="T30" s="88"/>
      <c r="U30" s="88"/>
      <c r="V30" s="88"/>
      <c r="W30" s="88"/>
      <c r="X30" s="88"/>
      <c r="Y30" s="88"/>
      <c r="Z30" s="74"/>
    </row>
    <row r="31" spans="1:26" x14ac:dyDescent="0.35">
      <c r="A31" s="78"/>
      <c r="B31" s="79" t="s">
        <v>163</v>
      </c>
      <c r="C31" s="73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83"/>
      <c r="O31" s="72"/>
      <c r="P31" s="72"/>
      <c r="Q31" s="83"/>
      <c r="R31" s="83"/>
      <c r="S31" s="72"/>
      <c r="T31" s="83"/>
      <c r="U31" s="83"/>
      <c r="V31" s="83"/>
      <c r="W31" s="83"/>
      <c r="X31" s="83"/>
      <c r="Y31" s="83"/>
      <c r="Z31" s="87"/>
    </row>
    <row r="32" spans="1:26" x14ac:dyDescent="0.35">
      <c r="A32" s="78"/>
      <c r="B32" s="79" t="s">
        <v>164</v>
      </c>
      <c r="C32" s="73"/>
      <c r="D32" s="72"/>
      <c r="E32" s="72"/>
      <c r="F32" s="72"/>
      <c r="G32" s="72"/>
      <c r="H32" s="72"/>
      <c r="I32" s="72"/>
      <c r="J32" s="72"/>
      <c r="K32" s="72"/>
      <c r="L32" s="72"/>
      <c r="M32" s="72"/>
      <c r="N32" s="83"/>
      <c r="O32" s="72"/>
      <c r="P32" s="72"/>
      <c r="Q32" s="83"/>
      <c r="R32" s="83"/>
      <c r="S32" s="72"/>
      <c r="T32" s="83"/>
      <c r="U32" s="83"/>
      <c r="V32" s="83"/>
      <c r="W32" s="83"/>
      <c r="X32" s="83"/>
      <c r="Y32" s="83"/>
      <c r="Z32" s="87"/>
    </row>
    <row r="33" spans="1:26" x14ac:dyDescent="0.35">
      <c r="A33" s="90"/>
      <c r="B33" s="103" t="s">
        <v>165</v>
      </c>
      <c r="C33" s="110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3"/>
      <c r="O33" s="88"/>
      <c r="P33" s="83"/>
      <c r="Q33" s="88"/>
      <c r="R33" s="88"/>
      <c r="S33" s="83"/>
      <c r="T33" s="88"/>
      <c r="U33" s="88"/>
      <c r="V33" s="88"/>
      <c r="W33" s="88"/>
      <c r="X33" s="88"/>
      <c r="Y33" s="88"/>
      <c r="Z33" s="89"/>
    </row>
    <row r="34" spans="1:26" ht="15" thickBot="1" x14ac:dyDescent="0.4">
      <c r="A34" s="91"/>
      <c r="B34" s="104" t="s">
        <v>166</v>
      </c>
      <c r="C34" s="75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111"/>
      <c r="O34" s="76"/>
      <c r="P34" s="111"/>
      <c r="Q34" s="76"/>
      <c r="R34" s="76"/>
      <c r="S34" s="111"/>
      <c r="T34" s="76"/>
      <c r="U34" s="76"/>
      <c r="V34" s="76"/>
      <c r="W34" s="76"/>
      <c r="X34" s="76"/>
      <c r="Y34" s="76"/>
      <c r="Z34" s="77"/>
    </row>
    <row r="35" spans="1:26" x14ac:dyDescent="0.35">
      <c r="A35" s="239"/>
      <c r="B35" s="239"/>
    </row>
    <row r="36" spans="1:26" x14ac:dyDescent="0.35">
      <c r="A36" s="113"/>
      <c r="B36" s="113"/>
    </row>
    <row r="38" spans="1:26" ht="15" thickBot="1" x14ac:dyDescent="0.4">
      <c r="A38" s="258" t="s">
        <v>192</v>
      </c>
      <c r="B38" s="258"/>
      <c r="C38" s="258"/>
      <c r="D38" s="258"/>
      <c r="E38" s="258"/>
      <c r="F38" s="258"/>
      <c r="G38" s="258"/>
      <c r="H38" s="66"/>
      <c r="I38" s="66"/>
      <c r="J38" s="66"/>
      <c r="K38" s="66"/>
      <c r="L38" s="66"/>
      <c r="M38" s="66"/>
      <c r="N38" s="66"/>
      <c r="O38" s="66"/>
      <c r="P38" s="66"/>
      <c r="Q38" s="66"/>
      <c r="R38" s="66"/>
      <c r="S38" s="66"/>
    </row>
    <row r="39" spans="1:26" ht="15" thickBot="1" x14ac:dyDescent="0.4">
      <c r="A39" s="130" t="s">
        <v>184</v>
      </c>
      <c r="B39" s="135" t="s">
        <v>185</v>
      </c>
      <c r="C39" s="240" t="s">
        <v>186</v>
      </c>
      <c r="D39" s="241"/>
      <c r="E39" s="140" t="s">
        <v>113</v>
      </c>
      <c r="F39" s="236" t="s">
        <v>187</v>
      </c>
      <c r="G39" s="238"/>
      <c r="J39" s="236" t="s">
        <v>188</v>
      </c>
      <c r="K39" s="237"/>
      <c r="L39" s="237"/>
      <c r="M39" s="237"/>
      <c r="N39" s="237"/>
      <c r="O39" s="237"/>
      <c r="P39" s="237"/>
      <c r="Q39" s="238"/>
      <c r="R39" s="236" t="s">
        <v>191</v>
      </c>
      <c r="S39" s="238"/>
      <c r="T39" s="140" t="s">
        <v>113</v>
      </c>
    </row>
    <row r="40" spans="1:26" ht="15" thickBot="1" x14ac:dyDescent="0.4">
      <c r="A40" s="132">
        <v>1</v>
      </c>
      <c r="B40" s="71">
        <v>7.3320173312495379E-2</v>
      </c>
      <c r="C40" s="240">
        <f>RANK($B40,$B$40:$B$63,0)</f>
        <v>21</v>
      </c>
      <c r="D40" s="241"/>
      <c r="E40" s="136"/>
      <c r="F40" s="252">
        <v>63</v>
      </c>
      <c r="G40" s="253"/>
      <c r="H40" s="134"/>
      <c r="J40" s="17" t="s">
        <v>189</v>
      </c>
      <c r="K40" s="5"/>
      <c r="L40" s="5"/>
      <c r="M40" s="5"/>
      <c r="N40" s="5"/>
      <c r="O40" s="5"/>
      <c r="P40" s="242">
        <f>AVERAGE(C46,C48,C49,C50,C51,C53,C54,C57,C59,C60,C61)</f>
        <v>9.1818181818181817</v>
      </c>
      <c r="Q40" s="241"/>
      <c r="R40" s="267">
        <f>AVERAGE(B46,B48,B49,B50,B51,B53,B54,B57,B59,B60,B61)</f>
        <v>0.65968499511697365</v>
      </c>
      <c r="S40" s="268"/>
      <c r="T40" s="142"/>
    </row>
    <row r="41" spans="1:26" ht="15" thickBot="1" x14ac:dyDescent="0.4">
      <c r="A41" s="128">
        <v>2</v>
      </c>
      <c r="B41" s="2">
        <v>7.4931164374884465E-2</v>
      </c>
      <c r="C41" s="229">
        <f t="shared" ref="C41:C63" si="0">RANK($B41,$B$40:$B$63,0)</f>
        <v>20</v>
      </c>
      <c r="D41" s="230"/>
      <c r="E41" s="136"/>
      <c r="F41" s="254">
        <v>252</v>
      </c>
      <c r="G41" s="255"/>
      <c r="H41" s="134"/>
      <c r="J41" s="19" t="s">
        <v>190</v>
      </c>
      <c r="K41" s="20"/>
      <c r="L41" s="20"/>
      <c r="M41" s="20"/>
      <c r="N41" s="20"/>
      <c r="O41" s="20"/>
      <c r="P41" s="265">
        <f>AVERAGE(C47,C52,C55,C56,C58,C62,C63)</f>
        <v>12.571428571428571</v>
      </c>
      <c r="Q41" s="266"/>
      <c r="R41" s="269">
        <f>AVERAGE(B47,B52,B55,B56,B58,B62,B63)</f>
        <v>0.40254810554454395</v>
      </c>
      <c r="S41" s="266"/>
      <c r="T41" s="143"/>
    </row>
    <row r="42" spans="1:26" ht="15" thickBot="1" x14ac:dyDescent="0.4">
      <c r="A42" s="128">
        <v>3</v>
      </c>
      <c r="B42" s="2">
        <v>0.24395285570395542</v>
      </c>
      <c r="C42" s="229">
        <f t="shared" si="0"/>
        <v>15</v>
      </c>
      <c r="D42" s="230"/>
      <c r="E42" s="136"/>
      <c r="F42" s="254">
        <v>252</v>
      </c>
      <c r="G42" s="255"/>
      <c r="H42" s="134"/>
    </row>
    <row r="43" spans="1:26" x14ac:dyDescent="0.35">
      <c r="A43" s="128">
        <v>4</v>
      </c>
      <c r="B43" s="2">
        <v>-0.49036789240080758</v>
      </c>
      <c r="C43" s="229">
        <f t="shared" si="0"/>
        <v>23</v>
      </c>
      <c r="D43" s="230"/>
      <c r="E43" s="137"/>
      <c r="F43" s="254">
        <v>252</v>
      </c>
      <c r="G43" s="255"/>
      <c r="H43" s="134"/>
      <c r="J43" s="141"/>
      <c r="K43" s="259" t="s">
        <v>193</v>
      </c>
      <c r="L43" s="260"/>
      <c r="M43" s="260"/>
      <c r="N43" s="260"/>
      <c r="O43" s="260"/>
      <c r="P43" s="260"/>
      <c r="Q43" s="260"/>
      <c r="R43" s="260"/>
      <c r="S43" s="260"/>
      <c r="T43" s="261"/>
    </row>
    <row r="44" spans="1:26" ht="15" thickBot="1" x14ac:dyDescent="0.4">
      <c r="A44" s="128">
        <v>5</v>
      </c>
      <c r="B44" s="2">
        <v>0.19217658978516325</v>
      </c>
      <c r="C44" s="229">
        <f t="shared" si="0"/>
        <v>17</v>
      </c>
      <c r="D44" s="230"/>
      <c r="E44" s="137"/>
      <c r="F44" s="254">
        <v>63</v>
      </c>
      <c r="G44" s="255"/>
      <c r="H44" s="134"/>
      <c r="J44" s="142"/>
      <c r="K44" s="262" t="s">
        <v>194</v>
      </c>
      <c r="L44" s="263"/>
      <c r="M44" s="263"/>
      <c r="N44" s="263"/>
      <c r="O44" s="263"/>
      <c r="P44" s="263"/>
      <c r="Q44" s="263"/>
      <c r="R44" s="263"/>
      <c r="S44" s="263"/>
      <c r="T44" s="264"/>
    </row>
    <row r="45" spans="1:26" x14ac:dyDescent="0.35">
      <c r="A45" s="128">
        <v>6</v>
      </c>
      <c r="B45" s="2">
        <v>0.27425452295439284</v>
      </c>
      <c r="C45" s="229">
        <f t="shared" si="0"/>
        <v>14</v>
      </c>
      <c r="D45" s="230"/>
      <c r="E45" s="137"/>
      <c r="F45" s="254">
        <v>252</v>
      </c>
      <c r="G45" s="255"/>
      <c r="H45" s="134"/>
    </row>
    <row r="46" spans="1:26" x14ac:dyDescent="0.35">
      <c r="A46" s="128" t="s">
        <v>44</v>
      </c>
      <c r="B46" s="131">
        <v>-0.59923391535326154</v>
      </c>
      <c r="C46" s="229">
        <f t="shared" si="0"/>
        <v>24</v>
      </c>
      <c r="D46" s="230"/>
      <c r="E46" s="136"/>
      <c r="F46" s="254">
        <v>63</v>
      </c>
      <c r="G46" s="255"/>
      <c r="H46" s="134"/>
    </row>
    <row r="47" spans="1:26" x14ac:dyDescent="0.35">
      <c r="A47" s="128" t="s">
        <v>45</v>
      </c>
      <c r="B47" s="2">
        <v>-0.33069729651070606</v>
      </c>
      <c r="C47" s="229">
        <f t="shared" si="0"/>
        <v>22</v>
      </c>
      <c r="D47" s="230"/>
      <c r="E47" s="137"/>
      <c r="F47" s="254">
        <v>252</v>
      </c>
      <c r="G47" s="255"/>
      <c r="H47" s="134"/>
    </row>
    <row r="48" spans="1:26" x14ac:dyDescent="0.35">
      <c r="A48" s="128" t="s">
        <v>50</v>
      </c>
      <c r="B48" s="131">
        <v>0.97195773969593557</v>
      </c>
      <c r="C48" s="229">
        <f t="shared" si="0"/>
        <v>5</v>
      </c>
      <c r="D48" s="230"/>
      <c r="E48" s="136"/>
      <c r="F48" s="254">
        <v>63</v>
      </c>
      <c r="G48" s="255"/>
      <c r="H48" s="134"/>
    </row>
    <row r="49" spans="1:8" x14ac:dyDescent="0.35">
      <c r="A49" s="128" t="s">
        <v>55</v>
      </c>
      <c r="B49" s="131">
        <v>0.56142804432991145</v>
      </c>
      <c r="C49" s="229">
        <f t="shared" si="0"/>
        <v>9</v>
      </c>
      <c r="D49" s="230"/>
      <c r="E49" s="136"/>
      <c r="F49" s="254">
        <v>63</v>
      </c>
      <c r="G49" s="255"/>
      <c r="H49" s="134"/>
    </row>
    <row r="50" spans="1:8" x14ac:dyDescent="0.35">
      <c r="A50" s="128" t="s">
        <v>60</v>
      </c>
      <c r="B50" s="2">
        <v>0.4396645719930477</v>
      </c>
      <c r="C50" s="229">
        <f t="shared" si="0"/>
        <v>11</v>
      </c>
      <c r="D50" s="230"/>
      <c r="E50" s="136"/>
      <c r="F50" s="254">
        <v>63</v>
      </c>
      <c r="G50" s="255"/>
      <c r="H50" s="134"/>
    </row>
    <row r="51" spans="1:8" x14ac:dyDescent="0.35">
      <c r="A51" s="128" t="s">
        <v>62</v>
      </c>
      <c r="B51" s="2">
        <v>0.68887978851703724</v>
      </c>
      <c r="C51" s="229">
        <f t="shared" si="0"/>
        <v>8</v>
      </c>
      <c r="D51" s="230"/>
      <c r="E51" s="136"/>
      <c r="F51" s="254">
        <v>63</v>
      </c>
      <c r="G51" s="255"/>
      <c r="H51" s="134"/>
    </row>
    <row r="52" spans="1:8" x14ac:dyDescent="0.35">
      <c r="A52" s="128" t="s">
        <v>86</v>
      </c>
      <c r="B52" s="2">
        <v>0.97096861454848626</v>
      </c>
      <c r="C52" s="229">
        <f t="shared" si="0"/>
        <v>6</v>
      </c>
      <c r="D52" s="230"/>
      <c r="E52" s="137"/>
      <c r="F52" s="254">
        <v>252</v>
      </c>
      <c r="G52" s="255"/>
      <c r="H52" s="134"/>
    </row>
    <row r="53" spans="1:8" x14ac:dyDescent="0.35">
      <c r="A53" s="128" t="s">
        <v>90</v>
      </c>
      <c r="B53" s="2">
        <v>0.19171407082842687</v>
      </c>
      <c r="C53" s="229">
        <f t="shared" si="0"/>
        <v>18</v>
      </c>
      <c r="D53" s="230"/>
      <c r="E53" s="136"/>
      <c r="F53" s="254">
        <v>63</v>
      </c>
      <c r="G53" s="255"/>
      <c r="H53" s="134"/>
    </row>
    <row r="54" spans="1:8" x14ac:dyDescent="0.35">
      <c r="A54" s="128" t="s">
        <v>92</v>
      </c>
      <c r="B54" s="144">
        <v>0.8825645930337106</v>
      </c>
      <c r="C54" s="229">
        <f t="shared" si="0"/>
        <v>7</v>
      </c>
      <c r="D54" s="230"/>
      <c r="E54" s="136"/>
      <c r="F54" s="254">
        <v>63</v>
      </c>
      <c r="G54" s="255"/>
      <c r="H54" s="134"/>
    </row>
    <row r="55" spans="1:8" x14ac:dyDescent="0.35">
      <c r="A55" s="128" t="s">
        <v>100</v>
      </c>
      <c r="B55" s="131">
        <v>0.19171407082842687</v>
      </c>
      <c r="C55" s="229">
        <f t="shared" si="0"/>
        <v>18</v>
      </c>
      <c r="D55" s="230"/>
      <c r="E55" s="137"/>
      <c r="F55" s="254">
        <v>252</v>
      </c>
      <c r="G55" s="255"/>
      <c r="H55" s="134"/>
    </row>
    <row r="56" spans="1:8" x14ac:dyDescent="0.35">
      <c r="A56" s="128" t="s">
        <v>106</v>
      </c>
      <c r="B56" s="2">
        <v>0.2097083042258151</v>
      </c>
      <c r="C56" s="229">
        <f t="shared" si="0"/>
        <v>16</v>
      </c>
      <c r="D56" s="230"/>
      <c r="E56" s="137"/>
      <c r="F56" s="254">
        <v>252</v>
      </c>
      <c r="G56" s="255"/>
      <c r="H56" s="134"/>
    </row>
    <row r="57" spans="1:8" x14ac:dyDescent="0.35">
      <c r="A57" s="128" t="s">
        <v>112</v>
      </c>
      <c r="B57" s="2">
        <v>1.2349858201846147</v>
      </c>
      <c r="C57" s="229">
        <f t="shared" si="0"/>
        <v>2</v>
      </c>
      <c r="D57" s="230"/>
      <c r="E57" s="136"/>
      <c r="F57" s="254">
        <v>63</v>
      </c>
      <c r="G57" s="255"/>
      <c r="H57" s="134"/>
    </row>
    <row r="58" spans="1:8" x14ac:dyDescent="0.35">
      <c r="A58" s="128" t="s">
        <v>113</v>
      </c>
      <c r="B58" s="2">
        <v>0.4614321845871216</v>
      </c>
      <c r="C58" s="229">
        <f t="shared" si="0"/>
        <v>10</v>
      </c>
      <c r="D58" s="230"/>
      <c r="E58" s="137"/>
      <c r="F58" s="254">
        <v>252</v>
      </c>
      <c r="G58" s="255"/>
      <c r="H58" s="134"/>
    </row>
    <row r="59" spans="1:8" x14ac:dyDescent="0.35">
      <c r="A59" s="128" t="s">
        <v>116</v>
      </c>
      <c r="B59" s="2">
        <v>1.588629806687035</v>
      </c>
      <c r="C59" s="229">
        <f t="shared" si="0"/>
        <v>1</v>
      </c>
      <c r="D59" s="230"/>
      <c r="E59" s="136"/>
      <c r="F59" s="254">
        <v>63</v>
      </c>
      <c r="G59" s="255"/>
      <c r="H59" s="134"/>
    </row>
    <row r="60" spans="1:8" x14ac:dyDescent="0.35">
      <c r="A60" s="128" t="s">
        <v>119</v>
      </c>
      <c r="B60" s="2">
        <v>0.98319091669490988</v>
      </c>
      <c r="C60" s="229">
        <f t="shared" si="0"/>
        <v>3</v>
      </c>
      <c r="D60" s="230"/>
      <c r="E60" s="136"/>
      <c r="F60" s="254">
        <v>63</v>
      </c>
      <c r="G60" s="255"/>
      <c r="H60" s="134"/>
    </row>
    <row r="61" spans="1:8" x14ac:dyDescent="0.35">
      <c r="A61" s="128" t="s">
        <v>120</v>
      </c>
      <c r="B61" s="2">
        <v>0.3127535096753421</v>
      </c>
      <c r="C61" s="229">
        <f t="shared" si="0"/>
        <v>13</v>
      </c>
      <c r="D61" s="230"/>
      <c r="E61" s="136"/>
      <c r="F61" s="254">
        <v>63</v>
      </c>
      <c r="G61" s="255"/>
      <c r="H61" s="134"/>
    </row>
    <row r="62" spans="1:8" x14ac:dyDescent="0.35">
      <c r="A62" s="128" t="s">
        <v>151</v>
      </c>
      <c r="B62" s="2">
        <v>0.97414215409825888</v>
      </c>
      <c r="C62" s="229">
        <f t="shared" si="0"/>
        <v>4</v>
      </c>
      <c r="D62" s="230"/>
      <c r="E62" s="137"/>
      <c r="F62" s="254">
        <v>63</v>
      </c>
      <c r="G62" s="255"/>
      <c r="H62" s="134"/>
    </row>
    <row r="63" spans="1:8" ht="15" thickBot="1" x14ac:dyDescent="0.4">
      <c r="A63" s="129" t="s">
        <v>150</v>
      </c>
      <c r="B63" s="70">
        <v>0.340568707034405</v>
      </c>
      <c r="C63" s="250">
        <f t="shared" si="0"/>
        <v>12</v>
      </c>
      <c r="D63" s="251"/>
      <c r="E63" s="138"/>
      <c r="F63" s="256">
        <v>121</v>
      </c>
      <c r="G63" s="257"/>
      <c r="H63" s="134"/>
    </row>
  </sheetData>
  <mergeCells count="70">
    <mergeCell ref="A1:Z1"/>
    <mergeCell ref="A38:G38"/>
    <mergeCell ref="A4:B4"/>
    <mergeCell ref="K43:T43"/>
    <mergeCell ref="K44:T44"/>
    <mergeCell ref="P41:Q41"/>
    <mergeCell ref="R40:S40"/>
    <mergeCell ref="R41:S41"/>
    <mergeCell ref="R39:S39"/>
    <mergeCell ref="C41:D41"/>
    <mergeCell ref="C42:D42"/>
    <mergeCell ref="C43:D43"/>
    <mergeCell ref="C44:D44"/>
    <mergeCell ref="F63:G63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45:G45"/>
    <mergeCell ref="F46:G46"/>
    <mergeCell ref="F47:G47"/>
    <mergeCell ref="F48:G48"/>
    <mergeCell ref="F49:G49"/>
    <mergeCell ref="F50:G50"/>
    <mergeCell ref="C59:D59"/>
    <mergeCell ref="C60:D60"/>
    <mergeCell ref="C61:D61"/>
    <mergeCell ref="C62:D62"/>
    <mergeCell ref="C51:D51"/>
    <mergeCell ref="C52:D52"/>
    <mergeCell ref="F62:G62"/>
    <mergeCell ref="C63:D63"/>
    <mergeCell ref="F40:G40"/>
    <mergeCell ref="F41:G41"/>
    <mergeCell ref="F42:G42"/>
    <mergeCell ref="F43:G43"/>
    <mergeCell ref="F44:G44"/>
    <mergeCell ref="C53:D53"/>
    <mergeCell ref="C54:D54"/>
    <mergeCell ref="C55:D55"/>
    <mergeCell ref="C56:D56"/>
    <mergeCell ref="C57:D57"/>
    <mergeCell ref="C58:D58"/>
    <mergeCell ref="C47:D47"/>
    <mergeCell ref="C48:D48"/>
    <mergeCell ref="C49:D49"/>
    <mergeCell ref="C50:D50"/>
    <mergeCell ref="C45:D45"/>
    <mergeCell ref="C46:D46"/>
    <mergeCell ref="A7:B7"/>
    <mergeCell ref="I5:Z5"/>
    <mergeCell ref="C2:Z2"/>
    <mergeCell ref="A35:B35"/>
    <mergeCell ref="C39:D39"/>
    <mergeCell ref="C40:D40"/>
    <mergeCell ref="F39:G39"/>
    <mergeCell ref="J39:Q39"/>
    <mergeCell ref="P40:Q40"/>
    <mergeCell ref="A2:A3"/>
    <mergeCell ref="B2:B3"/>
    <mergeCell ref="A5:B5"/>
    <mergeCell ref="C5:H5"/>
    <mergeCell ref="A6:B6"/>
  </mergeCells>
  <conditionalFormatting sqref="C40:D63">
    <cfRule type="colorScale" priority="3">
      <colorScale>
        <cfvo type="min"/>
        <cfvo type="max"/>
        <color rgb="FFFCFCFF"/>
        <color rgb="FFF8696B"/>
      </colorScale>
    </cfRule>
  </conditionalFormatting>
  <conditionalFormatting sqref="C4:Z4">
    <cfRule type="colorScale" priority="1">
      <colorScale>
        <cfvo type="min"/>
        <cfvo type="max"/>
        <color rgb="FFFCFCFF"/>
        <color rgb="FFF8696B"/>
      </colorScale>
    </cfRule>
  </conditionalFormatting>
  <conditionalFormatting sqref="AD5:BA5">
    <cfRule type="colorScale" priority="15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A0B4C-D5D2-4D34-96AE-9F23BE648BB4}">
  <dimension ref="A1:N1261"/>
  <sheetViews>
    <sheetView topLeftCell="B1" workbookViewId="0">
      <selection activeCell="I1285" sqref="I1285"/>
    </sheetView>
  </sheetViews>
  <sheetFormatPr defaultRowHeight="14.5" x14ac:dyDescent="0.35"/>
  <cols>
    <col min="1" max="1" width="10.54296875" bestFit="1" customWidth="1"/>
    <col min="2" max="2" width="10.7265625" bestFit="1" customWidth="1"/>
    <col min="3" max="3" width="10.453125" bestFit="1" customWidth="1"/>
    <col min="4" max="5" width="12.453125" bestFit="1" customWidth="1"/>
    <col min="6" max="6" width="17.90625" bestFit="1" customWidth="1"/>
    <col min="7" max="7" width="17.90625" customWidth="1"/>
    <col min="8" max="8" width="11.81640625" bestFit="1" customWidth="1"/>
    <col min="9" max="14" width="26.08984375" bestFit="1" customWidth="1"/>
  </cols>
  <sheetData>
    <row r="1" spans="1:14" x14ac:dyDescent="0.35">
      <c r="A1" t="s">
        <v>16</v>
      </c>
      <c r="B1" t="s">
        <v>17</v>
      </c>
      <c r="C1" t="s">
        <v>18</v>
      </c>
      <c r="D1" t="s">
        <v>19</v>
      </c>
      <c r="E1" t="s">
        <v>20</v>
      </c>
      <c r="F1" t="s">
        <v>21</v>
      </c>
      <c r="G1" t="s">
        <v>30</v>
      </c>
      <c r="H1" t="s">
        <v>22</v>
      </c>
      <c r="I1" t="s">
        <v>23</v>
      </c>
      <c r="J1" t="s">
        <v>24</v>
      </c>
      <c r="K1" t="s">
        <v>25</v>
      </c>
      <c r="L1" t="s">
        <v>26</v>
      </c>
      <c r="M1" t="s">
        <v>27</v>
      </c>
      <c r="N1" t="s">
        <v>28</v>
      </c>
    </row>
    <row r="2" spans="1:14" x14ac:dyDescent="0.35">
      <c r="A2">
        <v>0</v>
      </c>
      <c r="B2" t="s">
        <v>29</v>
      </c>
      <c r="C2" s="23">
        <v>42373</v>
      </c>
      <c r="D2">
        <v>1.1938175756882E-3</v>
      </c>
      <c r="E2">
        <v>0.99114674000000003</v>
      </c>
      <c r="F2">
        <v>1.1832484022347681E-3</v>
      </c>
      <c r="G2">
        <f>captured_returns_sw[[#This Row],[captured_returns]]</f>
        <v>1.1832484022347681E-3</v>
      </c>
      <c r="H2">
        <v>1.08344227491231E-2</v>
      </c>
      <c r="I2">
        <v>1.1832484022347681E-3</v>
      </c>
      <c r="J2">
        <v>1.1832484022347681E-3</v>
      </c>
      <c r="K2">
        <v>1.1832484022347681E-3</v>
      </c>
      <c r="L2">
        <v>1.1832484022347681E-3</v>
      </c>
      <c r="M2">
        <v>1.1832484022347681E-3</v>
      </c>
      <c r="N2">
        <v>1.1832484022347681E-3</v>
      </c>
    </row>
    <row r="3" spans="1:14" x14ac:dyDescent="0.35">
      <c r="A3">
        <v>1</v>
      </c>
      <c r="B3" t="s">
        <v>29</v>
      </c>
      <c r="C3" s="23">
        <v>42374</v>
      </c>
      <c r="D3">
        <v>-1.13450405821705E-2</v>
      </c>
      <c r="E3">
        <v>0.98564010000000002</v>
      </c>
      <c r="F3">
        <v>-1.1182127031315822E-2</v>
      </c>
      <c r="G3">
        <f>G2+captured_returns_sw[[#This Row],[captured_returns]]</f>
        <v>-9.9988786290810538E-3</v>
      </c>
      <c r="H3">
        <v>1.06607598009408E-2</v>
      </c>
      <c r="I3">
        <v>-1.1182587059122109E-2</v>
      </c>
      <c r="J3">
        <v>-1.1183047086928397E-2</v>
      </c>
      <c r="K3">
        <v>-1.1183507114734684E-2</v>
      </c>
      <c r="L3">
        <v>-1.1183967142540972E-2</v>
      </c>
      <c r="M3">
        <v>-1.1184427170347257E-2</v>
      </c>
      <c r="N3">
        <v>-1.1184887198153545E-2</v>
      </c>
    </row>
    <row r="4" spans="1:14" x14ac:dyDescent="0.35">
      <c r="A4">
        <v>2</v>
      </c>
      <c r="B4" t="s">
        <v>29</v>
      </c>
      <c r="C4" s="23">
        <v>42375</v>
      </c>
      <c r="D4">
        <v>-2.3531727991821301E-2</v>
      </c>
      <c r="E4">
        <v>0.99188580000000004</v>
      </c>
      <c r="F4">
        <v>-2.3340786404227831E-2</v>
      </c>
      <c r="G4">
        <f>G3+captured_returns_sw[[#This Row],[captured_returns]]</f>
        <v>-3.3339665033308888E-2</v>
      </c>
      <c r="H4">
        <v>1.0716026883563001E-2</v>
      </c>
      <c r="I4">
        <v>-2.3340836487059667E-2</v>
      </c>
      <c r="J4">
        <v>-2.3340886569891504E-2</v>
      </c>
      <c r="K4">
        <v>-2.334093665272334E-2</v>
      </c>
      <c r="L4">
        <v>-2.3340986735555177E-2</v>
      </c>
      <c r="M4">
        <v>-2.3341036818387013E-2</v>
      </c>
      <c r="N4">
        <v>-2.334108690121885E-2</v>
      </c>
    </row>
    <row r="5" spans="1:14" x14ac:dyDescent="0.35">
      <c r="A5">
        <v>3</v>
      </c>
      <c r="B5" t="s">
        <v>29</v>
      </c>
      <c r="C5" s="23">
        <v>42376</v>
      </c>
      <c r="D5">
        <v>-9.1281309577458999E-3</v>
      </c>
      <c r="E5">
        <v>0.99598472999999998</v>
      </c>
      <c r="F5">
        <v>-9.0914790756953523E-3</v>
      </c>
      <c r="G5">
        <f>G4+captured_returns_sw[[#This Row],[captured_returns]]</f>
        <v>-4.243114410900424E-2</v>
      </c>
      <c r="H5">
        <v>1.1513721821901701E-2</v>
      </c>
      <c r="I5">
        <v>-9.0943406527704222E-3</v>
      </c>
      <c r="J5">
        <v>-9.0972022298454903E-3</v>
      </c>
      <c r="K5">
        <v>-9.1000638069205601E-3</v>
      </c>
      <c r="L5">
        <v>-9.1029253839956283E-3</v>
      </c>
      <c r="M5">
        <v>-9.1057869610706981E-3</v>
      </c>
      <c r="N5">
        <v>-9.108648538145768E-3</v>
      </c>
    </row>
    <row r="6" spans="1:14" x14ac:dyDescent="0.35">
      <c r="A6">
        <v>4</v>
      </c>
      <c r="B6" t="s">
        <v>29</v>
      </c>
      <c r="C6" s="23">
        <v>42377</v>
      </c>
      <c r="D6">
        <v>1.1873848514223999E-3</v>
      </c>
      <c r="E6">
        <v>0.99378692999999996</v>
      </c>
      <c r="F6">
        <v>1.180007547455963E-3</v>
      </c>
      <c r="G6">
        <f>G5+captured_returns_sw[[#This Row],[captured_returns]]</f>
        <v>-4.1251136561548274E-2</v>
      </c>
      <c r="H6">
        <v>1.14487448380789E-2</v>
      </c>
      <c r="I6">
        <v>1.1798662922132873E-3</v>
      </c>
      <c r="J6">
        <v>1.1797250369706114E-3</v>
      </c>
      <c r="K6">
        <v>1.1795837817279357E-3</v>
      </c>
      <c r="L6">
        <v>1.1794425264852598E-3</v>
      </c>
      <c r="M6">
        <v>1.1793012712425842E-3</v>
      </c>
      <c r="N6">
        <v>1.1791600159999083E-3</v>
      </c>
    </row>
    <row r="7" spans="1:14" x14ac:dyDescent="0.35">
      <c r="A7">
        <v>5</v>
      </c>
      <c r="B7" t="s">
        <v>29</v>
      </c>
      <c r="C7" s="23">
        <v>42380</v>
      </c>
      <c r="D7">
        <v>4.7056636207646E-3</v>
      </c>
      <c r="E7">
        <v>0.99083083999999999</v>
      </c>
      <c r="F7">
        <v>4.6625166319094122E-3</v>
      </c>
      <c r="G7">
        <f>G6+captured_returns_sw[[#This Row],[captured_returns]]</f>
        <v>-3.6588619929638862E-2</v>
      </c>
      <c r="H7">
        <v>1.1276645250365201E-2</v>
      </c>
      <c r="I7">
        <v>4.6620145952247652E-3</v>
      </c>
      <c r="J7">
        <v>4.6615125585401191E-3</v>
      </c>
      <c r="K7">
        <v>4.6610105218554722E-3</v>
      </c>
      <c r="L7">
        <v>4.6605084851708261E-3</v>
      </c>
      <c r="M7">
        <v>4.6600064484861791E-3</v>
      </c>
      <c r="N7">
        <v>4.6595044118015331E-3</v>
      </c>
    </row>
    <row r="8" spans="1:14" x14ac:dyDescent="0.35">
      <c r="A8">
        <v>6</v>
      </c>
      <c r="B8" t="s">
        <v>29</v>
      </c>
      <c r="C8" s="23">
        <v>42381</v>
      </c>
      <c r="D8">
        <v>-1.9112073182649299E-2</v>
      </c>
      <c r="E8">
        <v>0.98923510000000003</v>
      </c>
      <c r="F8">
        <v>-1.8906333685872696E-2</v>
      </c>
      <c r="G8">
        <f>G7+captured_returns_sw[[#This Row],[captured_returns]]</f>
        <v>-5.5494953615511558E-2</v>
      </c>
      <c r="H8">
        <v>1.11722774427455E-2</v>
      </c>
      <c r="I8">
        <v>-1.8906654003811012E-2</v>
      </c>
      <c r="J8">
        <v>-1.8906974321749332E-2</v>
      </c>
      <c r="K8">
        <v>-1.8907294639687648E-2</v>
      </c>
      <c r="L8">
        <v>-1.8907614957625968E-2</v>
      </c>
      <c r="M8">
        <v>-1.8907935275564284E-2</v>
      </c>
      <c r="N8">
        <v>-1.89082555935026E-2</v>
      </c>
    </row>
    <row r="9" spans="1:14" x14ac:dyDescent="0.35">
      <c r="A9">
        <v>7</v>
      </c>
      <c r="B9" t="s">
        <v>29</v>
      </c>
      <c r="C9" s="23">
        <v>42382</v>
      </c>
      <c r="D9">
        <v>1.42711137014417E-2</v>
      </c>
      <c r="E9">
        <v>0.99572890000000003</v>
      </c>
      <c r="F9">
        <v>1.4210160489984911E-2</v>
      </c>
      <c r="G9">
        <f>G8+captured_returns_sw[[#This Row],[captured_returns]]</f>
        <v>-4.1284793125526645E-2</v>
      </c>
      <c r="H9">
        <v>1.1612957578929699E-2</v>
      </c>
      <c r="I9">
        <v>1.4208837233691762E-2</v>
      </c>
      <c r="J9">
        <v>1.4207513977398613E-2</v>
      </c>
      <c r="K9">
        <v>1.4206190721105464E-2</v>
      </c>
      <c r="L9">
        <v>1.4204867464812317E-2</v>
      </c>
      <c r="M9">
        <v>1.4203544208519167E-2</v>
      </c>
      <c r="N9">
        <v>1.4202220952226018E-2</v>
      </c>
    </row>
    <row r="10" spans="1:14" x14ac:dyDescent="0.35">
      <c r="A10">
        <v>8</v>
      </c>
      <c r="B10" t="s">
        <v>29</v>
      </c>
      <c r="C10" s="23">
        <v>42383</v>
      </c>
      <c r="D10">
        <v>-1.62917682538169E-2</v>
      </c>
      <c r="E10">
        <v>0.98378085999999998</v>
      </c>
      <c r="F10">
        <v>-1.60275297983376E-2</v>
      </c>
      <c r="G10">
        <f>G9+captured_returns_sw[[#This Row],[captured_returns]]</f>
        <v>-5.7312322923864248E-2</v>
      </c>
      <c r="H10">
        <v>1.1966426837203999E-2</v>
      </c>
      <c r="I10">
        <v>-1.602919812133332E-2</v>
      </c>
      <c r="J10">
        <v>-1.6030866444329037E-2</v>
      </c>
      <c r="K10">
        <v>-1.6032534767324757E-2</v>
      </c>
      <c r="L10">
        <v>-1.6034203090320477E-2</v>
      </c>
      <c r="M10">
        <v>-1.6035871413316194E-2</v>
      </c>
      <c r="N10">
        <v>-1.6037539736311914E-2</v>
      </c>
    </row>
    <row r="11" spans="1:14" x14ac:dyDescent="0.35">
      <c r="A11">
        <v>9</v>
      </c>
      <c r="B11" t="s">
        <v>29</v>
      </c>
      <c r="C11" s="23">
        <v>42384</v>
      </c>
      <c r="D11">
        <v>-8.2277905156629999E-4</v>
      </c>
      <c r="E11">
        <v>0.99270486999999996</v>
      </c>
      <c r="F11">
        <v>-8.1677677003882238E-4</v>
      </c>
      <c r="G11">
        <f>G10+captured_returns_sw[[#This Row],[captured_returns]]</f>
        <v>-5.812909969390307E-2</v>
      </c>
      <c r="H11">
        <v>1.2250011220378099E-2</v>
      </c>
      <c r="I11">
        <v>-8.1733175874319547E-4</v>
      </c>
      <c r="J11">
        <v>-8.1788674744756866E-4</v>
      </c>
      <c r="K11">
        <v>-8.1844173615194175E-4</v>
      </c>
      <c r="L11">
        <v>-8.1899672485631495E-4</v>
      </c>
      <c r="M11">
        <v>-8.1955171356068804E-4</v>
      </c>
      <c r="N11">
        <v>-8.2010670226506112E-4</v>
      </c>
    </row>
    <row r="12" spans="1:14" x14ac:dyDescent="0.35">
      <c r="A12">
        <v>10</v>
      </c>
      <c r="B12" t="s">
        <v>29</v>
      </c>
      <c r="C12" s="23">
        <v>42388</v>
      </c>
      <c r="D12">
        <v>-7.5362033497882999E-3</v>
      </c>
      <c r="E12">
        <v>0.98483370000000003</v>
      </c>
      <c r="F12">
        <v>-7.4219071596488316E-3</v>
      </c>
      <c r="G12">
        <f>G11+captured_returns_sw[[#This Row],[captured_returns]]</f>
        <v>-6.5551006853551905E-2</v>
      </c>
      <c r="H12">
        <v>1.2049613251155399E-2</v>
      </c>
      <c r="I12">
        <v>-7.4222352806724108E-3</v>
      </c>
      <c r="J12">
        <v>-7.4225634016959899E-3</v>
      </c>
      <c r="K12">
        <v>-7.4228915227195691E-3</v>
      </c>
      <c r="L12">
        <v>-7.4232196437431482E-3</v>
      </c>
      <c r="M12">
        <v>-7.4235477647667273E-3</v>
      </c>
      <c r="N12">
        <v>-7.4238758857903056E-3</v>
      </c>
    </row>
    <row r="13" spans="1:14" x14ac:dyDescent="0.35">
      <c r="A13">
        <v>11</v>
      </c>
      <c r="B13" t="s">
        <v>29</v>
      </c>
      <c r="C13" s="23">
        <v>42389</v>
      </c>
      <c r="D13">
        <v>2.5632966942082001E-3</v>
      </c>
      <c r="E13">
        <v>0.98781675000000002</v>
      </c>
      <c r="F13">
        <v>2.5320674123301551E-3</v>
      </c>
      <c r="G13">
        <f>G12+captured_returns_sw[[#This Row],[captured_returns]]</f>
        <v>-6.301893944122175E-2</v>
      </c>
      <c r="H13">
        <v>1.19233817148118E-2</v>
      </c>
      <c r="I13">
        <v>2.5315404046658508E-3</v>
      </c>
      <c r="J13">
        <v>2.531013397001547E-3</v>
      </c>
      <c r="K13">
        <v>2.5304863893372428E-3</v>
      </c>
      <c r="L13">
        <v>2.5299593816729385E-3</v>
      </c>
      <c r="M13">
        <v>2.5294323740086343E-3</v>
      </c>
      <c r="N13">
        <v>2.5289053663443304E-3</v>
      </c>
    </row>
    <row r="14" spans="1:14" x14ac:dyDescent="0.35">
      <c r="A14">
        <v>12</v>
      </c>
      <c r="B14" t="s">
        <v>29</v>
      </c>
      <c r="C14" s="23">
        <v>42390</v>
      </c>
      <c r="D14">
        <v>1.64982209302733E-2</v>
      </c>
      <c r="E14">
        <v>0.98298609999999997</v>
      </c>
      <c r="F14">
        <v>1.621752172656377E-2</v>
      </c>
      <c r="G14">
        <f>G13+captured_returns_sw[[#This Row],[captured_returns]]</f>
        <v>-4.6801417714657984E-2</v>
      </c>
      <c r="H14">
        <v>1.17716933421717E-2</v>
      </c>
      <c r="I14">
        <v>1.6217211232132139E-2</v>
      </c>
      <c r="J14">
        <v>1.6216900737700508E-2</v>
      </c>
      <c r="K14">
        <v>1.6216590243268877E-2</v>
      </c>
      <c r="L14">
        <v>1.6216279748837249E-2</v>
      </c>
      <c r="M14">
        <v>1.6215969254405618E-2</v>
      </c>
      <c r="N14">
        <v>1.6215658759973987E-2</v>
      </c>
    </row>
    <row r="15" spans="1:14" x14ac:dyDescent="0.35">
      <c r="A15">
        <v>13</v>
      </c>
      <c r="B15" t="s">
        <v>29</v>
      </c>
      <c r="C15" s="23">
        <v>42391</v>
      </c>
      <c r="D15">
        <v>-1.1744660700344E-2</v>
      </c>
      <c r="E15">
        <v>0.97322909999999996</v>
      </c>
      <c r="F15">
        <v>-1.1430245683477483E-2</v>
      </c>
      <c r="G15">
        <f>G14+captured_returns_sw[[#This Row],[captured_returns]]</f>
        <v>-5.8231663398135465E-2</v>
      </c>
      <c r="H15">
        <v>1.2284751527560899E-2</v>
      </c>
      <c r="I15">
        <v>-1.1432268592208033E-2</v>
      </c>
      <c r="J15">
        <v>-1.1434291500938581E-2</v>
      </c>
      <c r="K15">
        <v>-1.1436314409669131E-2</v>
      </c>
      <c r="L15">
        <v>-1.143833731839968E-2</v>
      </c>
      <c r="M15">
        <v>-1.144036022713023E-2</v>
      </c>
      <c r="N15">
        <v>-1.1442383135860778E-2</v>
      </c>
    </row>
    <row r="16" spans="1:14" x14ac:dyDescent="0.35">
      <c r="A16">
        <v>14</v>
      </c>
      <c r="B16" t="s">
        <v>29</v>
      </c>
      <c r="C16" s="23">
        <v>42394</v>
      </c>
      <c r="D16">
        <v>1.0551885455043E-2</v>
      </c>
      <c r="E16">
        <v>0.99061732999999996</v>
      </c>
      <c r="F16">
        <v>1.0452880647039956E-2</v>
      </c>
      <c r="G16">
        <f>G15+captured_returns_sw[[#This Row],[captured_returns]]</f>
        <v>-4.7778782751095511E-2</v>
      </c>
      <c r="H16">
        <v>1.2329301999119E-2</v>
      </c>
      <c r="I16">
        <v>1.0452349579067363E-2</v>
      </c>
      <c r="J16">
        <v>1.0451818511094772E-2</v>
      </c>
      <c r="K16">
        <v>1.045128744312218E-2</v>
      </c>
      <c r="L16">
        <v>1.0450756375149587E-2</v>
      </c>
      <c r="M16">
        <v>1.0450225307176996E-2</v>
      </c>
      <c r="N16">
        <v>1.0449694239204404E-2</v>
      </c>
    </row>
    <row r="17" spans="1:14" x14ac:dyDescent="0.35">
      <c r="A17">
        <v>15</v>
      </c>
      <c r="B17" t="s">
        <v>29</v>
      </c>
      <c r="C17" s="23">
        <v>42395</v>
      </c>
      <c r="D17">
        <v>-8.4043174767967996E-3</v>
      </c>
      <c r="E17">
        <v>0.97693410000000003</v>
      </c>
      <c r="F17">
        <v>-8.2104641231888001E-3</v>
      </c>
      <c r="G17">
        <f>G16+captured_returns_sw[[#This Row],[captured_returns]]</f>
        <v>-5.5989246874284311E-2</v>
      </c>
      <c r="H17">
        <v>1.2452871328237899E-2</v>
      </c>
      <c r="I17">
        <v>-8.211359935784408E-3</v>
      </c>
      <c r="J17">
        <v>-8.2122557483800158E-3</v>
      </c>
      <c r="K17">
        <v>-8.2131515609756237E-3</v>
      </c>
      <c r="L17">
        <v>-8.2140473735712333E-3</v>
      </c>
      <c r="M17">
        <v>-8.2149431861668412E-3</v>
      </c>
      <c r="N17">
        <v>-8.2158389987624491E-3</v>
      </c>
    </row>
    <row r="18" spans="1:14" x14ac:dyDescent="0.35">
      <c r="A18">
        <v>16</v>
      </c>
      <c r="B18" t="s">
        <v>29</v>
      </c>
      <c r="C18" s="23">
        <v>42396</v>
      </c>
      <c r="D18">
        <v>2.3431261553015E-3</v>
      </c>
      <c r="E18">
        <v>0.98889415999999997</v>
      </c>
      <c r="F18">
        <v>2.3171037818107759E-3</v>
      </c>
      <c r="G18">
        <f>G17+captured_returns_sw[[#This Row],[captured_returns]]</f>
        <v>-5.3672143092473534E-2</v>
      </c>
      <c r="H18">
        <v>1.2366929624543501E-2</v>
      </c>
      <c r="I18">
        <v>2.3163892974452723E-3</v>
      </c>
      <c r="J18">
        <v>2.3156748130797682E-3</v>
      </c>
      <c r="K18">
        <v>2.3149603287142646E-3</v>
      </c>
      <c r="L18">
        <v>2.3142458443487605E-3</v>
      </c>
      <c r="M18">
        <v>2.3135313599832569E-3</v>
      </c>
      <c r="N18">
        <v>2.3128168756177529E-3</v>
      </c>
    </row>
    <row r="19" spans="1:14" x14ac:dyDescent="0.35">
      <c r="A19">
        <v>17</v>
      </c>
      <c r="B19" t="s">
        <v>29</v>
      </c>
      <c r="C19" s="23">
        <v>42397</v>
      </c>
      <c r="D19">
        <v>2.0291501021606099E-2</v>
      </c>
      <c r="E19">
        <v>0.98317677000000003</v>
      </c>
      <c r="F19">
        <v>1.9950132388762292E-2</v>
      </c>
      <c r="G19">
        <f>G18+captured_returns_sw[[#This Row],[captured_returns]]</f>
        <v>-3.3722010703711239E-2</v>
      </c>
      <c r="H19">
        <v>1.2194162516859E-2</v>
      </c>
      <c r="I19">
        <v>1.9949818653481156E-2</v>
      </c>
      <c r="J19">
        <v>1.9949504918200023E-2</v>
      </c>
      <c r="K19">
        <v>1.9949191182918886E-2</v>
      </c>
      <c r="L19">
        <v>1.9948877447637754E-2</v>
      </c>
      <c r="M19">
        <v>1.9948563712356617E-2</v>
      </c>
      <c r="N19">
        <v>1.9948249977075481E-2</v>
      </c>
    </row>
    <row r="20" spans="1:14" x14ac:dyDescent="0.35">
      <c r="A20">
        <v>18</v>
      </c>
      <c r="B20" t="s">
        <v>29</v>
      </c>
      <c r="C20" s="23">
        <v>42398</v>
      </c>
      <c r="D20">
        <v>4.7099186837640001E-4</v>
      </c>
      <c r="E20">
        <v>0.97114473999999995</v>
      </c>
      <c r="F20">
        <v>4.5740127358453661E-4</v>
      </c>
      <c r="G20">
        <f>G19+captured_returns_sw[[#This Row],[captured_returns]]</f>
        <v>-3.3264609430126699E-2</v>
      </c>
      <c r="H20">
        <v>1.2993623647078499E-2</v>
      </c>
      <c r="I20">
        <v>4.5462004909828705E-4</v>
      </c>
      <c r="J20">
        <v>4.5183882461203749E-4</v>
      </c>
      <c r="K20">
        <v>4.4905760012578792E-4</v>
      </c>
      <c r="L20">
        <v>4.4627637563953836E-4</v>
      </c>
      <c r="M20">
        <v>4.434951511532888E-4</v>
      </c>
      <c r="N20">
        <v>4.4071392666703924E-4</v>
      </c>
    </row>
    <row r="21" spans="1:14" x14ac:dyDescent="0.35">
      <c r="A21">
        <v>19</v>
      </c>
      <c r="B21" t="s">
        <v>29</v>
      </c>
      <c r="C21" s="23">
        <v>42401</v>
      </c>
      <c r="D21">
        <v>-1.29196624341922E-2</v>
      </c>
      <c r="E21">
        <v>0.98437154000000004</v>
      </c>
      <c r="F21">
        <v>-1.2717748044488325E-2</v>
      </c>
      <c r="G21">
        <f>G20+captured_returns_sw[[#This Row],[captured_returns]]</f>
        <v>-4.5982357474615022E-2</v>
      </c>
      <c r="H21">
        <v>1.2781302174746999E-2</v>
      </c>
      <c r="I21">
        <v>-1.2718823558609258E-2</v>
      </c>
      <c r="J21">
        <v>-1.271989907273019E-2</v>
      </c>
      <c r="K21">
        <v>-1.2720974586851123E-2</v>
      </c>
      <c r="L21">
        <v>-1.2722050100972054E-2</v>
      </c>
      <c r="M21">
        <v>-1.2723125615092987E-2</v>
      </c>
      <c r="N21">
        <v>-1.2724201129213918E-2</v>
      </c>
    </row>
    <row r="22" spans="1:14" x14ac:dyDescent="0.35">
      <c r="A22">
        <v>20</v>
      </c>
      <c r="B22" t="s">
        <v>29</v>
      </c>
      <c r="C22" s="23">
        <v>42402</v>
      </c>
      <c r="D22">
        <v>4.2378294778764999E-3</v>
      </c>
      <c r="E22">
        <v>0.99054164</v>
      </c>
      <c r="F22">
        <v>4.1977465481045501E-3</v>
      </c>
      <c r="G22">
        <f>G21+captured_returns_sw[[#This Row],[captured_returns]]</f>
        <v>-4.1784610926510472E-2</v>
      </c>
      <c r="H22">
        <v>1.2925829163814399E-2</v>
      </c>
      <c r="I22">
        <v>4.1975652210927113E-3</v>
      </c>
      <c r="J22">
        <v>4.1973838940808734E-3</v>
      </c>
      <c r="K22">
        <v>4.1972025670690347E-3</v>
      </c>
      <c r="L22">
        <v>4.1970212400571959E-3</v>
      </c>
      <c r="M22">
        <v>4.196839913045358E-3</v>
      </c>
      <c r="N22">
        <v>4.1966585860335193E-3</v>
      </c>
    </row>
    <row r="23" spans="1:14" x14ac:dyDescent="0.35">
      <c r="A23">
        <v>21</v>
      </c>
      <c r="B23" t="s">
        <v>29</v>
      </c>
      <c r="C23" s="23">
        <v>42403</v>
      </c>
      <c r="D23">
        <v>-2.9066769615170002E-4</v>
      </c>
      <c r="E23">
        <v>0.98132830000000004</v>
      </c>
      <c r="F23">
        <v>-2.8524043862406342E-4</v>
      </c>
      <c r="G23">
        <f>G22+captured_returns_sw[[#This Row],[captured_returns]]</f>
        <v>-4.2069851365134539E-2</v>
      </c>
      <c r="H23">
        <v>1.27750709083069E-2</v>
      </c>
      <c r="I23">
        <v>-2.8532696794096276E-4</v>
      </c>
      <c r="J23">
        <v>-2.854134972578621E-4</v>
      </c>
      <c r="K23">
        <v>-2.8550002657476144E-4</v>
      </c>
      <c r="L23">
        <v>-2.8558655589166072E-4</v>
      </c>
      <c r="M23">
        <v>-2.8567308520856006E-4</v>
      </c>
      <c r="N23">
        <v>-2.857596145254594E-4</v>
      </c>
    </row>
    <row r="24" spans="1:14" x14ac:dyDescent="0.35">
      <c r="A24">
        <v>22</v>
      </c>
      <c r="B24" t="s">
        <v>29</v>
      </c>
      <c r="C24" s="23">
        <v>42404</v>
      </c>
      <c r="D24">
        <v>-1.2811821789782799E-2</v>
      </c>
      <c r="E24">
        <v>0.98502259999999997</v>
      </c>
      <c r="F24">
        <v>-1.26199340673195E-2</v>
      </c>
      <c r="G24">
        <f>G23+captured_returns_sw[[#This Row],[captured_returns]]</f>
        <v>-5.4689785432454036E-2</v>
      </c>
      <c r="H24">
        <v>1.2564407065054401E-2</v>
      </c>
      <c r="I24">
        <v>-1.2620681482048757E-2</v>
      </c>
      <c r="J24">
        <v>-1.2621428896778015E-2</v>
      </c>
      <c r="K24">
        <v>-1.2622176311507272E-2</v>
      </c>
      <c r="L24">
        <v>-1.262292372623653E-2</v>
      </c>
      <c r="M24">
        <v>-1.2623671140965787E-2</v>
      </c>
      <c r="N24">
        <v>-1.2624418555695046E-2</v>
      </c>
    </row>
    <row r="25" spans="1:14" x14ac:dyDescent="0.35">
      <c r="A25">
        <v>23</v>
      </c>
      <c r="B25" t="s">
        <v>29</v>
      </c>
      <c r="C25" s="23">
        <v>42405</v>
      </c>
      <c r="D25">
        <v>-9.2335767542648002E-3</v>
      </c>
      <c r="E25">
        <v>0.99105315999999999</v>
      </c>
      <c r="F25">
        <v>-9.1509654573997297E-3</v>
      </c>
      <c r="G25">
        <f>G24+captured_returns_sw[[#This Row],[captured_returns]]</f>
        <v>-6.3840750889853762E-2</v>
      </c>
      <c r="H25">
        <v>1.26877557096089E-2</v>
      </c>
      <c r="I25">
        <v>-9.1511009919982601E-3</v>
      </c>
      <c r="J25">
        <v>-9.1512365265967923E-3</v>
      </c>
      <c r="K25">
        <v>-9.1513720611953227E-3</v>
      </c>
      <c r="L25">
        <v>-9.1515075957938532E-3</v>
      </c>
      <c r="M25">
        <v>-9.1516431303923854E-3</v>
      </c>
      <c r="N25">
        <v>-9.1517786649909158E-3</v>
      </c>
    </row>
    <row r="26" spans="1:14" x14ac:dyDescent="0.35">
      <c r="A26">
        <v>24</v>
      </c>
      <c r="B26" t="s">
        <v>29</v>
      </c>
      <c r="C26" s="23">
        <v>42408</v>
      </c>
      <c r="D26">
        <v>-1.5149019099198E-3</v>
      </c>
      <c r="E26">
        <v>0.98979855000000005</v>
      </c>
      <c r="F26">
        <v>-1.4994477075249216E-3</v>
      </c>
      <c r="G26">
        <f>G25+captured_returns_sw[[#This Row],[captured_returns]]</f>
        <v>-6.534019859737869E-2</v>
      </c>
      <c r="H26">
        <v>1.26298083639215E-2</v>
      </c>
      <c r="I26">
        <v>-1.499570096934983E-3</v>
      </c>
      <c r="J26">
        <v>-1.4996924863450445E-3</v>
      </c>
      <c r="K26">
        <v>-1.4998148757551057E-3</v>
      </c>
      <c r="L26">
        <v>-1.4999372651651672E-3</v>
      </c>
      <c r="M26">
        <v>-1.5000596545752286E-3</v>
      </c>
      <c r="N26">
        <v>-1.5001820439852901E-3</v>
      </c>
    </row>
    <row r="27" spans="1:14" x14ac:dyDescent="0.35">
      <c r="A27">
        <v>25</v>
      </c>
      <c r="B27" t="s">
        <v>29</v>
      </c>
      <c r="C27" s="23">
        <v>42409</v>
      </c>
      <c r="D27">
        <v>-6.1739454104370003E-4</v>
      </c>
      <c r="E27">
        <v>0.98714553999999999</v>
      </c>
      <c r="F27">
        <v>-6.0945826952460132E-4</v>
      </c>
      <c r="G27">
        <f>G26+captured_returns_sw[[#This Row],[captured_returns]]</f>
        <v>-6.5949656866903295E-2</v>
      </c>
      <c r="H27">
        <v>1.24210625179265E-2</v>
      </c>
      <c r="I27">
        <v>-6.0997961572588789E-4</v>
      </c>
      <c r="J27">
        <v>-6.1050096192717456E-4</v>
      </c>
      <c r="K27">
        <v>-6.1102230812846113E-4</v>
      </c>
      <c r="L27">
        <v>-6.1154365432974781E-4</v>
      </c>
      <c r="M27">
        <v>-6.1206500053103438E-4</v>
      </c>
      <c r="N27">
        <v>-6.1258634673232095E-4</v>
      </c>
    </row>
    <row r="28" spans="1:14" x14ac:dyDescent="0.35">
      <c r="A28">
        <v>26</v>
      </c>
      <c r="B28" t="s">
        <v>29</v>
      </c>
      <c r="C28" s="23">
        <v>42410</v>
      </c>
      <c r="D28">
        <v>-9.3183413428890999E-3</v>
      </c>
      <c r="E28">
        <v>0.98730379999999995</v>
      </c>
      <c r="F28">
        <v>-9.2000337563130693E-3</v>
      </c>
      <c r="G28">
        <f>G27+captured_returns_sw[[#This Row],[captured_returns]]</f>
        <v>-7.5149690623216359E-2</v>
      </c>
      <c r="H28">
        <v>1.2217273074331699E-2</v>
      </c>
      <c r="I28">
        <v>-9.2006661882179531E-3</v>
      </c>
      <c r="J28">
        <v>-9.2012986201228369E-3</v>
      </c>
      <c r="K28">
        <v>-9.2019310520277207E-3</v>
      </c>
      <c r="L28">
        <v>-9.2025634839326045E-3</v>
      </c>
      <c r="M28">
        <v>-9.2031959158374883E-3</v>
      </c>
      <c r="N28">
        <v>-9.2038283477423721E-3</v>
      </c>
    </row>
    <row r="29" spans="1:14" x14ac:dyDescent="0.35">
      <c r="A29">
        <v>27</v>
      </c>
      <c r="B29" t="s">
        <v>29</v>
      </c>
      <c r="C29" s="23">
        <v>42411</v>
      </c>
      <c r="D29">
        <v>1.43814169666138E-2</v>
      </c>
      <c r="E29">
        <v>0.99148740000000002</v>
      </c>
      <c r="F29">
        <v>1.4258993484175603E-2</v>
      </c>
      <c r="G29">
        <f>G28+captured_returns_sw[[#This Row],[captured_returns]]</f>
        <v>-6.0890697139040759E-2</v>
      </c>
      <c r="H29">
        <v>1.2153999663291001E-2</v>
      </c>
      <c r="I29">
        <v>1.4258632094520099E-2</v>
      </c>
      <c r="J29">
        <v>1.4258270704864592E-2</v>
      </c>
      <c r="K29">
        <v>1.4257909315209087E-2</v>
      </c>
      <c r="L29">
        <v>1.4257547925553581E-2</v>
      </c>
      <c r="M29">
        <v>1.4257186535898076E-2</v>
      </c>
      <c r="N29">
        <v>1.4256825146242569E-2</v>
      </c>
    </row>
    <row r="30" spans="1:14" x14ac:dyDescent="0.35">
      <c r="A30">
        <v>28</v>
      </c>
      <c r="B30" t="s">
        <v>29</v>
      </c>
      <c r="C30" s="23">
        <v>42412</v>
      </c>
      <c r="D30">
        <v>1.2390396250021101E-2</v>
      </c>
      <c r="E30">
        <v>0.98023397000000001</v>
      </c>
      <c r="F30">
        <v>1.2145487272629634E-2</v>
      </c>
      <c r="G30">
        <f>G29+captured_returns_sw[[#This Row],[captured_returns]]</f>
        <v>-4.8745209866411121E-2</v>
      </c>
      <c r="H30">
        <v>1.25170357037514E-2</v>
      </c>
      <c r="I30">
        <v>1.214394468083321E-2</v>
      </c>
      <c r="J30">
        <v>1.2142402089036787E-2</v>
      </c>
      <c r="K30">
        <v>1.2140859497240362E-2</v>
      </c>
      <c r="L30">
        <v>1.2139316905443939E-2</v>
      </c>
      <c r="M30">
        <v>1.2137774313647515E-2</v>
      </c>
      <c r="N30">
        <v>1.2136231721851092E-2</v>
      </c>
    </row>
    <row r="31" spans="1:14" x14ac:dyDescent="0.35">
      <c r="A31">
        <v>29</v>
      </c>
      <c r="B31" t="s">
        <v>29</v>
      </c>
      <c r="C31" s="23">
        <v>42416</v>
      </c>
      <c r="D31">
        <v>1.33682298696923E-2</v>
      </c>
      <c r="E31">
        <v>0.98416685999999998</v>
      </c>
      <c r="F31">
        <v>1.3156568822372794E-2</v>
      </c>
      <c r="G31">
        <f>G30+captured_returns_sw[[#This Row],[captured_returns]]</f>
        <v>-3.5588641044038326E-2</v>
      </c>
      <c r="H31">
        <v>1.2723937395544E-2</v>
      </c>
      <c r="I31">
        <v>1.3156113219418942E-2</v>
      </c>
      <c r="J31">
        <v>1.3155657616465088E-2</v>
      </c>
      <c r="K31">
        <v>1.3155202013511237E-2</v>
      </c>
      <c r="L31">
        <v>1.3154746410557383E-2</v>
      </c>
      <c r="M31">
        <v>1.3154290807603532E-2</v>
      </c>
      <c r="N31">
        <v>1.3153835204649678E-2</v>
      </c>
    </row>
    <row r="32" spans="1:14" x14ac:dyDescent="0.35">
      <c r="A32">
        <v>30</v>
      </c>
      <c r="B32" t="s">
        <v>29</v>
      </c>
      <c r="C32" s="23">
        <v>42417</v>
      </c>
      <c r="D32">
        <v>-2.3687248359937001E-3</v>
      </c>
      <c r="E32">
        <v>0.98451149999999998</v>
      </c>
      <c r="F32">
        <v>-2.3320368286668404E-3</v>
      </c>
      <c r="G32">
        <f>G31+captured_returns_sw[[#This Row],[captured_returns]]</f>
        <v>-3.7920677872705165E-2</v>
      </c>
      <c r="H32">
        <v>1.2966822691778301E-2</v>
      </c>
      <c r="I32">
        <v>-2.3327087725715429E-3</v>
      </c>
      <c r="J32">
        <v>-2.3333807164762454E-3</v>
      </c>
      <c r="K32">
        <v>-2.3340526603809479E-3</v>
      </c>
      <c r="L32">
        <v>-2.3347246042856504E-3</v>
      </c>
      <c r="M32">
        <v>-2.3353965481903529E-3</v>
      </c>
      <c r="N32">
        <v>-2.3360684920950554E-3</v>
      </c>
    </row>
    <row r="33" spans="1:14" x14ac:dyDescent="0.35">
      <c r="A33">
        <v>31</v>
      </c>
      <c r="B33" t="s">
        <v>29</v>
      </c>
      <c r="C33" s="23">
        <v>42418</v>
      </c>
      <c r="D33">
        <v>-7.7257971146040005E-4</v>
      </c>
      <c r="E33">
        <v>0.99036139999999995</v>
      </c>
      <c r="F33">
        <v>-7.6513311885763747E-4</v>
      </c>
      <c r="G33">
        <f>G32+captured_returns_sw[[#This Row],[captured_returns]]</f>
        <v>-3.8685810991562805E-2</v>
      </c>
      <c r="H33">
        <v>1.2763472932008199E-2</v>
      </c>
      <c r="I33">
        <v>-7.6592116896248563E-4</v>
      </c>
      <c r="J33">
        <v>-7.6670921906733379E-4</v>
      </c>
      <c r="K33">
        <v>-7.6749726917218195E-4</v>
      </c>
      <c r="L33">
        <v>-7.6828531927703011E-4</v>
      </c>
      <c r="M33">
        <v>-7.6907336938187828E-4</v>
      </c>
      <c r="N33">
        <v>-7.6986141948672644E-4</v>
      </c>
    </row>
    <row r="34" spans="1:14" x14ac:dyDescent="0.35">
      <c r="A34">
        <v>32</v>
      </c>
      <c r="B34" t="s">
        <v>29</v>
      </c>
      <c r="C34" s="23">
        <v>42419</v>
      </c>
      <c r="D34">
        <v>8.5515809903021992E-3</v>
      </c>
      <c r="E34">
        <v>0.98927290000000001</v>
      </c>
      <c r="F34">
        <v>8.4598472615115775E-3</v>
      </c>
      <c r="G34">
        <f>G33+captured_returns_sw[[#This Row],[captured_returns]]</f>
        <v>-3.0225963730051229E-2</v>
      </c>
      <c r="H34">
        <v>1.25530270906934E-2</v>
      </c>
      <c r="I34">
        <v>8.4592736530976088E-3</v>
      </c>
      <c r="J34">
        <v>8.4587000446836418E-3</v>
      </c>
      <c r="K34">
        <v>8.458126436269673E-3</v>
      </c>
      <c r="L34">
        <v>8.4575528278557043E-3</v>
      </c>
      <c r="M34">
        <v>8.4569792194417372E-3</v>
      </c>
      <c r="N34">
        <v>8.4564056110277685E-3</v>
      </c>
    </row>
    <row r="35" spans="1:14" x14ac:dyDescent="0.35">
      <c r="A35">
        <v>33</v>
      </c>
      <c r="B35" t="s">
        <v>29</v>
      </c>
      <c r="C35" s="23">
        <v>42422</v>
      </c>
      <c r="D35">
        <v>-7.8897080323037001E-3</v>
      </c>
      <c r="E35">
        <v>0.98440105</v>
      </c>
      <c r="F35">
        <v>-7.766636849336866E-3</v>
      </c>
      <c r="G35">
        <f>G34+captured_returns_sw[[#This Row],[captured_returns]]</f>
        <v>-3.7992600579388094E-2</v>
      </c>
      <c r="H35">
        <v>1.2525459109506899E-2</v>
      </c>
      <c r="I35">
        <v>-7.7667386629534036E-3</v>
      </c>
      <c r="J35">
        <v>-7.7668404765699403E-3</v>
      </c>
      <c r="K35">
        <v>-7.7669422901864779E-3</v>
      </c>
      <c r="L35">
        <v>-7.7670441038030155E-3</v>
      </c>
      <c r="M35">
        <v>-7.7671459174195531E-3</v>
      </c>
      <c r="N35">
        <v>-7.7672477310360899E-3</v>
      </c>
    </row>
    <row r="36" spans="1:14" x14ac:dyDescent="0.35">
      <c r="A36">
        <v>34</v>
      </c>
      <c r="B36" t="s">
        <v>29</v>
      </c>
      <c r="C36" s="23">
        <v>42423</v>
      </c>
      <c r="D36">
        <v>5.6402297840546E-3</v>
      </c>
      <c r="E36">
        <v>0.99150753000000003</v>
      </c>
      <c r="F36">
        <v>5.5923303030184076E-3</v>
      </c>
      <c r="G36">
        <f>G35+captured_returns_sw[[#This Row],[captured_returns]]</f>
        <v>-3.2400270276369686E-2</v>
      </c>
      <c r="H36">
        <v>1.2459871134531101E-2</v>
      </c>
      <c r="I36">
        <v>5.5918653824026032E-3</v>
      </c>
      <c r="J36">
        <v>5.5914004617867987E-3</v>
      </c>
      <c r="K36">
        <v>5.5909355411709943E-3</v>
      </c>
      <c r="L36">
        <v>5.590470620555189E-3</v>
      </c>
      <c r="M36">
        <v>5.5900056999393846E-3</v>
      </c>
      <c r="N36">
        <v>5.5895407793235801E-3</v>
      </c>
    </row>
    <row r="37" spans="1:14" x14ac:dyDescent="0.35">
      <c r="A37">
        <v>35</v>
      </c>
      <c r="B37" t="s">
        <v>29</v>
      </c>
      <c r="C37" s="23">
        <v>42424</v>
      </c>
      <c r="D37">
        <v>8.0371124182363005E-3</v>
      </c>
      <c r="E37">
        <v>0.98394720000000002</v>
      </c>
      <c r="F37">
        <v>7.9080944003725607E-3</v>
      </c>
      <c r="G37">
        <f>G36+captured_returns_sw[[#This Row],[captured_returns]]</f>
        <v>-2.4492175875997127E-2</v>
      </c>
      <c r="H37">
        <v>1.2333956490625001E-2</v>
      </c>
      <c r="I37">
        <v>7.9080001908494926E-3</v>
      </c>
      <c r="J37">
        <v>7.9079059813264244E-3</v>
      </c>
      <c r="K37">
        <v>7.9078117718033563E-3</v>
      </c>
      <c r="L37">
        <v>7.9077175622802899E-3</v>
      </c>
      <c r="M37">
        <v>7.9076233527572218E-3</v>
      </c>
      <c r="N37">
        <v>7.9075291432341537E-3</v>
      </c>
    </row>
    <row r="38" spans="1:14" x14ac:dyDescent="0.35">
      <c r="A38">
        <v>36</v>
      </c>
      <c r="B38" t="s">
        <v>29</v>
      </c>
      <c r="C38" s="23">
        <v>42425</v>
      </c>
      <c r="D38">
        <v>-3.0576724700198E-3</v>
      </c>
      <c r="E38">
        <v>0.98244699999999996</v>
      </c>
      <c r="F38">
        <v>-3.0040012312578905E-3</v>
      </c>
      <c r="G38">
        <f>G37+captured_returns_sw[[#This Row],[captured_returns]]</f>
        <v>-2.7496177107255017E-2</v>
      </c>
      <c r="H38">
        <v>1.22787957004722E-2</v>
      </c>
      <c r="I38">
        <v>-3.0041128282325756E-3</v>
      </c>
      <c r="J38">
        <v>-3.0042244252072611E-3</v>
      </c>
      <c r="K38">
        <v>-3.0043360221819462E-3</v>
      </c>
      <c r="L38">
        <v>-3.0044476191566317E-3</v>
      </c>
      <c r="M38">
        <v>-3.0045592161313168E-3</v>
      </c>
      <c r="N38">
        <v>-3.0046708131060019E-3</v>
      </c>
    </row>
    <row r="39" spans="1:14" x14ac:dyDescent="0.35">
      <c r="A39">
        <v>37</v>
      </c>
      <c r="B39" t="s">
        <v>29</v>
      </c>
      <c r="C39" s="23">
        <v>42426</v>
      </c>
      <c r="D39">
        <v>-5.3263122771930998E-3</v>
      </c>
      <c r="E39">
        <v>0.98892060000000004</v>
      </c>
      <c r="F39">
        <v>-5.2673000875427473E-3</v>
      </c>
      <c r="G39">
        <f>G38+captured_returns_sw[[#This Row],[captured_returns]]</f>
        <v>-3.2763477194797767E-2</v>
      </c>
      <c r="H39">
        <v>1.20993857808266E-2</v>
      </c>
      <c r="I39">
        <v>-5.2681133947556262E-3</v>
      </c>
      <c r="J39">
        <v>-5.2689267019685052E-3</v>
      </c>
      <c r="K39">
        <v>-5.2697400091813833E-3</v>
      </c>
      <c r="L39">
        <v>-5.2705533163942622E-3</v>
      </c>
      <c r="M39">
        <v>-5.2713666236071412E-3</v>
      </c>
      <c r="N39">
        <v>-5.2721799308200201E-3</v>
      </c>
    </row>
    <row r="40" spans="1:14" x14ac:dyDescent="0.35">
      <c r="A40">
        <v>38</v>
      </c>
      <c r="B40" t="s">
        <v>29</v>
      </c>
      <c r="C40" s="23">
        <v>42429</v>
      </c>
      <c r="D40">
        <v>1.9852432726071598E-2</v>
      </c>
      <c r="E40">
        <v>0.99045490000000003</v>
      </c>
      <c r="F40">
        <v>1.9662939512373145E-2</v>
      </c>
      <c r="G40">
        <f>G39+captured_returns_sw[[#This Row],[captured_returns]]</f>
        <v>-1.3100537682424623E-2</v>
      </c>
      <c r="H40">
        <v>1.19639395870641E-2</v>
      </c>
      <c r="I40">
        <v>1.9662441750654583E-2</v>
      </c>
      <c r="J40">
        <v>1.9661943988936018E-2</v>
      </c>
      <c r="K40">
        <v>1.9661446227217456E-2</v>
      </c>
      <c r="L40">
        <v>1.966094846549889E-2</v>
      </c>
      <c r="M40">
        <v>1.9660450703780329E-2</v>
      </c>
      <c r="N40">
        <v>1.9659952942061767E-2</v>
      </c>
    </row>
    <row r="41" spans="1:14" x14ac:dyDescent="0.35">
      <c r="A41">
        <v>39</v>
      </c>
      <c r="B41" t="s">
        <v>29</v>
      </c>
      <c r="C41" s="23">
        <v>42430</v>
      </c>
      <c r="D41">
        <v>2.0834167517767002E-3</v>
      </c>
      <c r="E41">
        <v>0.97539569999999998</v>
      </c>
      <c r="F41">
        <v>2.0321556982264921E-3</v>
      </c>
      <c r="G41">
        <f>G40+captured_returns_sw[[#This Row],[captured_returns]]</f>
        <v>-1.1068381984198131E-2</v>
      </c>
      <c r="H41">
        <v>1.2611049753938799E-2</v>
      </c>
      <c r="I41">
        <v>2.0295845204006723E-3</v>
      </c>
      <c r="J41">
        <v>2.0270133425748524E-3</v>
      </c>
      <c r="K41">
        <v>2.0244421647490326E-3</v>
      </c>
      <c r="L41">
        <v>2.0218709869232127E-3</v>
      </c>
      <c r="M41">
        <v>2.0192998090973928E-3</v>
      </c>
      <c r="N41">
        <v>2.016728631271573E-3</v>
      </c>
    </row>
    <row r="42" spans="1:14" x14ac:dyDescent="0.35">
      <c r="A42">
        <v>40</v>
      </c>
      <c r="B42" t="s">
        <v>29</v>
      </c>
      <c r="C42" s="23">
        <v>42431</v>
      </c>
      <c r="D42">
        <v>2.6874862295308E-3</v>
      </c>
      <c r="E42">
        <v>0.98606179999999999</v>
      </c>
      <c r="F42">
        <v>2.6500275397303946E-3</v>
      </c>
      <c r="G42">
        <f>G41+captured_returns_sw[[#This Row],[captured_returns]]</f>
        <v>-8.4183544444677363E-3</v>
      </c>
      <c r="H42">
        <v>1.2408251177738701E-2</v>
      </c>
      <c r="I42">
        <v>2.6490241816125178E-3</v>
      </c>
      <c r="J42">
        <v>2.648020823494641E-3</v>
      </c>
      <c r="K42">
        <v>2.6470174653767647E-3</v>
      </c>
      <c r="L42">
        <v>2.6460141072588879E-3</v>
      </c>
      <c r="M42">
        <v>2.6450107491410111E-3</v>
      </c>
      <c r="N42">
        <v>2.6440073910231343E-3</v>
      </c>
    </row>
    <row r="43" spans="1:14" x14ac:dyDescent="0.35">
      <c r="A43">
        <v>41</v>
      </c>
      <c r="B43" t="s">
        <v>29</v>
      </c>
      <c r="C43" s="23">
        <v>42432</v>
      </c>
      <c r="D43">
        <v>1.7490805858764E-3</v>
      </c>
      <c r="E43">
        <v>0.98472720000000002</v>
      </c>
      <c r="F43">
        <v>1.7223672346313519E-3</v>
      </c>
      <c r="G43">
        <f>G42+captured_returns_sw[[#This Row],[captured_returns]]</f>
        <v>-6.6959872098363848E-3</v>
      </c>
      <c r="H43">
        <v>1.22132571485644E-2</v>
      </c>
      <c r="I43">
        <v>1.7218194257218027E-3</v>
      </c>
      <c r="J43">
        <v>1.7212716168122535E-3</v>
      </c>
      <c r="K43">
        <v>1.7207238079027045E-3</v>
      </c>
      <c r="L43">
        <v>1.7201759989931553E-3</v>
      </c>
      <c r="M43">
        <v>1.7196281900836061E-3</v>
      </c>
      <c r="N43">
        <v>1.7190803811740569E-3</v>
      </c>
    </row>
    <row r="44" spans="1:14" x14ac:dyDescent="0.35">
      <c r="A44">
        <v>42</v>
      </c>
      <c r="B44" t="s">
        <v>29</v>
      </c>
      <c r="C44" s="23">
        <v>42433</v>
      </c>
      <c r="D44">
        <v>1.5769548173807E-3</v>
      </c>
      <c r="E44">
        <v>0.98547583999999999</v>
      </c>
      <c r="F44">
        <v>1.5540508704371045E-3</v>
      </c>
      <c r="G44">
        <f>G43+captured_returns_sw[[#This Row],[captured_returns]]</f>
        <v>-5.1419363393992801E-3</v>
      </c>
      <c r="H44">
        <v>1.2014033256182E-2</v>
      </c>
      <c r="I44">
        <v>1.5533897488360169E-3</v>
      </c>
      <c r="J44">
        <v>1.5527286272349293E-3</v>
      </c>
      <c r="K44">
        <v>1.5520675056338419E-3</v>
      </c>
      <c r="L44">
        <v>1.5514063840327543E-3</v>
      </c>
      <c r="M44">
        <v>1.5507452624316668E-3</v>
      </c>
      <c r="N44">
        <v>1.5500841408305792E-3</v>
      </c>
    </row>
    <row r="45" spans="1:14" x14ac:dyDescent="0.35">
      <c r="A45">
        <v>43</v>
      </c>
      <c r="B45" t="s">
        <v>29</v>
      </c>
      <c r="C45" s="23">
        <v>42436</v>
      </c>
      <c r="D45">
        <v>-7.2001142958036998E-3</v>
      </c>
      <c r="E45">
        <v>0.98762150000000004</v>
      </c>
      <c r="F45">
        <v>-7.1109875815377798E-3</v>
      </c>
      <c r="G45">
        <f>G44+captured_returns_sw[[#This Row],[captured_returns]]</f>
        <v>-1.225292392093706E-2</v>
      </c>
      <c r="H45">
        <v>1.18171108410063E-2</v>
      </c>
      <c r="I45">
        <v>-7.1117191725974518E-3</v>
      </c>
      <c r="J45">
        <v>-7.112450763657123E-3</v>
      </c>
      <c r="K45">
        <v>-7.113182354716795E-3</v>
      </c>
      <c r="L45">
        <v>-7.1139139457764662E-3</v>
      </c>
      <c r="M45">
        <v>-7.1146455368361382E-3</v>
      </c>
      <c r="N45">
        <v>-7.1153771278958094E-3</v>
      </c>
    </row>
    <row r="46" spans="1:14" x14ac:dyDescent="0.35">
      <c r="A46">
        <v>44</v>
      </c>
      <c r="B46" t="s">
        <v>29</v>
      </c>
      <c r="C46" s="23">
        <v>42437</v>
      </c>
      <c r="D46">
        <v>3.2453490071551998E-3</v>
      </c>
      <c r="E46">
        <v>0.99065214000000001</v>
      </c>
      <c r="F46">
        <v>3.2150119518212783E-3</v>
      </c>
      <c r="G46">
        <f>G45+captured_returns_sw[[#This Row],[captured_returns]]</f>
        <v>-9.0379119691157816E-3</v>
      </c>
      <c r="H46">
        <v>1.1758044300336799E-2</v>
      </c>
      <c r="I46">
        <v>3.2146918212966379E-3</v>
      </c>
      <c r="J46">
        <v>3.2143716907719975E-3</v>
      </c>
      <c r="K46">
        <v>3.2140515602473571E-3</v>
      </c>
      <c r="L46">
        <v>3.2137314297227167E-3</v>
      </c>
      <c r="M46">
        <v>3.2134112991980763E-3</v>
      </c>
      <c r="N46">
        <v>3.2130911686734358E-3</v>
      </c>
    </row>
    <row r="47" spans="1:14" x14ac:dyDescent="0.35">
      <c r="A47">
        <v>45</v>
      </c>
      <c r="B47" t="s">
        <v>29</v>
      </c>
      <c r="C47" s="23">
        <v>42438</v>
      </c>
      <c r="D47">
        <v>-1.025616553097E-4</v>
      </c>
      <c r="E47">
        <v>0.98576200000000003</v>
      </c>
      <c r="F47">
        <v>-1.0110138247000781E-4</v>
      </c>
      <c r="G47">
        <f>G46+captured_returns_sw[[#This Row],[captured_returns]]</f>
        <v>-9.1390133515857896E-3</v>
      </c>
      <c r="H47">
        <v>1.15800702124008E-2</v>
      </c>
      <c r="I47">
        <v>-1.0151364893050963E-4</v>
      </c>
      <c r="J47">
        <v>-1.0192591539101147E-4</v>
      </c>
      <c r="K47">
        <v>-1.0233818185151329E-4</v>
      </c>
      <c r="L47">
        <v>-1.0275044831201513E-4</v>
      </c>
      <c r="M47">
        <v>-1.0316271477251696E-4</v>
      </c>
      <c r="N47">
        <v>-1.035749812330188E-4</v>
      </c>
    </row>
    <row r="48" spans="1:14" x14ac:dyDescent="0.35">
      <c r="A48">
        <v>46</v>
      </c>
      <c r="B48" t="s">
        <v>29</v>
      </c>
      <c r="C48" s="23">
        <v>42439</v>
      </c>
      <c r="D48">
        <v>1.30361632273031E-2</v>
      </c>
      <c r="E48">
        <v>0.98811495000000005</v>
      </c>
      <c r="F48">
        <v>1.2881227815182413E-2</v>
      </c>
      <c r="G48">
        <f>G47+captured_returns_sw[[#This Row],[captured_returns]]</f>
        <v>3.7422144635966235E-3</v>
      </c>
      <c r="H48">
        <v>1.13896670321694E-2</v>
      </c>
      <c r="I48">
        <v>1.2880457880639339E-2</v>
      </c>
      <c r="J48">
        <v>1.2879687946096263E-2</v>
      </c>
      <c r="K48">
        <v>1.2878918011553189E-2</v>
      </c>
      <c r="L48">
        <v>1.2878148077010114E-2</v>
      </c>
      <c r="M48">
        <v>1.2877378142467038E-2</v>
      </c>
      <c r="N48">
        <v>1.2876608207923964E-2</v>
      </c>
    </row>
    <row r="49" spans="1:14" x14ac:dyDescent="0.35">
      <c r="A49">
        <v>47</v>
      </c>
      <c r="B49" t="s">
        <v>29</v>
      </c>
      <c r="C49" s="23">
        <v>42440</v>
      </c>
      <c r="D49">
        <v>-5.0750254568549999E-4</v>
      </c>
      <c r="E49">
        <v>0.97943175000000005</v>
      </c>
      <c r="F49">
        <v>-4.9706410563322544E-4</v>
      </c>
      <c r="G49">
        <f>G48+captured_returns_sw[[#This Row],[captured_returns]]</f>
        <v>3.2451503579633981E-3</v>
      </c>
      <c r="H49">
        <v>1.15215632194098E-2</v>
      </c>
      <c r="I49">
        <v>-4.9788939281539951E-4</v>
      </c>
      <c r="J49">
        <v>-4.9871467999757348E-4</v>
      </c>
      <c r="K49">
        <v>-4.9953996717974755E-4</v>
      </c>
      <c r="L49">
        <v>-5.0036525436192151E-4</v>
      </c>
      <c r="M49">
        <v>-5.0119054154409558E-4</v>
      </c>
      <c r="N49">
        <v>-5.0201582872626954E-4</v>
      </c>
    </row>
    <row r="50" spans="1:14" x14ac:dyDescent="0.35">
      <c r="A50">
        <v>48</v>
      </c>
      <c r="B50" t="s">
        <v>29</v>
      </c>
      <c r="C50" s="23">
        <v>42443</v>
      </c>
      <c r="D50">
        <v>-1.2387383641656001E-3</v>
      </c>
      <c r="E50">
        <v>0.98755859999999995</v>
      </c>
      <c r="F50">
        <v>-1.2233267287530851E-3</v>
      </c>
      <c r="G50">
        <f>G49+captured_returns_sw[[#This Row],[captured_returns]]</f>
        <v>2.021823629210313E-3</v>
      </c>
      <c r="H50">
        <v>1.1335746248972401E-2</v>
      </c>
      <c r="I50">
        <v>-1.2243237979152578E-3</v>
      </c>
      <c r="J50">
        <v>-1.2253208670774305E-3</v>
      </c>
      <c r="K50">
        <v>-1.2263179362396032E-3</v>
      </c>
      <c r="L50">
        <v>-1.2273150054017759E-3</v>
      </c>
      <c r="M50">
        <v>-1.2283120745639486E-3</v>
      </c>
      <c r="N50">
        <v>-1.2293091437261213E-3</v>
      </c>
    </row>
    <row r="51" spans="1:14" x14ac:dyDescent="0.35">
      <c r="A51">
        <v>49</v>
      </c>
      <c r="B51" t="s">
        <v>29</v>
      </c>
      <c r="C51" s="23">
        <v>42444</v>
      </c>
      <c r="D51">
        <v>4.7261908699458002E-3</v>
      </c>
      <c r="E51">
        <v>0.99546920000000005</v>
      </c>
      <c r="F51">
        <v>4.704777503581079E-3</v>
      </c>
      <c r="G51">
        <f>G50+captured_returns_sw[[#This Row],[captured_returns]]</f>
        <v>6.7266011327913921E-3</v>
      </c>
      <c r="H51">
        <v>1.11582371080919E-2</v>
      </c>
      <c r="I51">
        <v>4.7037877710266211E-3</v>
      </c>
      <c r="J51">
        <v>4.702798038472164E-3</v>
      </c>
      <c r="K51">
        <v>4.7018083059177061E-3</v>
      </c>
      <c r="L51">
        <v>4.7008185733632482E-3</v>
      </c>
      <c r="M51">
        <v>4.6998288408087912E-3</v>
      </c>
      <c r="N51">
        <v>4.6988391082543332E-3</v>
      </c>
    </row>
    <row r="52" spans="1:14" x14ac:dyDescent="0.35">
      <c r="A52">
        <v>50</v>
      </c>
      <c r="B52" t="s">
        <v>29</v>
      </c>
      <c r="C52" s="23">
        <v>42445</v>
      </c>
      <c r="D52">
        <v>5.4012661760391E-3</v>
      </c>
      <c r="E52">
        <v>0.99522219999999995</v>
      </c>
      <c r="F52">
        <v>5.3754600652911105E-3</v>
      </c>
      <c r="G52">
        <f>G51+captured_returns_sw[[#This Row],[captured_returns]]</f>
        <v>1.2102061198082503E-2</v>
      </c>
      <c r="H52">
        <v>1.10040320028003E-2</v>
      </c>
      <c r="I52">
        <v>5.3748800092444171E-3</v>
      </c>
      <c r="J52">
        <v>5.3742999531977229E-3</v>
      </c>
      <c r="K52">
        <v>5.3737198971510296E-3</v>
      </c>
      <c r="L52">
        <v>5.3731398411043362E-3</v>
      </c>
      <c r="M52">
        <v>5.3725597850576429E-3</v>
      </c>
      <c r="N52">
        <v>5.3719797290109486E-3</v>
      </c>
    </row>
    <row r="53" spans="1:14" x14ac:dyDescent="0.35">
      <c r="A53">
        <v>51</v>
      </c>
      <c r="B53" t="s">
        <v>29</v>
      </c>
      <c r="C53" s="23">
        <v>42446</v>
      </c>
      <c r="D53">
        <v>-9.5969669313819995E-4</v>
      </c>
      <c r="E53">
        <v>0.98424672999999996</v>
      </c>
      <c r="F53">
        <v>-9.4457833278510834E-4</v>
      </c>
      <c r="G53">
        <f>G52+captured_returns_sw[[#This Row],[captured_returns]]</f>
        <v>1.1157482865297394E-2</v>
      </c>
      <c r="H53">
        <v>1.08608187642339E-2</v>
      </c>
      <c r="I53">
        <v>-9.4466433123408552E-4</v>
      </c>
      <c r="J53">
        <v>-9.447503296830627E-4</v>
      </c>
      <c r="K53">
        <v>-9.4483632813203999E-4</v>
      </c>
      <c r="L53">
        <v>-9.4492232658101717E-4</v>
      </c>
      <c r="M53">
        <v>-9.4500832502999435E-4</v>
      </c>
      <c r="N53">
        <v>-9.4509432347897153E-4</v>
      </c>
    </row>
    <row r="54" spans="1:14" x14ac:dyDescent="0.35">
      <c r="A54">
        <v>52</v>
      </c>
      <c r="B54" t="s">
        <v>29</v>
      </c>
      <c r="C54" s="23">
        <v>42447</v>
      </c>
      <c r="D54">
        <v>2.2774967049220001E-3</v>
      </c>
      <c r="E54">
        <v>0.987174</v>
      </c>
      <c r="F54">
        <v>2.2482854741404067E-3</v>
      </c>
      <c r="G54">
        <f>G53+captured_returns_sw[[#This Row],[captured_returns]]</f>
        <v>1.3405768339437801E-2</v>
      </c>
      <c r="H54">
        <v>1.06904236789583E-2</v>
      </c>
      <c r="I54">
        <v>2.2474736648268458E-3</v>
      </c>
      <c r="J54">
        <v>2.2466618555132848E-3</v>
      </c>
      <c r="K54">
        <v>2.2458500461997239E-3</v>
      </c>
      <c r="L54">
        <v>2.245038236886163E-3</v>
      </c>
      <c r="M54">
        <v>2.2442264275726021E-3</v>
      </c>
      <c r="N54">
        <v>2.2434146182590412E-3</v>
      </c>
    </row>
    <row r="55" spans="1:14" x14ac:dyDescent="0.35">
      <c r="A55">
        <v>53</v>
      </c>
      <c r="B55" t="s">
        <v>29</v>
      </c>
      <c r="C55" s="23">
        <v>42450</v>
      </c>
      <c r="D55">
        <v>-1.0996455810469999E-4</v>
      </c>
      <c r="E55">
        <v>0.98441889999999999</v>
      </c>
      <c r="F55">
        <v>-1.0825119247595234E-4</v>
      </c>
      <c r="G55">
        <f>G54+captured_returns_sw[[#This Row],[captured_returns]]</f>
        <v>1.3297517146961849E-2</v>
      </c>
      <c r="H55">
        <v>1.05163018895147E-2</v>
      </c>
      <c r="I55">
        <v>-1.0884977376405663E-4</v>
      </c>
      <c r="J55">
        <v>-1.0944835505216092E-4</v>
      </c>
      <c r="K55">
        <v>-1.1004693634026521E-4</v>
      </c>
      <c r="L55">
        <v>-1.1064551762836948E-4</v>
      </c>
      <c r="M55">
        <v>-1.1124409891647377E-4</v>
      </c>
      <c r="N55">
        <v>-1.1184268020457806E-4</v>
      </c>
    </row>
    <row r="56" spans="1:14" x14ac:dyDescent="0.35">
      <c r="A56">
        <v>54</v>
      </c>
      <c r="B56" t="s">
        <v>29</v>
      </c>
      <c r="C56" s="23">
        <v>42451</v>
      </c>
      <c r="D56">
        <v>-6.1485322776258997E-3</v>
      </c>
      <c r="E56">
        <v>0.99325490000000005</v>
      </c>
      <c r="F56">
        <v>-6.1070598124287386E-3</v>
      </c>
      <c r="G56">
        <f>G55+captured_returns_sw[[#This Row],[captured_returns]]</f>
        <v>7.1904573345331103E-3</v>
      </c>
      <c r="H56">
        <v>1.03457067553557E-2</v>
      </c>
      <c r="I56">
        <v>-6.1081925874828299E-3</v>
      </c>
      <c r="J56">
        <v>-6.1093253625369211E-3</v>
      </c>
      <c r="K56">
        <v>-6.1104581375910124E-3</v>
      </c>
      <c r="L56">
        <v>-6.1115909126451037E-3</v>
      </c>
      <c r="M56">
        <v>-6.1127236876991949E-3</v>
      </c>
      <c r="N56">
        <v>-6.1138564627532862E-3</v>
      </c>
    </row>
    <row r="57" spans="1:14" x14ac:dyDescent="0.35">
      <c r="A57">
        <v>55</v>
      </c>
      <c r="B57" t="s">
        <v>29</v>
      </c>
      <c r="C57" s="23">
        <v>42452</v>
      </c>
      <c r="D57">
        <v>-1.133157590218E-4</v>
      </c>
      <c r="E57">
        <v>0.99693894000000005</v>
      </c>
      <c r="F57">
        <v>-1.1296889312221787E-4</v>
      </c>
      <c r="G57">
        <f>G56+captured_returns_sw[[#This Row],[captured_returns]]</f>
        <v>7.077488441410892E-3</v>
      </c>
      <c r="H57">
        <v>1.02757174102408E-2</v>
      </c>
      <c r="I57">
        <v>-1.1344721908860857E-4</v>
      </c>
      <c r="J57">
        <v>-1.1392554505499927E-4</v>
      </c>
      <c r="K57">
        <v>-1.1440387102138997E-4</v>
      </c>
      <c r="L57">
        <v>-1.1488219698778066E-4</v>
      </c>
      <c r="M57">
        <v>-1.1536052295417136E-4</v>
      </c>
      <c r="N57">
        <v>-1.1583884892056206E-4</v>
      </c>
    </row>
    <row r="58" spans="1:14" x14ac:dyDescent="0.35">
      <c r="A58">
        <v>56</v>
      </c>
      <c r="B58" t="s">
        <v>29</v>
      </c>
      <c r="C58" s="23">
        <v>42453</v>
      </c>
      <c r="D58">
        <v>-2.3042243437579999E-4</v>
      </c>
      <c r="E58">
        <v>0.996896</v>
      </c>
      <c r="F58">
        <v>-2.2970720971084044E-4</v>
      </c>
      <c r="G58">
        <f>G57+captured_returns_sw[[#This Row],[captured_returns]]</f>
        <v>6.8477812317000513E-3</v>
      </c>
      <c r="H58">
        <v>1.0107906603202E-2</v>
      </c>
      <c r="I58">
        <v>-2.3046618881634092E-4</v>
      </c>
      <c r="J58">
        <v>-2.3122516792184144E-4</v>
      </c>
      <c r="K58">
        <v>-2.3198414702734193E-4</v>
      </c>
      <c r="L58">
        <v>-2.3274312613284242E-4</v>
      </c>
      <c r="M58">
        <v>-2.335021052383429E-4</v>
      </c>
      <c r="N58">
        <v>-2.3426108434384342E-4</v>
      </c>
    </row>
    <row r="59" spans="1:14" x14ac:dyDescent="0.35">
      <c r="A59">
        <v>57</v>
      </c>
      <c r="B59" t="s">
        <v>29</v>
      </c>
      <c r="C59" s="23">
        <v>42457</v>
      </c>
      <c r="D59">
        <v>9.1375563934043991E-3</v>
      </c>
      <c r="E59">
        <v>0.98418459999999997</v>
      </c>
      <c r="F59">
        <v>8.9930424920328517E-3</v>
      </c>
      <c r="G59">
        <f>G58+captured_returns_sw[[#This Row],[captured_returns]]</f>
        <v>1.5840823723732904E-2</v>
      </c>
      <c r="H59">
        <v>9.9432321467206007E-3</v>
      </c>
      <c r="I59">
        <v>8.9928747776200774E-3</v>
      </c>
      <c r="J59">
        <v>8.9927070632073013E-3</v>
      </c>
      <c r="K59">
        <v>8.992539348794527E-3</v>
      </c>
      <c r="L59">
        <v>8.992371634381751E-3</v>
      </c>
      <c r="M59">
        <v>8.9922039199689767E-3</v>
      </c>
      <c r="N59">
        <v>8.9920362055562007E-3</v>
      </c>
    </row>
    <row r="60" spans="1:14" x14ac:dyDescent="0.35">
      <c r="A60">
        <v>58</v>
      </c>
      <c r="B60" t="s">
        <v>29</v>
      </c>
      <c r="C60" s="23">
        <v>42458</v>
      </c>
      <c r="D60">
        <v>3.6118360828832001E-3</v>
      </c>
      <c r="E60">
        <v>0.97015863999999996</v>
      </c>
      <c r="F60">
        <v>3.504053969684211E-3</v>
      </c>
      <c r="G60">
        <f>G59+captured_returns_sw[[#This Row],[captured_returns]]</f>
        <v>1.9344877693417115E-2</v>
      </c>
      <c r="H60">
        <v>9.9024064533398994E-3</v>
      </c>
      <c r="I60">
        <v>3.5035775722770074E-3</v>
      </c>
      <c r="J60">
        <v>3.5031011748698042E-3</v>
      </c>
      <c r="K60">
        <v>3.5026247774626006E-3</v>
      </c>
      <c r="L60">
        <v>3.5021483800553974E-3</v>
      </c>
      <c r="M60">
        <v>3.5016719826481938E-3</v>
      </c>
      <c r="N60">
        <v>3.5011955852409906E-3</v>
      </c>
    </row>
    <row r="61" spans="1:14" x14ac:dyDescent="0.35">
      <c r="A61">
        <v>59</v>
      </c>
      <c r="B61" t="s">
        <v>29</v>
      </c>
      <c r="C61" s="23">
        <v>42459</v>
      </c>
      <c r="D61">
        <v>-1.7683548440202001E-3</v>
      </c>
      <c r="E61">
        <v>0.97968434999999998</v>
      </c>
      <c r="F61">
        <v>-1.7324295710168696E-3</v>
      </c>
      <c r="G61">
        <f>G60+captured_returns_sw[[#This Row],[captured_returns]]</f>
        <v>1.7612448122400245E-2</v>
      </c>
      <c r="H61">
        <v>9.7496310918852008E-3</v>
      </c>
      <c r="I61">
        <v>-1.733616493458139E-3</v>
      </c>
      <c r="J61">
        <v>-1.7348034158994087E-3</v>
      </c>
      <c r="K61">
        <v>-1.7359903383406781E-3</v>
      </c>
      <c r="L61">
        <v>-1.7371772607819476E-3</v>
      </c>
      <c r="M61">
        <v>-1.7383641832232173E-3</v>
      </c>
      <c r="N61">
        <v>-1.7395511056644867E-3</v>
      </c>
    </row>
    <row r="62" spans="1:14" x14ac:dyDescent="0.35">
      <c r="A62">
        <v>60</v>
      </c>
      <c r="B62" t="s">
        <v>29</v>
      </c>
      <c r="C62" s="23">
        <v>42460</v>
      </c>
      <c r="D62">
        <v>6.4738246685441996E-3</v>
      </c>
      <c r="E62">
        <v>0.9778057</v>
      </c>
      <c r="F62">
        <v>6.3301424938762181E-3</v>
      </c>
      <c r="G62">
        <f>G61+captured_returns_sw[[#This Row],[captured_returns]]</f>
        <v>2.3942590616276464E-2</v>
      </c>
      <c r="H62">
        <v>9.6048879480195998E-3</v>
      </c>
      <c r="I62">
        <v>6.3295194764363431E-3</v>
      </c>
      <c r="J62">
        <v>6.3288964589964681E-3</v>
      </c>
      <c r="K62">
        <v>6.3282734415565931E-3</v>
      </c>
      <c r="L62">
        <v>6.3276504241167181E-3</v>
      </c>
      <c r="M62">
        <v>6.3270274066768431E-3</v>
      </c>
      <c r="N62">
        <v>6.3264043892369681E-3</v>
      </c>
    </row>
    <row r="63" spans="1:14" x14ac:dyDescent="0.35">
      <c r="A63">
        <v>61</v>
      </c>
      <c r="B63" t="s">
        <v>29</v>
      </c>
      <c r="C63" s="23">
        <v>42461</v>
      </c>
      <c r="D63">
        <v>-3.6142451885500001E-3</v>
      </c>
      <c r="E63">
        <v>0.96765053000000001</v>
      </c>
      <c r="F63">
        <v>-3.497326282090043E-3</v>
      </c>
      <c r="G63">
        <f>G62+captured_returns_sw[[#This Row],[captured_returns]]</f>
        <v>2.0445264334186419E-2</v>
      </c>
      <c r="H63">
        <v>9.4954288631756995E-3</v>
      </c>
      <c r="I63">
        <v>-3.4973754468178532E-3</v>
      </c>
      <c r="J63">
        <v>-3.4974246115456633E-3</v>
      </c>
      <c r="K63">
        <v>-3.4974737762734735E-3</v>
      </c>
      <c r="L63">
        <v>-3.4975229410012837E-3</v>
      </c>
      <c r="M63">
        <v>-3.4975721057290935E-3</v>
      </c>
      <c r="N63">
        <v>-3.4976212704569036E-3</v>
      </c>
    </row>
    <row r="64" spans="1:14" x14ac:dyDescent="0.35">
      <c r="A64">
        <v>62</v>
      </c>
      <c r="B64" t="s">
        <v>29</v>
      </c>
      <c r="C64" s="23">
        <v>42464</v>
      </c>
      <c r="D64">
        <v>-9.1785189643889993E-3</v>
      </c>
      <c r="E64">
        <v>0.99425523999999998</v>
      </c>
      <c r="F64">
        <v>-9.1257906192149987E-3</v>
      </c>
      <c r="G64">
        <f>G63+captured_returns_sw[[#This Row],[captured_returns]]</f>
        <v>1.1319473714971421E-2</v>
      </c>
      <c r="H64">
        <v>9.3816625404075996E-3</v>
      </c>
      <c r="I64">
        <v>-9.1277142613080588E-3</v>
      </c>
      <c r="J64">
        <v>-9.129637903401119E-3</v>
      </c>
      <c r="K64">
        <v>-9.1315615454941792E-3</v>
      </c>
      <c r="L64">
        <v>-9.1334851875872394E-3</v>
      </c>
      <c r="M64">
        <v>-9.1354088296802995E-3</v>
      </c>
      <c r="N64">
        <v>-9.137332471773358E-3</v>
      </c>
    </row>
    <row r="65" spans="1:14" x14ac:dyDescent="0.35">
      <c r="A65">
        <v>63</v>
      </c>
      <c r="B65" t="s">
        <v>29</v>
      </c>
      <c r="C65" s="23">
        <v>42465</v>
      </c>
      <c r="D65">
        <v>1.0588364808924101E-2</v>
      </c>
      <c r="E65">
        <v>0.99656160000000005</v>
      </c>
      <c r="F65">
        <v>1.0551957636200544E-2</v>
      </c>
      <c r="G65">
        <f>G64+captured_returns_sw[[#This Row],[captured_returns]]</f>
        <v>2.1871431351171963E-2</v>
      </c>
      <c r="H65">
        <v>9.4110174473634005E-3</v>
      </c>
      <c r="I65">
        <v>1.0551917243881005E-2</v>
      </c>
      <c r="J65">
        <v>1.0551876851561465E-2</v>
      </c>
      <c r="K65">
        <v>1.0551836459241926E-2</v>
      </c>
      <c r="L65">
        <v>1.0551796066922386E-2</v>
      </c>
      <c r="M65">
        <v>1.0551755674602847E-2</v>
      </c>
      <c r="N65">
        <v>1.0551715282283308E-2</v>
      </c>
    </row>
    <row r="66" spans="1:14" x14ac:dyDescent="0.35">
      <c r="A66">
        <v>64</v>
      </c>
      <c r="B66" t="s">
        <v>29</v>
      </c>
      <c r="C66" s="23">
        <v>42466</v>
      </c>
      <c r="D66">
        <v>-1.22975171689847E-2</v>
      </c>
      <c r="E66">
        <v>0.99075299999999999</v>
      </c>
      <c r="F66">
        <v>-1.2183801966410022E-2</v>
      </c>
      <c r="G66">
        <f>G65+captured_returns_sw[[#This Row],[captured_returns]]</f>
        <v>9.6876293847619407E-3</v>
      </c>
      <c r="H66">
        <v>9.4170529147430005E-3</v>
      </c>
      <c r="I66">
        <v>-1.2184125448228864E-2</v>
      </c>
      <c r="J66">
        <v>-1.2184448930047706E-2</v>
      </c>
      <c r="K66">
        <v>-1.218477241186655E-2</v>
      </c>
      <c r="L66">
        <v>-1.2185095893685391E-2</v>
      </c>
      <c r="M66">
        <v>-1.2185419375504233E-2</v>
      </c>
      <c r="N66">
        <v>-1.2185742857323075E-2</v>
      </c>
    </row>
    <row r="67" spans="1:14" x14ac:dyDescent="0.35">
      <c r="A67">
        <v>65</v>
      </c>
      <c r="B67" t="s">
        <v>29</v>
      </c>
      <c r="C67" s="23">
        <v>42467</v>
      </c>
      <c r="D67">
        <v>2.7895770968534E-3</v>
      </c>
      <c r="E67">
        <v>0.99636570000000002</v>
      </c>
      <c r="F67">
        <v>2.77943900932288E-3</v>
      </c>
      <c r="G67">
        <f>G66+captured_returns_sw[[#This Row],[captured_returns]]</f>
        <v>1.2467068394084822E-2</v>
      </c>
      <c r="H67">
        <v>9.5709721186269994E-3</v>
      </c>
      <c r="I67">
        <v>2.7789166991921818E-3</v>
      </c>
      <c r="J67">
        <v>2.778394389061484E-3</v>
      </c>
      <c r="K67">
        <v>2.7778720789307858E-3</v>
      </c>
      <c r="L67">
        <v>2.7773497688000875E-3</v>
      </c>
      <c r="M67">
        <v>2.7768274586693897E-3</v>
      </c>
      <c r="N67">
        <v>2.7763051485386915E-3</v>
      </c>
    </row>
    <row r="68" spans="1:14" x14ac:dyDescent="0.35">
      <c r="A68">
        <v>66</v>
      </c>
      <c r="B68" t="s">
        <v>29</v>
      </c>
      <c r="C68" s="23">
        <v>42468</v>
      </c>
      <c r="D68">
        <v>-3.0720161889382998E-3</v>
      </c>
      <c r="E68">
        <v>0.99208176000000003</v>
      </c>
      <c r="F68">
        <v>-3.0476912316488606E-3</v>
      </c>
      <c r="G68">
        <f>G67+captured_returns_sw[[#This Row],[captured_returns]]</f>
        <v>9.4193771624359601E-3</v>
      </c>
      <c r="H68">
        <v>9.4201474528192008E-3</v>
      </c>
      <c r="I68">
        <v>-3.0482638517684139E-3</v>
      </c>
      <c r="J68">
        <v>-3.0488364718879667E-3</v>
      </c>
      <c r="K68">
        <v>-3.04940909200752E-3</v>
      </c>
      <c r="L68">
        <v>-3.0499817121270732E-3</v>
      </c>
      <c r="M68">
        <v>-3.0505543322466265E-3</v>
      </c>
      <c r="N68">
        <v>-3.0511269523661793E-3</v>
      </c>
    </row>
    <row r="69" spans="1:14" x14ac:dyDescent="0.35">
      <c r="A69">
        <v>67</v>
      </c>
      <c r="B69" t="s">
        <v>29</v>
      </c>
      <c r="C69" s="23">
        <v>42471</v>
      </c>
      <c r="D69">
        <v>1.06230400780332E-2</v>
      </c>
      <c r="E69">
        <v>0.99332863000000005</v>
      </c>
      <c r="F69">
        <v>1.0552169856965889E-2</v>
      </c>
      <c r="G69">
        <f>G68+captured_returns_sw[[#This Row],[captured_returns]]</f>
        <v>1.9971547019401847E-2</v>
      </c>
      <c r="H69">
        <v>9.2905924410237994E-3</v>
      </c>
      <c r="I69">
        <v>1.0551412603161538E-2</v>
      </c>
      <c r="J69">
        <v>1.0550655349357185E-2</v>
      </c>
      <c r="K69">
        <v>1.0549898095552833E-2</v>
      </c>
      <c r="L69">
        <v>1.054914084174848E-2</v>
      </c>
      <c r="M69">
        <v>1.0548383587944129E-2</v>
      </c>
      <c r="N69">
        <v>1.0547626334139776E-2</v>
      </c>
    </row>
    <row r="70" spans="1:14" x14ac:dyDescent="0.35">
      <c r="A70">
        <v>68</v>
      </c>
      <c r="B70" t="s">
        <v>29</v>
      </c>
      <c r="C70" s="23">
        <v>42472</v>
      </c>
      <c r="D70">
        <v>1.0004659391393901E-2</v>
      </c>
      <c r="E70">
        <v>0.9858266</v>
      </c>
      <c r="F70">
        <v>9.8628594672181876E-3</v>
      </c>
      <c r="G70">
        <f>G69+captured_returns_sw[[#This Row],[captured_returns]]</f>
        <v>2.9834406486620037E-2</v>
      </c>
      <c r="H70">
        <v>9.3034367546605996E-3</v>
      </c>
      <c r="I70">
        <v>9.8624087524572836E-3</v>
      </c>
      <c r="J70">
        <v>9.8619580376963813E-3</v>
      </c>
      <c r="K70">
        <v>9.8615073229354772E-3</v>
      </c>
      <c r="L70">
        <v>9.8610566081745732E-3</v>
      </c>
      <c r="M70">
        <v>9.8606058934136692E-3</v>
      </c>
      <c r="N70">
        <v>9.8601551786527668E-3</v>
      </c>
    </row>
    <row r="71" spans="1:14" x14ac:dyDescent="0.35">
      <c r="A71">
        <v>69</v>
      </c>
      <c r="B71" t="s">
        <v>29</v>
      </c>
      <c r="C71" s="23">
        <v>42473</v>
      </c>
      <c r="D71">
        <v>2.450686030592E-4</v>
      </c>
      <c r="E71">
        <v>0.98093370000000002</v>
      </c>
      <c r="F71">
        <v>2.403960578837684E-4</v>
      </c>
      <c r="G71">
        <f>G70+captured_returns_sw[[#This Row],[captured_returns]]</f>
        <v>3.0074802544503804E-2</v>
      </c>
      <c r="H71">
        <v>9.2863696832632993E-3</v>
      </c>
      <c r="I71">
        <v>2.4023913745236671E-4</v>
      </c>
      <c r="J71">
        <v>2.4008221702096502E-4</v>
      </c>
      <c r="K71">
        <v>2.3992529658956331E-4</v>
      </c>
      <c r="L71">
        <v>2.3976837615816162E-4</v>
      </c>
      <c r="M71">
        <v>2.3961145572675994E-4</v>
      </c>
      <c r="N71">
        <v>2.3945453529535825E-4</v>
      </c>
    </row>
    <row r="72" spans="1:14" x14ac:dyDescent="0.35">
      <c r="A72">
        <v>70</v>
      </c>
      <c r="B72" t="s">
        <v>29</v>
      </c>
      <c r="C72" s="23">
        <v>42474</v>
      </c>
      <c r="D72">
        <v>-7.4722117446290003E-4</v>
      </c>
      <c r="E72">
        <v>0.98611104000000005</v>
      </c>
      <c r="F72">
        <v>-7.3684305310885677E-4</v>
      </c>
      <c r="G72">
        <f>G71+captured_returns_sw[[#This Row],[captured_returns]]</f>
        <v>2.9337959491394949E-2</v>
      </c>
      <c r="H72">
        <v>9.1348441453042994E-3</v>
      </c>
      <c r="I72">
        <v>-7.3793864846918519E-4</v>
      </c>
      <c r="J72">
        <v>-7.3903424382951361E-4</v>
      </c>
      <c r="K72">
        <v>-7.4012983918984203E-4</v>
      </c>
      <c r="L72">
        <v>-7.4122543455017046E-4</v>
      </c>
      <c r="M72">
        <v>-7.4232102991049888E-4</v>
      </c>
      <c r="N72">
        <v>-7.434166252708273E-4</v>
      </c>
    </row>
    <row r="73" spans="1:14" x14ac:dyDescent="0.35">
      <c r="A73">
        <v>71</v>
      </c>
      <c r="B73" t="s">
        <v>29</v>
      </c>
      <c r="C73" s="23">
        <v>42475</v>
      </c>
      <c r="D73">
        <v>5.9512220081828996E-3</v>
      </c>
      <c r="E73">
        <v>0.98787354999999999</v>
      </c>
      <c r="F73">
        <v>5.8790548372338698E-3</v>
      </c>
      <c r="G73">
        <f>G72+captured_returns_sw[[#This Row],[captured_returns]]</f>
        <v>3.5217014328628816E-2</v>
      </c>
      <c r="H73">
        <v>8.9909297108738007E-3</v>
      </c>
      <c r="I73">
        <v>5.8781458538600655E-3</v>
      </c>
      <c r="J73">
        <v>5.8772368704862604E-3</v>
      </c>
      <c r="K73">
        <v>5.8763278871124562E-3</v>
      </c>
      <c r="L73">
        <v>5.8754189037386511E-3</v>
      </c>
      <c r="M73">
        <v>5.8745099203648468E-3</v>
      </c>
      <c r="N73">
        <v>5.8736009369910417E-3</v>
      </c>
    </row>
    <row r="74" spans="1:14" x14ac:dyDescent="0.35">
      <c r="A74">
        <v>72</v>
      </c>
      <c r="B74" t="s">
        <v>29</v>
      </c>
      <c r="C74" s="23">
        <v>42478</v>
      </c>
      <c r="D74">
        <v>3.5700658082851999E-3</v>
      </c>
      <c r="E74">
        <v>0.97964169999999995</v>
      </c>
      <c r="F74">
        <v>3.4973852516770798E-3</v>
      </c>
      <c r="G74">
        <f>G73+captured_returns_sw[[#This Row],[captured_returns]]</f>
        <v>3.8714399580305897E-2</v>
      </c>
      <c r="H74">
        <v>8.8785569514577001E-3</v>
      </c>
      <c r="I74">
        <v>3.4971662798287512E-3</v>
      </c>
      <c r="J74">
        <v>3.4969473079804227E-3</v>
      </c>
      <c r="K74">
        <v>3.4967283361320941E-3</v>
      </c>
      <c r="L74">
        <v>3.496509364283766E-3</v>
      </c>
      <c r="M74">
        <v>3.4962903924354374E-3</v>
      </c>
      <c r="N74">
        <v>3.4960714205871089E-3</v>
      </c>
    </row>
    <row r="75" spans="1:14" x14ac:dyDescent="0.35">
      <c r="A75">
        <v>73</v>
      </c>
      <c r="B75" t="s">
        <v>29</v>
      </c>
      <c r="C75" s="23">
        <v>42479</v>
      </c>
      <c r="D75">
        <v>2.1947316311015999E-3</v>
      </c>
      <c r="E75">
        <v>0.97746843000000005</v>
      </c>
      <c r="F75">
        <v>2.1452808839100435E-3</v>
      </c>
      <c r="G75">
        <f>G74+captured_returns_sw[[#This Row],[captured_returns]]</f>
        <v>4.0859680464215939E-2</v>
      </c>
      <c r="H75">
        <v>8.7392401049017996E-3</v>
      </c>
      <c r="I75">
        <v>2.1445673410397078E-3</v>
      </c>
      <c r="J75">
        <v>2.143853798169372E-3</v>
      </c>
      <c r="K75">
        <v>2.1431402552990362E-3</v>
      </c>
      <c r="L75">
        <v>2.1424267124287005E-3</v>
      </c>
      <c r="M75">
        <v>2.1417131695583647E-3</v>
      </c>
      <c r="N75">
        <v>2.1409996266880285E-3</v>
      </c>
    </row>
    <row r="76" spans="1:14" x14ac:dyDescent="0.35">
      <c r="A76">
        <v>74</v>
      </c>
      <c r="B76" t="s">
        <v>29</v>
      </c>
      <c r="C76" s="23">
        <v>42480</v>
      </c>
      <c r="D76">
        <v>-7.9906919342928005E-3</v>
      </c>
      <c r="E76">
        <v>0.97310936000000003</v>
      </c>
      <c r="F76">
        <v>-7.7758171501715141E-3</v>
      </c>
      <c r="G76">
        <f>G75+captured_returns_sw[[#This Row],[captured_returns]]</f>
        <v>3.3083863314044427E-2</v>
      </c>
      <c r="H76">
        <v>8.5954963628593999E-3</v>
      </c>
      <c r="I76">
        <v>-7.7764612574430982E-3</v>
      </c>
      <c r="J76">
        <v>-7.7771053647146832E-3</v>
      </c>
      <c r="K76">
        <v>-7.7777494719862674E-3</v>
      </c>
      <c r="L76">
        <v>-7.7783935792578524E-3</v>
      </c>
      <c r="M76">
        <v>-7.7790376865294365E-3</v>
      </c>
      <c r="N76">
        <v>-7.7796817938010215E-3</v>
      </c>
    </row>
    <row r="77" spans="1:14" x14ac:dyDescent="0.35">
      <c r="A77">
        <v>75</v>
      </c>
      <c r="B77" t="s">
        <v>29</v>
      </c>
      <c r="C77" s="23">
        <v>42481</v>
      </c>
      <c r="D77">
        <v>1.7151814506289999E-3</v>
      </c>
      <c r="E77">
        <v>0.98489296000000004</v>
      </c>
      <c r="F77">
        <v>1.6892701433305947E-3</v>
      </c>
      <c r="G77">
        <f>G76+captured_returns_sw[[#This Row],[captured_returns]]</f>
        <v>3.4773133457375024E-2</v>
      </c>
      <c r="H77">
        <v>8.5966082305668004E-3</v>
      </c>
      <c r="I77">
        <v>1.6886294516391962E-3</v>
      </c>
      <c r="J77">
        <v>1.6879887599477977E-3</v>
      </c>
      <c r="K77">
        <v>1.6873480682563992E-3</v>
      </c>
      <c r="L77">
        <v>1.6867073765650007E-3</v>
      </c>
      <c r="M77">
        <v>1.6860666848736022E-3</v>
      </c>
      <c r="N77">
        <v>1.6854259931822037E-3</v>
      </c>
    </row>
    <row r="78" spans="1:14" x14ac:dyDescent="0.35">
      <c r="A78">
        <v>76</v>
      </c>
      <c r="B78" t="s">
        <v>29</v>
      </c>
      <c r="C78" s="23">
        <v>42482</v>
      </c>
      <c r="D78">
        <v>-1.4733448089842001E-3</v>
      </c>
      <c r="E78">
        <v>0.97524595000000003</v>
      </c>
      <c r="F78">
        <v>-1.4368735617551977E-3</v>
      </c>
      <c r="G78">
        <f>G77+captured_returns_sw[[#This Row],[captured_returns]]</f>
        <v>3.3336259895619828E-2</v>
      </c>
      <c r="H78">
        <v>8.4548319737246993E-3</v>
      </c>
      <c r="I78">
        <v>-1.4372421435717088E-3</v>
      </c>
      <c r="J78">
        <v>-1.4376107253882199E-3</v>
      </c>
      <c r="K78">
        <v>-1.4379793072047311E-3</v>
      </c>
      <c r="L78">
        <v>-1.4383478890212422E-3</v>
      </c>
      <c r="M78">
        <v>-1.4387164708377534E-3</v>
      </c>
      <c r="N78">
        <v>-1.4390850526542647E-3</v>
      </c>
    </row>
    <row r="79" spans="1:14" x14ac:dyDescent="0.35">
      <c r="A79">
        <v>77</v>
      </c>
      <c r="B79" t="s">
        <v>29</v>
      </c>
      <c r="C79" s="23">
        <v>42485</v>
      </c>
      <c r="D79">
        <v>2.8597062253335999E-3</v>
      </c>
      <c r="E79">
        <v>0.97491634000000005</v>
      </c>
      <c r="F79">
        <v>2.7879743235906624E-3</v>
      </c>
      <c r="G79">
        <f>G78+captured_returns_sw[[#This Row],[captured_returns]]</f>
        <v>3.6124234219210488E-2</v>
      </c>
      <c r="H79">
        <v>8.3269792180749001E-3</v>
      </c>
      <c r="I79">
        <v>2.7871562807869127E-3</v>
      </c>
      <c r="J79">
        <v>2.7863382379831624E-3</v>
      </c>
      <c r="K79">
        <v>2.7855201951794127E-3</v>
      </c>
      <c r="L79">
        <v>2.7847021523756629E-3</v>
      </c>
      <c r="M79">
        <v>2.7838841095719131E-3</v>
      </c>
      <c r="N79">
        <v>2.7830660667681629E-3</v>
      </c>
    </row>
    <row r="80" spans="1:14" x14ac:dyDescent="0.35">
      <c r="A80">
        <v>78</v>
      </c>
      <c r="B80" t="s">
        <v>29</v>
      </c>
      <c r="C80" s="23">
        <v>42486</v>
      </c>
      <c r="D80">
        <v>1.2424352238839E-3</v>
      </c>
      <c r="E80">
        <v>0.96456620000000004</v>
      </c>
      <c r="F80">
        <v>1.1984109868275418E-3</v>
      </c>
      <c r="G80">
        <f>G79+captured_returns_sw[[#This Row],[captured_returns]]</f>
        <v>3.7322645206038028E-2</v>
      </c>
      <c r="H80">
        <v>8.1934210204729994E-3</v>
      </c>
      <c r="I80">
        <v>1.1981061440570985E-3</v>
      </c>
      <c r="J80">
        <v>1.197801301286655E-3</v>
      </c>
      <c r="K80">
        <v>1.1974964585162117E-3</v>
      </c>
      <c r="L80">
        <v>1.1971916157457684E-3</v>
      </c>
      <c r="M80">
        <v>1.1968867729753249E-3</v>
      </c>
      <c r="N80">
        <v>1.1965819302048816E-3</v>
      </c>
    </row>
    <row r="81" spans="1:14" x14ac:dyDescent="0.35">
      <c r="A81">
        <v>79</v>
      </c>
      <c r="B81" t="s">
        <v>29</v>
      </c>
      <c r="C81" s="23">
        <v>42487</v>
      </c>
      <c r="D81">
        <v>-1.02358787404344E-2</v>
      </c>
      <c r="E81">
        <v>0.96050539999999995</v>
      </c>
      <c r="F81">
        <v>-9.8316170693490117E-3</v>
      </c>
      <c r="G81">
        <f>G80+captured_returns_sw[[#This Row],[captured_returns]]</f>
        <v>2.7491028136689015E-2</v>
      </c>
      <c r="H81">
        <v>8.0579880618799997E-3</v>
      </c>
      <c r="I81">
        <v>-9.8323137991935764E-3</v>
      </c>
      <c r="J81">
        <v>-9.8330105290381411E-3</v>
      </c>
      <c r="K81">
        <v>-9.8337072588827058E-3</v>
      </c>
      <c r="L81">
        <v>-9.8344039887272704E-3</v>
      </c>
      <c r="M81">
        <v>-9.8351007185718334E-3</v>
      </c>
      <c r="N81">
        <v>-9.8357974484163981E-3</v>
      </c>
    </row>
    <row r="82" spans="1:14" x14ac:dyDescent="0.35">
      <c r="A82">
        <v>80</v>
      </c>
      <c r="B82" t="s">
        <v>29</v>
      </c>
      <c r="C82" s="23">
        <v>42488</v>
      </c>
      <c r="D82">
        <v>-7.5801357350735003E-3</v>
      </c>
      <c r="E82">
        <v>0.98116890000000001</v>
      </c>
      <c r="F82">
        <v>-7.4373936363135527E-3</v>
      </c>
      <c r="G82">
        <f>G81+captured_returns_sw[[#This Row],[captured_returns]]</f>
        <v>2.0053634500375464E-2</v>
      </c>
      <c r="H82">
        <v>8.1199477649249001E-3</v>
      </c>
      <c r="I82">
        <v>-7.4381662047928758E-3</v>
      </c>
      <c r="J82">
        <v>-7.4389387732721989E-3</v>
      </c>
      <c r="K82">
        <v>-7.4397113417515228E-3</v>
      </c>
      <c r="L82">
        <v>-7.4404839102308459E-3</v>
      </c>
      <c r="M82">
        <v>-7.441256478710169E-3</v>
      </c>
      <c r="N82">
        <v>-7.4420290471894921E-3</v>
      </c>
    </row>
    <row r="83" spans="1:14" x14ac:dyDescent="0.35">
      <c r="A83">
        <v>81</v>
      </c>
      <c r="B83" t="s">
        <v>29</v>
      </c>
      <c r="C83" s="23">
        <v>42489</v>
      </c>
      <c r="D83">
        <v>8.6475171018384998E-3</v>
      </c>
      <c r="E83">
        <v>0.98494499999999996</v>
      </c>
      <c r="F83">
        <v>8.5173287251078516E-3</v>
      </c>
      <c r="G83">
        <f>G82+captured_returns_sw[[#This Row],[captured_returns]]</f>
        <v>2.8570963225483317E-2</v>
      </c>
      <c r="H83">
        <v>8.0930655158902992E-3</v>
      </c>
      <c r="I83">
        <v>8.5169186585867043E-3</v>
      </c>
      <c r="J83">
        <v>8.5165085920655571E-3</v>
      </c>
      <c r="K83">
        <v>8.5160985255444081E-3</v>
      </c>
      <c r="L83">
        <v>8.5156884590232608E-3</v>
      </c>
      <c r="M83">
        <v>8.5152783925021135E-3</v>
      </c>
      <c r="N83">
        <v>8.5148683259809663E-3</v>
      </c>
    </row>
    <row r="84" spans="1:14" x14ac:dyDescent="0.35">
      <c r="A84">
        <v>82</v>
      </c>
      <c r="B84" t="s">
        <v>29</v>
      </c>
      <c r="C84" s="23">
        <v>42492</v>
      </c>
      <c r="D84">
        <v>-9.7572361414574003E-3</v>
      </c>
      <c r="E84">
        <v>0.96232340000000005</v>
      </c>
      <c r="F84">
        <v>-9.3896169236500869E-3</v>
      </c>
      <c r="G84">
        <f>G83+captured_returns_sw[[#This Row],[captured_returns]]</f>
        <v>1.918134630183323E-2</v>
      </c>
      <c r="H84">
        <v>8.0536392753200996E-3</v>
      </c>
      <c r="I84">
        <v>-9.3906625020601254E-3</v>
      </c>
      <c r="J84">
        <v>-9.3917080804701639E-3</v>
      </c>
      <c r="K84">
        <v>-9.3927536588802023E-3</v>
      </c>
      <c r="L84">
        <v>-9.3937992372902391E-3</v>
      </c>
      <c r="M84">
        <v>-9.3948448157002776E-3</v>
      </c>
      <c r="N84">
        <v>-9.3958903941103161E-3</v>
      </c>
    </row>
    <row r="85" spans="1:14" x14ac:dyDescent="0.35">
      <c r="A85">
        <v>83</v>
      </c>
      <c r="B85" t="s">
        <v>29</v>
      </c>
      <c r="C85" s="23">
        <v>42493</v>
      </c>
      <c r="D85">
        <v>-5.6799696979498004E-3</v>
      </c>
      <c r="E85">
        <v>0.98340079999999996</v>
      </c>
      <c r="F85">
        <v>-5.5856868681142275E-3</v>
      </c>
      <c r="G85">
        <f>G84+captured_returns_sw[[#This Row],[captured_returns]]</f>
        <v>1.3595659433719003E-2</v>
      </c>
      <c r="H85">
        <v>8.0874326717287007E-3</v>
      </c>
      <c r="I85">
        <v>-5.5866822868120255E-3</v>
      </c>
      <c r="J85">
        <v>-5.5876777055098234E-3</v>
      </c>
      <c r="K85">
        <v>-5.5886731242076213E-3</v>
      </c>
      <c r="L85">
        <v>-5.5896685429054193E-3</v>
      </c>
      <c r="M85">
        <v>-5.5906639616032164E-3</v>
      </c>
      <c r="N85">
        <v>-5.5916593803010143E-3</v>
      </c>
    </row>
    <row r="86" spans="1:14" x14ac:dyDescent="0.35">
      <c r="A86">
        <v>84</v>
      </c>
      <c r="B86" t="s">
        <v>29</v>
      </c>
      <c r="C86" s="23">
        <v>42494</v>
      </c>
      <c r="D86">
        <v>-1.7285342005946001E-3</v>
      </c>
      <c r="E86">
        <v>0.9846876</v>
      </c>
      <c r="F86">
        <v>-1.7020662390687692E-3</v>
      </c>
      <c r="G86">
        <f>G85+captured_returns_sw[[#This Row],[captured_returns]]</f>
        <v>1.1893593194650234E-2</v>
      </c>
      <c r="H86">
        <v>8.0115477197953006E-3</v>
      </c>
      <c r="I86">
        <v>-1.7026862796790988E-3</v>
      </c>
      <c r="J86">
        <v>-1.7033063202894284E-3</v>
      </c>
      <c r="K86">
        <v>-1.7039263608997579E-3</v>
      </c>
      <c r="L86">
        <v>-1.7045464015100875E-3</v>
      </c>
      <c r="M86">
        <v>-1.7051664421204168E-3</v>
      </c>
      <c r="N86">
        <v>-1.7057864827307464E-3</v>
      </c>
    </row>
    <row r="87" spans="1:14" x14ac:dyDescent="0.35">
      <c r="A87">
        <v>85</v>
      </c>
      <c r="B87" t="s">
        <v>29</v>
      </c>
      <c r="C87" s="23">
        <v>42495</v>
      </c>
      <c r="D87">
        <v>5.1296097863045001E-3</v>
      </c>
      <c r="E87">
        <v>0.98206070000000001</v>
      </c>
      <c r="F87">
        <v>5.0375880279505732E-3</v>
      </c>
      <c r="G87">
        <f>G86+captured_returns_sw[[#This Row],[captured_returns]]</f>
        <v>1.6931181222600809E-2</v>
      </c>
      <c r="H87">
        <v>7.8855832490935009E-3</v>
      </c>
      <c r="I87">
        <v>5.0368178274225245E-3</v>
      </c>
      <c r="J87">
        <v>5.0360476268944757E-3</v>
      </c>
      <c r="K87">
        <v>5.0352774263664269E-3</v>
      </c>
      <c r="L87">
        <v>5.0345072258383781E-3</v>
      </c>
      <c r="M87">
        <v>5.0337370253103293E-3</v>
      </c>
      <c r="N87">
        <v>5.0329668247822805E-3</v>
      </c>
    </row>
    <row r="88" spans="1:14" x14ac:dyDescent="0.35">
      <c r="A88">
        <v>86</v>
      </c>
      <c r="B88" t="s">
        <v>29</v>
      </c>
      <c r="C88" s="23">
        <v>42496</v>
      </c>
      <c r="D88">
        <v>8.8648528736079998E-4</v>
      </c>
      <c r="E88">
        <v>0.96748334000000002</v>
      </c>
      <c r="F88">
        <v>8.5765974817828461E-4</v>
      </c>
      <c r="G88">
        <f>G87+captured_returns_sw[[#This Row],[captured_returns]]</f>
        <v>1.7788840970779093E-2</v>
      </c>
      <c r="H88">
        <v>7.7888735764526998E-3</v>
      </c>
      <c r="I88">
        <v>8.5750608953043467E-4</v>
      </c>
      <c r="J88">
        <v>8.5735243088258463E-4</v>
      </c>
      <c r="K88">
        <v>8.571987722347347E-4</v>
      </c>
      <c r="L88">
        <v>8.5704511358688476E-4</v>
      </c>
      <c r="M88">
        <v>8.5689145493903483E-4</v>
      </c>
      <c r="N88">
        <v>8.5673779629118478E-4</v>
      </c>
    </row>
    <row r="89" spans="1:14" x14ac:dyDescent="0.35">
      <c r="A89">
        <v>87</v>
      </c>
      <c r="B89" t="s">
        <v>29</v>
      </c>
      <c r="C89" s="23">
        <v>42499</v>
      </c>
      <c r="D89">
        <v>1.39608139237973E-2</v>
      </c>
      <c r="E89">
        <v>0.96759253999999995</v>
      </c>
      <c r="F89">
        <v>1.3508379368739651E-2</v>
      </c>
      <c r="G89">
        <f>G88+captured_returns_sw[[#This Row],[captured_returns]]</f>
        <v>3.1297220339518747E-2</v>
      </c>
      <c r="H89">
        <v>7.6603729067675E-3</v>
      </c>
      <c r="I89">
        <v>1.3507388204135566E-2</v>
      </c>
      <c r="J89">
        <v>1.3506397039531482E-2</v>
      </c>
      <c r="K89">
        <v>1.3505405874927398E-2</v>
      </c>
      <c r="L89">
        <v>1.3504414710323312E-2</v>
      </c>
      <c r="M89">
        <v>1.3503423545719227E-2</v>
      </c>
      <c r="N89">
        <v>1.3502432381115143E-2</v>
      </c>
    </row>
    <row r="90" spans="1:14" x14ac:dyDescent="0.35">
      <c r="A90">
        <v>88</v>
      </c>
      <c r="B90" t="s">
        <v>29</v>
      </c>
      <c r="C90" s="23">
        <v>42500</v>
      </c>
      <c r="D90">
        <v>-1.13929526900862E-2</v>
      </c>
      <c r="E90">
        <v>0.90623279999999995</v>
      </c>
      <c r="F90">
        <v>-1.0324667123323085E-2</v>
      </c>
      <c r="G90">
        <f>G89+captured_returns_sw[[#This Row],[captured_returns]]</f>
        <v>2.0972553216195663E-2</v>
      </c>
      <c r="H90">
        <v>7.7848145924033999E-3</v>
      </c>
      <c r="I90">
        <v>-1.0329344952250356E-2</v>
      </c>
      <c r="J90">
        <v>-1.0334022781177626E-2</v>
      </c>
      <c r="K90">
        <v>-1.0338700610104898E-2</v>
      </c>
      <c r="L90">
        <v>-1.0343378439032169E-2</v>
      </c>
      <c r="M90">
        <v>-1.0348056267959439E-2</v>
      </c>
      <c r="N90">
        <v>-1.0352734096886709E-2</v>
      </c>
    </row>
    <row r="91" spans="1:14" x14ac:dyDescent="0.35">
      <c r="A91">
        <v>89</v>
      </c>
      <c r="B91" t="s">
        <v>29</v>
      </c>
      <c r="C91" s="23">
        <v>42501</v>
      </c>
      <c r="D91">
        <v>4.3756690412869999E-4</v>
      </c>
      <c r="E91">
        <v>0.97298470000000004</v>
      </c>
      <c r="F91">
        <v>4.2574589051350305E-4</v>
      </c>
      <c r="G91">
        <f>G90+captured_returns_sw[[#This Row],[captured_returns]]</f>
        <v>2.1398299106709165E-2</v>
      </c>
      <c r="H91">
        <v>7.8697768036767E-3</v>
      </c>
      <c r="I91">
        <v>4.2233225952330457E-4</v>
      </c>
      <c r="J91">
        <v>4.189186285331061E-4</v>
      </c>
      <c r="K91">
        <v>4.1550499754290762E-4</v>
      </c>
      <c r="L91">
        <v>4.1209136655270915E-4</v>
      </c>
      <c r="M91">
        <v>4.0867773556251067E-4</v>
      </c>
      <c r="N91">
        <v>4.052641045723122E-4</v>
      </c>
    </row>
    <row r="92" spans="1:14" x14ac:dyDescent="0.35">
      <c r="A92">
        <v>90</v>
      </c>
      <c r="B92" t="s">
        <v>29</v>
      </c>
      <c r="C92" s="23">
        <v>42502</v>
      </c>
      <c r="D92">
        <v>-9.0434327941792993E-3</v>
      </c>
      <c r="E92">
        <v>0.95784974000000001</v>
      </c>
      <c r="F92">
        <v>-8.662249759493269E-3</v>
      </c>
      <c r="G92">
        <f>G91+captured_returns_sw[[#This Row],[captured_returns]]</f>
        <v>1.2736049347215896E-2</v>
      </c>
      <c r="H92">
        <v>7.7396960336438003E-3</v>
      </c>
      <c r="I92">
        <v>-8.6623076104643572E-3</v>
      </c>
      <c r="J92">
        <v>-8.6623654614354454E-3</v>
      </c>
      <c r="K92">
        <v>-8.6624233124065336E-3</v>
      </c>
      <c r="L92">
        <v>-8.6624811633776218E-3</v>
      </c>
      <c r="M92">
        <v>-8.6625390143487101E-3</v>
      </c>
      <c r="N92">
        <v>-8.6625968653197983E-3</v>
      </c>
    </row>
    <row r="93" spans="1:14" x14ac:dyDescent="0.35">
      <c r="A93">
        <v>91</v>
      </c>
      <c r="B93" t="s">
        <v>29</v>
      </c>
      <c r="C93" s="23">
        <v>42503</v>
      </c>
      <c r="D93">
        <v>1.14994827613637E-2</v>
      </c>
      <c r="E93">
        <v>0.97620079999999998</v>
      </c>
      <c r="F93">
        <v>1.1225804489897901E-2</v>
      </c>
      <c r="G93">
        <f>G92+captured_returns_sw[[#This Row],[captured_returns]]</f>
        <v>2.3961853837113797E-2</v>
      </c>
      <c r="H93">
        <v>7.7404957037819997E-3</v>
      </c>
      <c r="I93">
        <v>1.1224690438177302E-2</v>
      </c>
      <c r="J93">
        <v>1.1223576386456704E-2</v>
      </c>
      <c r="K93">
        <v>1.1222462334736108E-2</v>
      </c>
      <c r="L93">
        <v>1.1221348283015509E-2</v>
      </c>
      <c r="M93">
        <v>1.1220234231294911E-2</v>
      </c>
      <c r="N93">
        <v>1.1219120179574313E-2</v>
      </c>
    </row>
    <row r="94" spans="1:14" x14ac:dyDescent="0.35">
      <c r="A94">
        <v>92</v>
      </c>
      <c r="B94" t="s">
        <v>29</v>
      </c>
      <c r="C94" s="23">
        <v>42506</v>
      </c>
      <c r="D94">
        <v>-1.1317022734980999E-2</v>
      </c>
      <c r="E94">
        <v>0.92309540000000001</v>
      </c>
      <c r="F94">
        <v>-1.0446691686093296E-2</v>
      </c>
      <c r="G94">
        <f>G93+captured_returns_sw[[#This Row],[captured_returns]]</f>
        <v>1.3515162151020501E-2</v>
      </c>
      <c r="H94">
        <v>7.7918922516213001E-3</v>
      </c>
      <c r="I94">
        <v>-1.0450304722819402E-2</v>
      </c>
      <c r="J94">
        <v>-1.0453917759545508E-2</v>
      </c>
      <c r="K94">
        <v>-1.0457530796271614E-2</v>
      </c>
      <c r="L94">
        <v>-1.0461143832997719E-2</v>
      </c>
      <c r="M94">
        <v>-1.0464756869723825E-2</v>
      </c>
      <c r="N94">
        <v>-1.0468369906449931E-2</v>
      </c>
    </row>
    <row r="95" spans="1:14" x14ac:dyDescent="0.35">
      <c r="A95">
        <v>93</v>
      </c>
      <c r="B95" t="s">
        <v>29</v>
      </c>
      <c r="C95" s="23">
        <v>42507</v>
      </c>
      <c r="D95">
        <v>-1.1761994052576E-3</v>
      </c>
      <c r="E95">
        <v>0.97408700000000004</v>
      </c>
      <c r="F95">
        <v>-1.1457205499435282E-3</v>
      </c>
      <c r="G95">
        <f>G94+captured_returns_sw[[#This Row],[captured_returns]]</f>
        <v>1.2369441601076973E-2</v>
      </c>
      <c r="H95">
        <v>7.8625856030836005E-3</v>
      </c>
      <c r="I95">
        <v>-1.1482813440102917E-3</v>
      </c>
      <c r="J95">
        <v>-1.1508421380770554E-3</v>
      </c>
      <c r="K95">
        <v>-1.1534029321438189E-3</v>
      </c>
      <c r="L95">
        <v>-1.1559637262105826E-3</v>
      </c>
      <c r="M95">
        <v>-1.1585245202773461E-3</v>
      </c>
      <c r="N95">
        <v>-1.1610853143441098E-3</v>
      </c>
    </row>
    <row r="96" spans="1:14" x14ac:dyDescent="0.35">
      <c r="A96">
        <v>94</v>
      </c>
      <c r="B96" t="s">
        <v>29</v>
      </c>
      <c r="C96" s="23">
        <v>42508</v>
      </c>
      <c r="D96">
        <v>-1.6455064002607999E-3</v>
      </c>
      <c r="E96">
        <v>0.96807180000000004</v>
      </c>
      <c r="F96">
        <v>-1.5929683730099078E-3</v>
      </c>
      <c r="G96">
        <f>G95+captured_returns_sw[[#This Row],[captured_returns]]</f>
        <v>1.0776473228067065E-2</v>
      </c>
      <c r="H96">
        <v>7.7352565530797003E-3</v>
      </c>
      <c r="I96">
        <v>-1.5935644629207957E-3</v>
      </c>
      <c r="J96">
        <v>-1.5941605528316833E-3</v>
      </c>
      <c r="K96">
        <v>-1.5947566427425711E-3</v>
      </c>
      <c r="L96">
        <v>-1.5953527326534587E-3</v>
      </c>
      <c r="M96">
        <v>-1.5959488225643465E-3</v>
      </c>
      <c r="N96">
        <v>-1.5965449124752341E-3</v>
      </c>
    </row>
    <row r="97" spans="1:14" x14ac:dyDescent="0.35">
      <c r="A97">
        <v>95</v>
      </c>
      <c r="B97" t="s">
        <v>29</v>
      </c>
      <c r="C97" s="23">
        <v>42509</v>
      </c>
      <c r="D97">
        <v>6.8499453156584999E-3</v>
      </c>
      <c r="E97">
        <v>0.96613972999999997</v>
      </c>
      <c r="F97">
        <v>6.6180043437556171E-3</v>
      </c>
      <c r="G97">
        <f>G96+captured_returns_sw[[#This Row],[captured_returns]]</f>
        <v>1.7394477571822681E-2</v>
      </c>
      <c r="H97">
        <v>7.6118887550657996E-3</v>
      </c>
      <c r="I97">
        <v>6.6171659607630303E-3</v>
      </c>
      <c r="J97">
        <v>6.6163275777704434E-3</v>
      </c>
      <c r="K97">
        <v>6.6154891947778575E-3</v>
      </c>
      <c r="L97">
        <v>6.6146508117852706E-3</v>
      </c>
      <c r="M97">
        <v>6.6138124287926838E-3</v>
      </c>
      <c r="N97">
        <v>6.612974045800097E-3</v>
      </c>
    </row>
    <row r="98" spans="1:14" x14ac:dyDescent="0.35">
      <c r="A98">
        <v>96</v>
      </c>
      <c r="B98" t="s">
        <v>29</v>
      </c>
      <c r="C98" s="23">
        <v>42510</v>
      </c>
      <c r="D98">
        <v>-2.8999378075025002E-3</v>
      </c>
      <c r="E98">
        <v>0.94442780000000004</v>
      </c>
      <c r="F98">
        <v>-2.7387818496241766E-3</v>
      </c>
      <c r="G98">
        <f>G97+captured_returns_sw[[#This Row],[captured_returns]]</f>
        <v>1.4655695722198506E-2</v>
      </c>
      <c r="H98">
        <v>7.5499148432913998E-3</v>
      </c>
      <c r="I98">
        <v>-2.7396482892002175E-3</v>
      </c>
      <c r="J98">
        <v>-2.7405147287762588E-3</v>
      </c>
      <c r="K98">
        <v>-2.7413811683522997E-3</v>
      </c>
      <c r="L98">
        <v>-2.7422476079283407E-3</v>
      </c>
      <c r="M98">
        <v>-2.7431140475043816E-3</v>
      </c>
      <c r="N98">
        <v>-2.7439804870804229E-3</v>
      </c>
    </row>
    <row r="99" spans="1:14" x14ac:dyDescent="0.35">
      <c r="A99">
        <v>97</v>
      </c>
      <c r="B99" t="s">
        <v>29</v>
      </c>
      <c r="C99" s="23">
        <v>42513</v>
      </c>
      <c r="D99">
        <v>1.84756172562517E-2</v>
      </c>
      <c r="E99">
        <v>0.96046149999999997</v>
      </c>
      <c r="F99">
        <v>1.7745119013607299E-2</v>
      </c>
      <c r="G99">
        <f>G98+captured_returns_sw[[#This Row],[captured_returns]]</f>
        <v>3.2400814735805805E-2</v>
      </c>
      <c r="H99">
        <v>7.4393090454155002E-3</v>
      </c>
      <c r="I99">
        <v>1.7743222064097657E-2</v>
      </c>
      <c r="J99">
        <v>1.7741325114588018E-2</v>
      </c>
      <c r="K99">
        <v>1.7739428165078376E-2</v>
      </c>
      <c r="L99">
        <v>1.7737531215568737E-2</v>
      </c>
      <c r="M99">
        <v>1.7735634266059095E-2</v>
      </c>
      <c r="N99">
        <v>1.7733737316549456E-2</v>
      </c>
    </row>
    <row r="100" spans="1:14" x14ac:dyDescent="0.35">
      <c r="A100">
        <v>98</v>
      </c>
      <c r="B100" t="s">
        <v>29</v>
      </c>
      <c r="C100" s="23">
        <v>42514</v>
      </c>
      <c r="D100">
        <v>7.1893542375561E-3</v>
      </c>
      <c r="E100">
        <v>0.8557382</v>
      </c>
      <c r="F100">
        <v>6.1522052168810583E-3</v>
      </c>
      <c r="G100">
        <f>G99+captured_returns_sw[[#This Row],[captured_returns]]</f>
        <v>3.8553019952686861E-2</v>
      </c>
      <c r="H100">
        <v>7.7592383601978003E-3</v>
      </c>
      <c r="I100">
        <v>6.1433136457856013E-3</v>
      </c>
      <c r="J100">
        <v>6.1344220746901434E-3</v>
      </c>
      <c r="K100">
        <v>6.1255305035946865E-3</v>
      </c>
      <c r="L100">
        <v>6.1166389324992286E-3</v>
      </c>
      <c r="M100">
        <v>6.1077473614037717E-3</v>
      </c>
      <c r="N100">
        <v>6.0988557903083147E-3</v>
      </c>
    </row>
    <row r="101" spans="1:14" x14ac:dyDescent="0.35">
      <c r="A101">
        <v>99</v>
      </c>
      <c r="B101" t="s">
        <v>29</v>
      </c>
      <c r="C101" s="23">
        <v>42515</v>
      </c>
      <c r="D101">
        <v>1.4718234019813E-3</v>
      </c>
      <c r="E101">
        <v>0.83997904999999995</v>
      </c>
      <c r="F101">
        <v>1.2363008267078095E-3</v>
      </c>
      <c r="G101">
        <f>G100+captured_returns_sw[[#This Row],[captured_returns]]</f>
        <v>3.978932077939467E-2</v>
      </c>
      <c r="H101">
        <v>7.6895482025158999E-3</v>
      </c>
      <c r="I101">
        <v>1.235804793187998E-3</v>
      </c>
      <c r="J101">
        <v>1.2353087596681867E-3</v>
      </c>
      <c r="K101">
        <v>1.2348127261483752E-3</v>
      </c>
      <c r="L101">
        <v>1.2343166926285639E-3</v>
      </c>
      <c r="M101">
        <v>1.2338206591087524E-3</v>
      </c>
      <c r="N101">
        <v>1.2333246255889412E-3</v>
      </c>
    </row>
    <row r="102" spans="1:14" x14ac:dyDescent="0.35">
      <c r="A102">
        <v>100</v>
      </c>
      <c r="B102" t="s">
        <v>29</v>
      </c>
      <c r="C102" s="23">
        <v>42516</v>
      </c>
      <c r="D102">
        <v>4.4841155484846998E-3</v>
      </c>
      <c r="E102">
        <v>0.86326170000000002</v>
      </c>
      <c r="F102">
        <v>3.8709652099307842E-3</v>
      </c>
      <c r="G102">
        <f>G101+captured_returns_sw[[#This Row],[captured_returns]]</f>
        <v>4.3660285989325455E-2</v>
      </c>
      <c r="H102">
        <v>7.5627740093613003E-3</v>
      </c>
      <c r="I102">
        <v>3.8686455897174901E-3</v>
      </c>
      <c r="J102">
        <v>3.866325969504196E-3</v>
      </c>
      <c r="K102">
        <v>3.8640063492909019E-3</v>
      </c>
      <c r="L102">
        <v>3.8616867290776082E-3</v>
      </c>
      <c r="M102">
        <v>3.8593671088643141E-3</v>
      </c>
      <c r="N102">
        <v>3.85704748865102E-3</v>
      </c>
    </row>
    <row r="103" spans="1:14" x14ac:dyDescent="0.35">
      <c r="A103">
        <v>101</v>
      </c>
      <c r="B103" t="s">
        <v>29</v>
      </c>
      <c r="C103" s="23">
        <v>42517</v>
      </c>
      <c r="D103">
        <v>-1.3599061852733001E-3</v>
      </c>
      <c r="E103">
        <v>0.80003480000000005</v>
      </c>
      <c r="F103">
        <v>-1.0879723015574441E-3</v>
      </c>
      <c r="G103">
        <f>G102+captured_returns_sw[[#This Row],[captured_returns]]</f>
        <v>4.257231368776801E-2</v>
      </c>
      <c r="H103">
        <v>7.4544285189509004E-3</v>
      </c>
      <c r="I103">
        <v>-1.0911957443496664E-3</v>
      </c>
      <c r="J103">
        <v>-1.0944191871418887E-3</v>
      </c>
      <c r="K103">
        <v>-1.097642629934111E-3</v>
      </c>
      <c r="L103">
        <v>-1.1008660727263332E-3</v>
      </c>
      <c r="M103">
        <v>-1.1040895155185555E-3</v>
      </c>
      <c r="N103">
        <v>-1.1073129583107778E-3</v>
      </c>
    </row>
    <row r="104" spans="1:14" x14ac:dyDescent="0.35">
      <c r="A104">
        <v>102</v>
      </c>
      <c r="B104" t="s">
        <v>29</v>
      </c>
      <c r="C104" s="23">
        <v>42521</v>
      </c>
      <c r="D104">
        <v>1.8435009996328E-3</v>
      </c>
      <c r="E104">
        <v>0.84793746000000003</v>
      </c>
      <c r="F104">
        <v>1.5631735638264538E-3</v>
      </c>
      <c r="G104">
        <f>G103+captured_returns_sw[[#This Row],[captured_returns]]</f>
        <v>4.4135487251594462E-2</v>
      </c>
      <c r="H104">
        <v>7.3398103520359997E-3</v>
      </c>
      <c r="I104">
        <v>1.5592983089881666E-3</v>
      </c>
      <c r="J104">
        <v>1.5554230541498795E-3</v>
      </c>
      <c r="K104">
        <v>1.5515477993115921E-3</v>
      </c>
      <c r="L104">
        <v>1.5476725444733049E-3</v>
      </c>
      <c r="M104">
        <v>1.5437972896350178E-3</v>
      </c>
      <c r="N104">
        <v>1.5399220347967306E-3</v>
      </c>
    </row>
    <row r="105" spans="1:14" x14ac:dyDescent="0.35">
      <c r="A105">
        <v>103</v>
      </c>
      <c r="B105" t="s">
        <v>29</v>
      </c>
      <c r="C105" s="23">
        <v>42522</v>
      </c>
      <c r="D105">
        <v>3.5872400979973002E-3</v>
      </c>
      <c r="E105">
        <v>0.82092730000000003</v>
      </c>
      <c r="F105">
        <v>2.9448634067001682E-3</v>
      </c>
      <c r="G105">
        <f>G104+captured_returns_sw[[#This Row],[captured_returns]]</f>
        <v>4.7080350658294627E-2</v>
      </c>
      <c r="H105">
        <v>7.2192636723550996E-3</v>
      </c>
      <c r="I105">
        <v>2.9440071512218825E-3</v>
      </c>
      <c r="J105">
        <v>2.9431508957435968E-3</v>
      </c>
      <c r="K105">
        <v>2.9422946402653111E-3</v>
      </c>
      <c r="L105">
        <v>2.9414383847870254E-3</v>
      </c>
      <c r="M105">
        <v>2.9405821293087401E-3</v>
      </c>
      <c r="N105">
        <v>2.9397258738304544E-3</v>
      </c>
    </row>
    <row r="106" spans="1:14" x14ac:dyDescent="0.35">
      <c r="A106">
        <v>104</v>
      </c>
      <c r="B106" t="s">
        <v>29</v>
      </c>
      <c r="C106" s="23">
        <v>42523</v>
      </c>
      <c r="D106">
        <v>-3.7914327765164999E-3</v>
      </c>
      <c r="E106">
        <v>0.7624995</v>
      </c>
      <c r="F106">
        <v>-2.8909656390003996E-3</v>
      </c>
      <c r="G106">
        <f>G105+captured_returns_sw[[#This Row],[captured_returns]]</f>
        <v>4.4189385019294231E-2</v>
      </c>
      <c r="H106">
        <v>7.1079563129540996E-3</v>
      </c>
      <c r="I106">
        <v>-2.8940079517733568E-3</v>
      </c>
      <c r="J106">
        <v>-2.8970502645463136E-3</v>
      </c>
      <c r="K106">
        <v>-2.9000925773192709E-3</v>
      </c>
      <c r="L106">
        <v>-2.9031348900922277E-3</v>
      </c>
      <c r="M106">
        <v>-2.906177202865185E-3</v>
      </c>
      <c r="N106">
        <v>-2.9092195156381422E-3</v>
      </c>
    </row>
    <row r="107" spans="1:14" x14ac:dyDescent="0.35">
      <c r="A107">
        <v>105</v>
      </c>
      <c r="B107" t="s">
        <v>29</v>
      </c>
      <c r="C107" s="23">
        <v>42524</v>
      </c>
      <c r="D107">
        <v>6.7342514401273999E-3</v>
      </c>
      <c r="E107">
        <v>0.83722430000000003</v>
      </c>
      <c r="F107">
        <v>5.6380789794743908E-3</v>
      </c>
      <c r="G107">
        <f>G106+captured_returns_sw[[#This Row],[captured_returns]]</f>
        <v>4.9827463998768619E-2</v>
      </c>
      <c r="H107">
        <v>7.0232354824760999E-3</v>
      </c>
      <c r="I107">
        <v>5.6324408383512017E-3</v>
      </c>
      <c r="J107">
        <v>5.6268026972280134E-3</v>
      </c>
      <c r="K107">
        <v>5.6211645561048242E-3</v>
      </c>
      <c r="L107">
        <v>5.615526414981635E-3</v>
      </c>
      <c r="M107">
        <v>5.6098882738584458E-3</v>
      </c>
      <c r="N107">
        <v>5.6042501327352575E-3</v>
      </c>
    </row>
    <row r="108" spans="1:14" x14ac:dyDescent="0.35">
      <c r="A108">
        <v>106</v>
      </c>
      <c r="B108" t="s">
        <v>29</v>
      </c>
      <c r="C108" s="23">
        <v>42527</v>
      </c>
      <c r="D108">
        <v>1.2900830461185001E-3</v>
      </c>
      <c r="E108">
        <v>0.64483840000000003</v>
      </c>
      <c r="F108">
        <v>8.3189507795311708E-4</v>
      </c>
      <c r="G108">
        <f>G107+captured_returns_sw[[#This Row],[captured_returns]]</f>
        <v>5.0659359076721734E-2</v>
      </c>
      <c r="H108">
        <v>6.9483423357779E-3</v>
      </c>
      <c r="I108">
        <v>8.1942076611421272E-4</v>
      </c>
      <c r="J108">
        <v>8.0694645427530824E-4</v>
      </c>
      <c r="K108">
        <v>7.9447214243640388E-4</v>
      </c>
      <c r="L108">
        <v>7.819978305974994E-4</v>
      </c>
      <c r="M108">
        <v>7.6952351875859504E-4</v>
      </c>
      <c r="N108">
        <v>7.5704920691969067E-4</v>
      </c>
    </row>
    <row r="109" spans="1:14" x14ac:dyDescent="0.35">
      <c r="A109">
        <v>107</v>
      </c>
      <c r="B109" t="s">
        <v>29</v>
      </c>
      <c r="C109" s="23">
        <v>42528</v>
      </c>
      <c r="D109">
        <v>5.0782778907492001E-3</v>
      </c>
      <c r="E109">
        <v>0.64047074000000004</v>
      </c>
      <c r="F109">
        <v>3.2524884147592564E-3</v>
      </c>
      <c r="G109">
        <f>G108+captured_returns_sw[[#This Row],[captured_returns]]</f>
        <v>5.3911847491480994E-2</v>
      </c>
      <c r="H109">
        <v>6.8334861701564E-3</v>
      </c>
      <c r="I109">
        <v>3.2520534273330335E-3</v>
      </c>
      <c r="J109">
        <v>3.2516184399068106E-3</v>
      </c>
      <c r="K109">
        <v>3.2511834524805872E-3</v>
      </c>
      <c r="L109">
        <v>3.2507484650543643E-3</v>
      </c>
      <c r="M109">
        <v>3.2503134776281414E-3</v>
      </c>
      <c r="N109">
        <v>3.2498784902019184E-3</v>
      </c>
    </row>
    <row r="110" spans="1:14" x14ac:dyDescent="0.35">
      <c r="A110">
        <v>108</v>
      </c>
      <c r="B110" t="s">
        <v>29</v>
      </c>
      <c r="C110" s="23">
        <v>42529</v>
      </c>
      <c r="D110">
        <v>-2.4827626628774E-3</v>
      </c>
      <c r="E110">
        <v>0.45763730000000002</v>
      </c>
      <c r="F110">
        <v>-1.1362048264773566E-3</v>
      </c>
      <c r="G110">
        <f>G109+captured_returns_sw[[#This Row],[captured_returns]]</f>
        <v>5.277564266500364E-2</v>
      </c>
      <c r="H110">
        <v>6.7384668317349997E-3</v>
      </c>
      <c r="I110">
        <v>-1.1483994609071753E-3</v>
      </c>
      <c r="J110">
        <v>-1.1605940953369938E-3</v>
      </c>
      <c r="K110">
        <v>-1.1727887297668124E-3</v>
      </c>
      <c r="L110">
        <v>-1.1849833641966309E-3</v>
      </c>
      <c r="M110">
        <v>-1.1971779986264496E-3</v>
      </c>
      <c r="N110">
        <v>-1.209372633056268E-3</v>
      </c>
    </row>
    <row r="111" spans="1:14" x14ac:dyDescent="0.35">
      <c r="A111">
        <v>109</v>
      </c>
      <c r="B111" t="s">
        <v>29</v>
      </c>
      <c r="C111" s="23">
        <v>42530</v>
      </c>
      <c r="D111">
        <v>-1.2104348592871499E-2</v>
      </c>
      <c r="E111">
        <v>0.60479159999999998</v>
      </c>
      <c r="F111">
        <v>-7.3206081300921742E-3</v>
      </c>
      <c r="G111">
        <f>G110+captured_returns_sw[[#This Row],[captured_returns]]</f>
        <v>4.5455034534911468E-2</v>
      </c>
      <c r="H111">
        <v>6.6460825620769E-3</v>
      </c>
      <c r="I111">
        <v>-7.3315150279960007E-3</v>
      </c>
      <c r="J111">
        <v>-7.3424219258998273E-3</v>
      </c>
      <c r="K111">
        <v>-7.3533288238036539E-3</v>
      </c>
      <c r="L111">
        <v>-7.3642357217074805E-3</v>
      </c>
      <c r="M111">
        <v>-7.3751426196113079E-3</v>
      </c>
      <c r="N111">
        <v>-7.3860495175151345E-3</v>
      </c>
    </row>
    <row r="112" spans="1:14" x14ac:dyDescent="0.35">
      <c r="A112">
        <v>110</v>
      </c>
      <c r="B112" t="s">
        <v>29</v>
      </c>
      <c r="C112" s="23">
        <v>42531</v>
      </c>
      <c r="D112">
        <v>-1.1681506947456601E-2</v>
      </c>
      <c r="E112">
        <v>0.85069910000000004</v>
      </c>
      <c r="F112">
        <v>-9.9374477589799486E-3</v>
      </c>
      <c r="G112">
        <f>G111+captured_returns_sw[[#This Row],[captured_returns]]</f>
        <v>3.5517586775931517E-2</v>
      </c>
      <c r="H112">
        <v>6.7528498012432003E-3</v>
      </c>
      <c r="I112">
        <v>-9.9539726520657765E-3</v>
      </c>
      <c r="J112">
        <v>-9.9704975451516062E-3</v>
      </c>
      <c r="K112">
        <v>-9.9870224382374341E-3</v>
      </c>
      <c r="L112">
        <v>-1.0003547331323262E-2</v>
      </c>
      <c r="M112">
        <v>-1.002007222440909E-2</v>
      </c>
      <c r="N112">
        <v>-1.003659711749492E-2</v>
      </c>
    </row>
    <row r="113" spans="1:14" x14ac:dyDescent="0.35">
      <c r="A113">
        <v>111</v>
      </c>
      <c r="B113" t="s">
        <v>29</v>
      </c>
      <c r="C113" s="23">
        <v>42534</v>
      </c>
      <c r="D113">
        <v>-2.8268859507061999E-3</v>
      </c>
      <c r="E113">
        <v>0.91934395000000002</v>
      </c>
      <c r="F113">
        <v>-2.5988804914976863E-3</v>
      </c>
      <c r="G113">
        <f>G112+captured_returns_sw[[#This Row],[captured_returns]]</f>
        <v>3.291870628443383E-2</v>
      </c>
      <c r="H113">
        <v>6.8339117943447001E-3</v>
      </c>
      <c r="I113">
        <v>-2.6029201972520054E-3</v>
      </c>
      <c r="J113">
        <v>-2.6069599030063249E-3</v>
      </c>
      <c r="K113">
        <v>-2.610999608760644E-3</v>
      </c>
      <c r="L113">
        <v>-2.6150393145149635E-3</v>
      </c>
      <c r="M113">
        <v>-2.6190790202692826E-3</v>
      </c>
      <c r="N113">
        <v>-2.6231187260236017E-3</v>
      </c>
    </row>
    <row r="114" spans="1:14" x14ac:dyDescent="0.35">
      <c r="A114">
        <v>112</v>
      </c>
      <c r="B114" t="s">
        <v>29</v>
      </c>
      <c r="C114" s="23">
        <v>42535</v>
      </c>
      <c r="D114">
        <v>-1.8599750377146999E-3</v>
      </c>
      <c r="E114">
        <v>0.87055682999999995</v>
      </c>
      <c r="F114">
        <v>-1.6192139752413514E-3</v>
      </c>
      <c r="G114">
        <f>G113+captured_returns_sw[[#This Row],[captured_returns]]</f>
        <v>3.1299492309192475E-2</v>
      </c>
      <c r="H114">
        <v>6.7344654259730999E-3</v>
      </c>
      <c r="I114">
        <v>-1.6216980891643495E-3</v>
      </c>
      <c r="J114">
        <v>-1.6241822030873476E-3</v>
      </c>
      <c r="K114">
        <v>-1.6266663170103458E-3</v>
      </c>
      <c r="L114">
        <v>-1.6291504309333439E-3</v>
      </c>
      <c r="M114">
        <v>-1.631634544856342E-3</v>
      </c>
      <c r="N114">
        <v>-1.63411865877934E-3</v>
      </c>
    </row>
    <row r="115" spans="1:14" x14ac:dyDescent="0.35">
      <c r="A115">
        <v>113</v>
      </c>
      <c r="B115" t="s">
        <v>29</v>
      </c>
      <c r="C115" s="23">
        <v>42536</v>
      </c>
      <c r="D115">
        <v>5.1600442673642001E-3</v>
      </c>
      <c r="E115">
        <v>0.85265625</v>
      </c>
      <c r="F115">
        <v>4.3997439702397481E-3</v>
      </c>
      <c r="G115">
        <f>G114+captured_returns_sw[[#This Row],[captured_returns]]</f>
        <v>3.5699236279432223E-2</v>
      </c>
      <c r="H115">
        <v>6.6292054257724997E-3</v>
      </c>
      <c r="I115">
        <v>4.3994379616706623E-3</v>
      </c>
      <c r="J115">
        <v>4.3991319531015765E-3</v>
      </c>
      <c r="K115">
        <v>4.3988259445324899E-3</v>
      </c>
      <c r="L115">
        <v>4.398519935963404E-3</v>
      </c>
      <c r="M115">
        <v>4.3982139273943182E-3</v>
      </c>
      <c r="N115">
        <v>4.3979079188252324E-3</v>
      </c>
    </row>
    <row r="116" spans="1:14" x14ac:dyDescent="0.35">
      <c r="A116">
        <v>114</v>
      </c>
      <c r="B116" t="s">
        <v>29</v>
      </c>
      <c r="C116" s="23">
        <v>42537</v>
      </c>
      <c r="D116">
        <v>-9.0216786475208206E-5</v>
      </c>
      <c r="E116">
        <v>0.71810220000000002</v>
      </c>
      <c r="F116">
        <v>-6.4784874353254345E-5</v>
      </c>
      <c r="G116">
        <f>G115+captured_returns_sw[[#This Row],[captured_returns]]</f>
        <v>3.5634451405078968E-2</v>
      </c>
      <c r="H116">
        <v>6.5484765607389996E-3</v>
      </c>
      <c r="I116">
        <v>-7.3743458499989469E-5</v>
      </c>
      <c r="J116">
        <v>-8.2702042646724594E-5</v>
      </c>
      <c r="K116">
        <v>-9.1660626793459732E-5</v>
      </c>
      <c r="L116">
        <v>-1.0061921094019486E-4</v>
      </c>
      <c r="M116">
        <v>-1.0957779508692998E-4</v>
      </c>
      <c r="N116">
        <v>-1.1853637923366512E-4</v>
      </c>
    </row>
    <row r="117" spans="1:14" x14ac:dyDescent="0.35">
      <c r="A117">
        <v>115</v>
      </c>
      <c r="B117" t="s">
        <v>29</v>
      </c>
      <c r="C117" s="23">
        <v>42538</v>
      </c>
      <c r="D117">
        <v>-3.4364911276143998E-3</v>
      </c>
      <c r="E117">
        <v>0.75386816000000001</v>
      </c>
      <c r="F117">
        <v>-2.5906612522757981E-3</v>
      </c>
      <c r="G117">
        <f>G116+captured_returns_sw[[#This Row],[captured_returns]]</f>
        <v>3.3043790152803169E-2</v>
      </c>
      <c r="H117">
        <v>6.4405827837928E-3</v>
      </c>
      <c r="I117">
        <v>-2.5941528150147594E-3</v>
      </c>
      <c r="J117">
        <v>-2.5976443777537203E-3</v>
      </c>
      <c r="K117">
        <v>-2.6011359404926816E-3</v>
      </c>
      <c r="L117">
        <v>-2.604627503231643E-3</v>
      </c>
      <c r="M117">
        <v>-2.6081190659706039E-3</v>
      </c>
      <c r="N117">
        <v>-2.6116106287095652E-3</v>
      </c>
    </row>
    <row r="118" spans="1:14" x14ac:dyDescent="0.35">
      <c r="A118">
        <v>116</v>
      </c>
      <c r="B118" t="s">
        <v>29</v>
      </c>
      <c r="C118" s="23">
        <v>42541</v>
      </c>
      <c r="D118">
        <v>4.4823712437167002E-3</v>
      </c>
      <c r="E118">
        <v>0.81005499999999997</v>
      </c>
      <c r="F118">
        <v>3.6309673161418446E-3</v>
      </c>
      <c r="G118">
        <f>G117+captured_returns_sw[[#This Row],[captured_returns]]</f>
        <v>3.6674757468945017E-2</v>
      </c>
      <c r="H118">
        <v>6.3518770627384999E-3</v>
      </c>
      <c r="I118">
        <v>3.6260158201638177E-3</v>
      </c>
      <c r="J118">
        <v>3.6210643241857909E-3</v>
      </c>
      <c r="K118">
        <v>3.616112828207764E-3</v>
      </c>
      <c r="L118">
        <v>3.6111613322297371E-3</v>
      </c>
      <c r="M118">
        <v>3.6062098362517102E-3</v>
      </c>
      <c r="N118">
        <v>3.6012583402736829E-3</v>
      </c>
    </row>
    <row r="119" spans="1:14" x14ac:dyDescent="0.35">
      <c r="A119">
        <v>117</v>
      </c>
      <c r="B119" t="s">
        <v>29</v>
      </c>
      <c r="C119" s="23">
        <v>42542</v>
      </c>
      <c r="D119">
        <v>-2.7176269253281998E-3</v>
      </c>
      <c r="E119">
        <v>0.64892890000000003</v>
      </c>
      <c r="F119">
        <v>-1.7635465987903883E-3</v>
      </c>
      <c r="G119">
        <f>G118+captured_returns_sw[[#This Row],[captured_returns]]</f>
        <v>3.4911210870154627E-2</v>
      </c>
      <c r="H119">
        <v>6.2670722217279002E-3</v>
      </c>
      <c r="I119">
        <v>-1.7748780855172956E-3</v>
      </c>
      <c r="J119">
        <v>-1.786209572244203E-3</v>
      </c>
      <c r="K119">
        <v>-1.7975410589711103E-3</v>
      </c>
      <c r="L119">
        <v>-1.8088725456980176E-3</v>
      </c>
      <c r="M119">
        <v>-1.8202040324249249E-3</v>
      </c>
      <c r="N119">
        <v>-1.8315355191518322E-3</v>
      </c>
    </row>
    <row r="120" spans="1:14" x14ac:dyDescent="0.35">
      <c r="A120">
        <v>118</v>
      </c>
      <c r="B120" t="s">
        <v>29</v>
      </c>
      <c r="C120" s="23">
        <v>42543</v>
      </c>
      <c r="D120">
        <v>2.1367868669795301E-2</v>
      </c>
      <c r="E120">
        <v>0.70817410000000003</v>
      </c>
      <c r="F120">
        <v>1.5132171366267516E-2</v>
      </c>
      <c r="G120">
        <f>G119+captured_returns_sw[[#This Row],[captured_returns]]</f>
        <v>5.0043382236422143E-2</v>
      </c>
      <c r="H120">
        <v>6.1750938385017997E-3</v>
      </c>
      <c r="I120">
        <v>1.5126909843888228E-2</v>
      </c>
      <c r="J120">
        <v>1.5121648321508939E-2</v>
      </c>
      <c r="K120">
        <v>1.5116386799129652E-2</v>
      </c>
      <c r="L120">
        <v>1.5111125276750364E-2</v>
      </c>
      <c r="M120">
        <v>1.5105863754371075E-2</v>
      </c>
      <c r="N120">
        <v>1.5100602231991786E-2</v>
      </c>
    </row>
    <row r="121" spans="1:14" x14ac:dyDescent="0.35">
      <c r="A121">
        <v>119</v>
      </c>
      <c r="B121" t="s">
        <v>29</v>
      </c>
      <c r="C121" s="23">
        <v>42544</v>
      </c>
      <c r="D121">
        <v>-5.9734290446196402E-2</v>
      </c>
      <c r="E121">
        <v>-0.10401365999999999</v>
      </c>
      <c r="F121">
        <v>6.2131821206617699E-3</v>
      </c>
      <c r="G121">
        <f>G120+captured_returns_sw[[#This Row],[captured_returns]]</f>
        <v>5.6256564357083913E-2</v>
      </c>
      <c r="H121">
        <v>6.5542938099132E-3</v>
      </c>
      <c r="I121">
        <v>6.1515021564610651E-3</v>
      </c>
      <c r="J121">
        <v>6.0898221922603595E-3</v>
      </c>
      <c r="K121">
        <v>6.0281422280596547E-3</v>
      </c>
      <c r="L121">
        <v>5.9664622638589491E-3</v>
      </c>
      <c r="M121">
        <v>5.9047822996582443E-3</v>
      </c>
      <c r="N121">
        <v>5.8431023354575387E-3</v>
      </c>
    </row>
    <row r="122" spans="1:14" x14ac:dyDescent="0.35">
      <c r="A122">
        <v>120</v>
      </c>
      <c r="B122" t="s">
        <v>29</v>
      </c>
      <c r="C122" s="23">
        <v>42545</v>
      </c>
      <c r="D122">
        <v>-1.5779853207118E-2</v>
      </c>
      <c r="E122">
        <v>0.96207434000000003</v>
      </c>
      <c r="F122">
        <v>-1.5181391849906082E-2</v>
      </c>
      <c r="G122">
        <f>G121+captured_returns_sw[[#This Row],[captured_returns]]</f>
        <v>4.1075172507177835E-2</v>
      </c>
      <c r="H122">
        <v>9.9381164916341001E-3</v>
      </c>
      <c r="I122">
        <v>-1.52346262834632E-2</v>
      </c>
      <c r="J122">
        <v>-1.5287860717020317E-2</v>
      </c>
      <c r="K122">
        <v>-1.5341095150577435E-2</v>
      </c>
      <c r="L122">
        <v>-1.5394329584134551E-2</v>
      </c>
      <c r="M122">
        <v>-1.544756401769167E-2</v>
      </c>
      <c r="N122">
        <v>-1.5500798451248786E-2</v>
      </c>
    </row>
    <row r="123" spans="1:14" x14ac:dyDescent="0.35">
      <c r="A123">
        <v>121</v>
      </c>
      <c r="B123" t="s">
        <v>29</v>
      </c>
      <c r="C123" s="23">
        <v>42548</v>
      </c>
      <c r="D123">
        <v>2.0336006421086399E-2</v>
      </c>
      <c r="E123">
        <v>0.96687679999999998</v>
      </c>
      <c r="F123">
        <v>1.9662412911394801E-2</v>
      </c>
      <c r="G123">
        <f>G122+captured_returns_sw[[#This Row],[captured_returns]]</f>
        <v>6.0737585418572632E-2</v>
      </c>
      <c r="H123">
        <v>1.01824916865911E-2</v>
      </c>
      <c r="I123">
        <v>1.96615380772103E-2</v>
      </c>
      <c r="J123">
        <v>1.9660663243025803E-2</v>
      </c>
      <c r="K123">
        <v>1.9659788408841302E-2</v>
      </c>
      <c r="L123">
        <v>1.9658913574656801E-2</v>
      </c>
      <c r="M123">
        <v>1.9658038740472304E-2</v>
      </c>
      <c r="N123">
        <v>1.9657163906287804E-2</v>
      </c>
    </row>
    <row r="124" spans="1:14" x14ac:dyDescent="0.35">
      <c r="A124">
        <v>122</v>
      </c>
      <c r="B124" t="s">
        <v>29</v>
      </c>
      <c r="C124" s="23">
        <v>42549</v>
      </c>
      <c r="D124">
        <v>1.6434631997808299E-2</v>
      </c>
      <c r="E124">
        <v>0.72867185000000001</v>
      </c>
      <c r="F124">
        <v>1.1975453681762593E-2</v>
      </c>
      <c r="G124">
        <f>G123+captured_returns_sw[[#This Row],[captured_returns]]</f>
        <v>7.2713039100335219E-2</v>
      </c>
      <c r="H124">
        <v>1.08414515237793E-2</v>
      </c>
      <c r="I124">
        <v>1.1962346259972454E-2</v>
      </c>
      <c r="J124">
        <v>1.1949238838182314E-2</v>
      </c>
      <c r="K124">
        <v>1.1936131416392173E-2</v>
      </c>
      <c r="L124">
        <v>1.1923023994602034E-2</v>
      </c>
      <c r="M124">
        <v>1.1909916572811895E-2</v>
      </c>
      <c r="N124">
        <v>1.1896809151021755E-2</v>
      </c>
    </row>
    <row r="125" spans="1:14" x14ac:dyDescent="0.35">
      <c r="A125">
        <v>123</v>
      </c>
      <c r="B125" t="s">
        <v>29</v>
      </c>
      <c r="C125" s="23">
        <v>42550</v>
      </c>
      <c r="D125">
        <v>9.5825464586364005E-3</v>
      </c>
      <c r="E125">
        <v>0.44982307999999999</v>
      </c>
      <c r="F125">
        <v>4.3104505765772794E-3</v>
      </c>
      <c r="G125">
        <f>G124+captured_returns_sw[[#This Row],[captured_returns]]</f>
        <v>7.7023489676912499E-2</v>
      </c>
      <c r="H125">
        <v>1.12121776723358E-2</v>
      </c>
      <c r="I125">
        <v>4.2976505734125016E-3</v>
      </c>
      <c r="J125">
        <v>4.2848505702477238E-3</v>
      </c>
      <c r="K125">
        <v>4.2720505670829469E-3</v>
      </c>
      <c r="L125">
        <v>4.2592505639181691E-3</v>
      </c>
      <c r="M125">
        <v>4.2464505607533913E-3</v>
      </c>
      <c r="N125">
        <v>4.2336505575886136E-3</v>
      </c>
    </row>
    <row r="126" spans="1:14" x14ac:dyDescent="0.35">
      <c r="A126">
        <v>124</v>
      </c>
      <c r="B126" t="s">
        <v>29</v>
      </c>
      <c r="C126" s="23">
        <v>42551</v>
      </c>
      <c r="D126">
        <v>2.4198739427751998E-3</v>
      </c>
      <c r="E126">
        <v>0.26405218000000003</v>
      </c>
      <c r="F126">
        <v>6.3897299580977396E-4</v>
      </c>
      <c r="G126">
        <f>G125+captured_returns_sw[[#This Row],[captured_returns]]</f>
        <v>7.7662462672722268E-2</v>
      </c>
      <c r="H126">
        <v>1.1208597239081901E-2</v>
      </c>
      <c r="I126">
        <v>6.3114858852676269E-4</v>
      </c>
      <c r="J126">
        <v>6.2332418124375142E-4</v>
      </c>
      <c r="K126">
        <v>6.1549977396074015E-4</v>
      </c>
      <c r="L126">
        <v>6.0767536667772877E-4</v>
      </c>
      <c r="M126">
        <v>5.998509593947175E-4</v>
      </c>
      <c r="N126">
        <v>5.9202655211170623E-4</v>
      </c>
    </row>
    <row r="127" spans="1:14" x14ac:dyDescent="0.35">
      <c r="A127">
        <v>125</v>
      </c>
      <c r="B127" t="s">
        <v>29</v>
      </c>
      <c r="C127" s="23">
        <v>42552</v>
      </c>
      <c r="D127">
        <v>-5.5164203311328999E-3</v>
      </c>
      <c r="E127">
        <v>0.28397873000000001</v>
      </c>
      <c r="F127">
        <v>-1.5665460422092964E-3</v>
      </c>
      <c r="G127">
        <f>G126+captured_returns_sw[[#This Row],[captured_returns]]</f>
        <v>7.6095916630512975E-2</v>
      </c>
      <c r="H127">
        <v>1.10312399428682E-2</v>
      </c>
      <c r="I127">
        <v>-1.5675784199121079E-3</v>
      </c>
      <c r="J127">
        <v>-1.5686107976149194E-3</v>
      </c>
      <c r="K127">
        <v>-1.5696431753177309E-3</v>
      </c>
      <c r="L127">
        <v>-1.5706755530205427E-3</v>
      </c>
      <c r="M127">
        <v>-1.5717079307233542E-3</v>
      </c>
      <c r="N127">
        <v>-1.5727403084261657E-3</v>
      </c>
    </row>
    <row r="128" spans="1:14" x14ac:dyDescent="0.35">
      <c r="A128">
        <v>126</v>
      </c>
      <c r="B128" t="s">
        <v>29</v>
      </c>
      <c r="C128" s="23">
        <v>42556</v>
      </c>
      <c r="D128">
        <v>4.6727866744353001E-3</v>
      </c>
      <c r="E128">
        <v>0.48320010000000002</v>
      </c>
      <c r="F128">
        <v>2.2578910025921497E-3</v>
      </c>
      <c r="G128">
        <f>G127+captured_returns_sw[[#This Row],[captured_returns]]</f>
        <v>7.8353807633105121E-2</v>
      </c>
      <c r="H128">
        <v>1.09227102521193E-2</v>
      </c>
      <c r="I128">
        <v>2.2491529476225298E-3</v>
      </c>
      <c r="J128">
        <v>2.24041489265291E-3</v>
      </c>
      <c r="K128">
        <v>2.2316768376832901E-3</v>
      </c>
      <c r="L128">
        <v>2.2229387827136702E-3</v>
      </c>
      <c r="M128">
        <v>2.2142007277440503E-3</v>
      </c>
      <c r="N128">
        <v>2.2054626727744304E-3</v>
      </c>
    </row>
    <row r="129" spans="1:14" x14ac:dyDescent="0.35">
      <c r="A129">
        <v>127</v>
      </c>
      <c r="B129" t="s">
        <v>29</v>
      </c>
      <c r="C129" s="23">
        <v>42557</v>
      </c>
      <c r="D129">
        <v>-8.3720660677889997E-4</v>
      </c>
      <c r="E129">
        <v>0.25157285000000001</v>
      </c>
      <c r="F129">
        <v>-2.1061844990127377E-4</v>
      </c>
      <c r="G129">
        <f>G128+captured_returns_sw[[#This Row],[captured_returns]]</f>
        <v>7.8143189183203843E-2</v>
      </c>
      <c r="H129">
        <v>1.07798237473059E-2</v>
      </c>
      <c r="I129">
        <v>-2.2049311821190922E-4</v>
      </c>
      <c r="J129">
        <v>-2.303677865225447E-4</v>
      </c>
      <c r="K129">
        <v>-2.4024245483318015E-4</v>
      </c>
      <c r="L129">
        <v>-2.5011712314381562E-4</v>
      </c>
      <c r="M129">
        <v>-2.5999179145445107E-4</v>
      </c>
      <c r="N129">
        <v>-2.6986645976508652E-4</v>
      </c>
    </row>
    <row r="130" spans="1:14" x14ac:dyDescent="0.35">
      <c r="A130">
        <v>128</v>
      </c>
      <c r="B130" t="s">
        <v>29</v>
      </c>
      <c r="C130" s="23">
        <v>42558</v>
      </c>
      <c r="D130">
        <v>1.21383570736435E-2</v>
      </c>
      <c r="E130">
        <v>0.30935742999999999</v>
      </c>
      <c r="F130">
        <v>3.7550910034830445E-3</v>
      </c>
      <c r="G130">
        <f>G129+captured_returns_sw[[#This Row],[captured_returns]]</f>
        <v>8.1898280186686892E-2</v>
      </c>
      <c r="H130">
        <v>1.0605087582633999E-2</v>
      </c>
      <c r="I130">
        <v>3.752335036339829E-3</v>
      </c>
      <c r="J130">
        <v>3.7495790691966136E-3</v>
      </c>
      <c r="K130">
        <v>3.7468231020533981E-3</v>
      </c>
      <c r="L130">
        <v>3.7440671349101831E-3</v>
      </c>
      <c r="M130">
        <v>3.7413111677669676E-3</v>
      </c>
      <c r="N130">
        <v>3.7385552006237522E-3</v>
      </c>
    </row>
    <row r="131" spans="1:14" x14ac:dyDescent="0.35">
      <c r="A131">
        <v>129</v>
      </c>
      <c r="B131" t="s">
        <v>29</v>
      </c>
      <c r="C131" s="23">
        <v>42559</v>
      </c>
      <c r="D131">
        <v>4.0632469686047003E-3</v>
      </c>
      <c r="E131">
        <v>-0.21573986000000001</v>
      </c>
      <c r="F131">
        <v>-8.7660433674657432E-4</v>
      </c>
      <c r="G131">
        <f>G130+captured_returns_sw[[#This Row],[captured_returns]]</f>
        <v>8.1021675849940314E-2</v>
      </c>
      <c r="H131">
        <v>1.06926193754774E-2</v>
      </c>
      <c r="I131">
        <v>-8.9991869107395922E-4</v>
      </c>
      <c r="J131">
        <v>-9.2323304540134423E-4</v>
      </c>
      <c r="K131">
        <v>-9.4654739972872912E-4</v>
      </c>
      <c r="L131">
        <v>-9.6986175405611402E-4</v>
      </c>
      <c r="M131">
        <v>-9.9317610838349892E-4</v>
      </c>
      <c r="N131">
        <v>-1.016490462710884E-3</v>
      </c>
    </row>
    <row r="132" spans="1:14" x14ac:dyDescent="0.35">
      <c r="A132">
        <v>130</v>
      </c>
      <c r="B132" t="s">
        <v>29</v>
      </c>
      <c r="C132" s="23">
        <v>42562</v>
      </c>
      <c r="D132">
        <v>6.5252620229911996E-3</v>
      </c>
      <c r="E132">
        <v>-0.17960171</v>
      </c>
      <c r="F132">
        <v>-1.1719482437262516E-3</v>
      </c>
      <c r="G132">
        <f>G131+captured_returns_sw[[#This Row],[captured_returns]]</f>
        <v>7.984972760621406E-2</v>
      </c>
      <c r="H132">
        <v>1.0536446281919401E-2</v>
      </c>
      <c r="I132">
        <v>-1.1734273908088975E-3</v>
      </c>
      <c r="J132">
        <v>-1.1749065378915435E-3</v>
      </c>
      <c r="K132">
        <v>-1.1763856849741894E-3</v>
      </c>
      <c r="L132">
        <v>-1.1778648320568354E-3</v>
      </c>
      <c r="M132">
        <v>-1.1793439791394813E-3</v>
      </c>
      <c r="N132">
        <v>-1.1808231262221273E-3</v>
      </c>
    </row>
    <row r="133" spans="1:14" x14ac:dyDescent="0.35">
      <c r="A133">
        <v>131</v>
      </c>
      <c r="B133" t="s">
        <v>29</v>
      </c>
      <c r="C133" s="23">
        <v>42563</v>
      </c>
      <c r="D133">
        <v>1.056295880402E-4</v>
      </c>
      <c r="E133">
        <v>-0.30753794000000001</v>
      </c>
      <c r="F133">
        <v>-3.2485106239000031E-5</v>
      </c>
      <c r="G133">
        <f>G132+captured_returns_sw[[#This Row],[captured_returns]]</f>
        <v>7.9817242499975058E-2</v>
      </c>
      <c r="H133">
        <v>1.0422365279757999E-2</v>
      </c>
      <c r="I133">
        <v>-3.8372726450629575E-5</v>
      </c>
      <c r="J133">
        <v>-4.426034666225912E-5</v>
      </c>
      <c r="K133">
        <v>-5.0147966873888671E-5</v>
      </c>
      <c r="L133">
        <v>-5.6035587085518215E-5</v>
      </c>
      <c r="M133">
        <v>-6.192320729714776E-5</v>
      </c>
      <c r="N133">
        <v>-6.7810827508777311E-5</v>
      </c>
    </row>
    <row r="134" spans="1:14" x14ac:dyDescent="0.35">
      <c r="A134">
        <v>132</v>
      </c>
      <c r="B134" t="s">
        <v>29</v>
      </c>
      <c r="C134" s="23">
        <v>42564</v>
      </c>
      <c r="D134">
        <v>4.8316972262999001E-3</v>
      </c>
      <c r="E134">
        <v>-0.10769491</v>
      </c>
      <c r="F134">
        <v>-5.203491929886404E-4</v>
      </c>
      <c r="G134">
        <f>G133+captured_returns_sw[[#This Row],[captured_returns]]</f>
        <v>7.9296893306986416E-2</v>
      </c>
      <c r="H134">
        <v>1.02521294603198E-2</v>
      </c>
      <c r="I134">
        <v>-5.2932720203329559E-4</v>
      </c>
      <c r="J134">
        <v>-5.383052110779509E-4</v>
      </c>
      <c r="K134">
        <v>-5.4728322012260609E-4</v>
      </c>
      <c r="L134">
        <v>-5.562612291672614E-4</v>
      </c>
      <c r="M134">
        <v>-5.652392382119166E-4</v>
      </c>
      <c r="N134">
        <v>-5.742172472565719E-4</v>
      </c>
    </row>
    <row r="135" spans="1:14" x14ac:dyDescent="0.35">
      <c r="A135">
        <v>133</v>
      </c>
      <c r="B135" t="s">
        <v>29</v>
      </c>
      <c r="C135" s="23">
        <v>42565</v>
      </c>
      <c r="D135">
        <v>-1.9499167893321E-3</v>
      </c>
      <c r="E135">
        <v>-0.27018520000000001</v>
      </c>
      <c r="F135">
        <v>5.2683866231115369E-4</v>
      </c>
      <c r="G135">
        <f>G134+captured_returns_sw[[#This Row],[captured_returns]]</f>
        <v>7.9823731969297568E-2</v>
      </c>
      <c r="H135">
        <v>1.0108505368731899E-2</v>
      </c>
      <c r="I135">
        <v>5.1917360653356366E-4</v>
      </c>
      <c r="J135">
        <v>5.1150855075597352E-4</v>
      </c>
      <c r="K135">
        <v>5.038434949783835E-4</v>
      </c>
      <c r="L135">
        <v>4.9617843920079336E-4</v>
      </c>
      <c r="M135">
        <v>4.8851338342320333E-4</v>
      </c>
      <c r="N135">
        <v>4.808483276456132E-4</v>
      </c>
    </row>
    <row r="136" spans="1:14" x14ac:dyDescent="0.35">
      <c r="A136">
        <v>134</v>
      </c>
      <c r="B136" t="s">
        <v>29</v>
      </c>
      <c r="C136" s="23">
        <v>42566</v>
      </c>
      <c r="D136">
        <v>3.1948585832005001E-3</v>
      </c>
      <c r="E136">
        <v>-8.0882609999999994E-3</v>
      </c>
      <c r="F136">
        <v>-2.5840849724556986E-5</v>
      </c>
      <c r="G136">
        <f>G135+captured_returns_sw[[#This Row],[captured_returns]]</f>
        <v>7.9797891119573014E-2</v>
      </c>
      <c r="H136">
        <v>9.9605600473781E-3</v>
      </c>
      <c r="I136">
        <v>-3.8085233181224864E-5</v>
      </c>
      <c r="J136">
        <v>-5.0329616637892744E-5</v>
      </c>
      <c r="K136">
        <v>-6.2574000094560631E-5</v>
      </c>
      <c r="L136">
        <v>-7.4818383551228498E-5</v>
      </c>
      <c r="M136">
        <v>-8.7062767007896379E-5</v>
      </c>
      <c r="N136">
        <v>-9.9307150464564273E-5</v>
      </c>
    </row>
    <row r="137" spans="1:14" x14ac:dyDescent="0.35">
      <c r="A137">
        <v>135</v>
      </c>
      <c r="B137" t="s">
        <v>29</v>
      </c>
      <c r="C137" s="23">
        <v>42569</v>
      </c>
      <c r="D137">
        <v>-5.5779154029970003E-4</v>
      </c>
      <c r="E137">
        <v>-0.16513775</v>
      </c>
      <c r="F137">
        <v>9.2112441546471683E-5</v>
      </c>
      <c r="G137">
        <f>G136+captured_returns_sw[[#This Row],[captured_returns]]</f>
        <v>7.9890003561119485E-2</v>
      </c>
      <c r="H137">
        <v>9.8033684896570005E-3</v>
      </c>
      <c r="I137">
        <v>8.4537573757182939E-5</v>
      </c>
      <c r="J137">
        <v>7.6962705967894182E-5</v>
      </c>
      <c r="K137">
        <v>6.9387838178605425E-5</v>
      </c>
      <c r="L137">
        <v>6.1812970389316682E-5</v>
      </c>
      <c r="M137">
        <v>5.4238102600027932E-5</v>
      </c>
      <c r="N137">
        <v>4.6663234810739182E-5</v>
      </c>
    </row>
    <row r="138" spans="1:14" x14ac:dyDescent="0.35">
      <c r="A138">
        <v>136</v>
      </c>
      <c r="B138" t="s">
        <v>29</v>
      </c>
      <c r="C138" s="23">
        <v>42570</v>
      </c>
      <c r="D138">
        <v>3.9700142251271999E-3</v>
      </c>
      <c r="E138">
        <v>-3.3527620000000001E-2</v>
      </c>
      <c r="F138">
        <v>-1.3310512887751031E-4</v>
      </c>
      <c r="G138">
        <f>G137+captured_returns_sw[[#This Row],[captured_returns]]</f>
        <v>7.9756898432241971E-2</v>
      </c>
      <c r="H138">
        <v>9.6472743278711998E-3</v>
      </c>
      <c r="I138">
        <v>-1.3942169725517751E-4</v>
      </c>
      <c r="J138">
        <v>-1.4573826563284471E-4</v>
      </c>
      <c r="K138">
        <v>-1.520548340105119E-4</v>
      </c>
      <c r="L138">
        <v>-1.583714023881791E-4</v>
      </c>
      <c r="M138">
        <v>-1.6468797076584629E-4</v>
      </c>
      <c r="N138">
        <v>-1.7100453914351352E-4</v>
      </c>
    </row>
    <row r="139" spans="1:14" x14ac:dyDescent="0.35">
      <c r="A139">
        <v>137</v>
      </c>
      <c r="B139" t="s">
        <v>29</v>
      </c>
      <c r="C139" s="23">
        <v>42571</v>
      </c>
      <c r="D139">
        <v>-4.3589102832125998E-3</v>
      </c>
      <c r="E139">
        <v>-0.21980551000000001</v>
      </c>
      <c r="F139">
        <v>9.5811249284178269E-4</v>
      </c>
      <c r="G139">
        <f>G138+captured_returns_sw[[#This Row],[captured_returns]]</f>
        <v>8.0715010925083749E-2</v>
      </c>
      <c r="H139">
        <v>9.5011802544050002E-3</v>
      </c>
      <c r="I139">
        <v>9.4882439306141384E-4</v>
      </c>
      <c r="J139">
        <v>9.3953629328104489E-4</v>
      </c>
      <c r="K139">
        <v>9.3024819350067604E-4</v>
      </c>
      <c r="L139">
        <v>9.2096009372030709E-4</v>
      </c>
      <c r="M139">
        <v>9.1167199393993824E-4</v>
      </c>
      <c r="N139">
        <v>9.0238389415956929E-4</v>
      </c>
    </row>
    <row r="140" spans="1:14" x14ac:dyDescent="0.35">
      <c r="A140">
        <v>138</v>
      </c>
      <c r="B140" t="s">
        <v>29</v>
      </c>
      <c r="C140" s="23">
        <v>42572</v>
      </c>
      <c r="D140">
        <v>4.4250119698500999E-3</v>
      </c>
      <c r="E140">
        <v>0.12345898</v>
      </c>
      <c r="F140">
        <v>5.4630747098485062E-4</v>
      </c>
      <c r="G140">
        <f>G139+captured_returns_sw[[#This Row],[captured_returns]]</f>
        <v>8.1261318396068594E-2</v>
      </c>
      <c r="H140">
        <v>9.4004512985163997E-3</v>
      </c>
      <c r="I140">
        <v>5.2917252114961235E-4</v>
      </c>
      <c r="J140">
        <v>5.1203757131437419E-4</v>
      </c>
      <c r="K140">
        <v>4.9490262147913592E-4</v>
      </c>
      <c r="L140">
        <v>4.7776767164389771E-4</v>
      </c>
      <c r="M140">
        <v>4.6063272180865949E-4</v>
      </c>
      <c r="N140">
        <v>4.4349777197342122E-4</v>
      </c>
    </row>
    <row r="141" spans="1:14" x14ac:dyDescent="0.35">
      <c r="A141">
        <v>139</v>
      </c>
      <c r="B141" t="s">
        <v>29</v>
      </c>
      <c r="C141" s="23">
        <v>42573</v>
      </c>
      <c r="D141">
        <v>-2.4706839366348001E-3</v>
      </c>
      <c r="E141">
        <v>-0.1703199</v>
      </c>
      <c r="F141">
        <v>4.2080664081331118E-4</v>
      </c>
      <c r="G141">
        <f>G140+captured_returns_sw[[#This Row],[captured_returns]]</f>
        <v>8.1682125036881909E-2</v>
      </c>
      <c r="H141">
        <v>9.2634762903773E-3</v>
      </c>
      <c r="I141">
        <v>4.0591508568505846E-4</v>
      </c>
      <c r="J141">
        <v>3.9102353055680574E-4</v>
      </c>
      <c r="K141">
        <v>3.7613197542855307E-4</v>
      </c>
      <c r="L141">
        <v>3.6124042030030035E-4</v>
      </c>
      <c r="M141">
        <v>3.4634886517204762E-4</v>
      </c>
      <c r="N141">
        <v>3.314573100437949E-4</v>
      </c>
    </row>
    <row r="142" spans="1:14" x14ac:dyDescent="0.35">
      <c r="A142">
        <v>140</v>
      </c>
      <c r="B142" t="s">
        <v>29</v>
      </c>
      <c r="C142" s="23">
        <v>42576</v>
      </c>
      <c r="D142">
        <v>4.7842115895190001E-4</v>
      </c>
      <c r="E142">
        <v>8.5859270000000001E-2</v>
      </c>
      <c r="F142">
        <v>4.1076890935686437E-5</v>
      </c>
      <c r="G142">
        <f>G141+captured_returns_sw[[#This Row],[captured_returns]]</f>
        <v>8.1723201927817596E-2</v>
      </c>
      <c r="H142">
        <v>9.1342880737151008E-3</v>
      </c>
      <c r="I142">
        <v>2.7949313303089296E-5</v>
      </c>
      <c r="J142">
        <v>1.4821735670492151E-5</v>
      </c>
      <c r="K142">
        <v>1.6941580378950071E-6</v>
      </c>
      <c r="L142">
        <v>-1.1433419594702134E-5</v>
      </c>
      <c r="M142">
        <v>-2.4560997227299275E-5</v>
      </c>
      <c r="N142">
        <v>-3.7688574859896422E-5</v>
      </c>
    </row>
    <row r="143" spans="1:14" x14ac:dyDescent="0.35">
      <c r="A143">
        <v>141</v>
      </c>
      <c r="B143" t="s">
        <v>29</v>
      </c>
      <c r="C143" s="23">
        <v>42577</v>
      </c>
      <c r="D143">
        <v>-1.3370316160229E-3</v>
      </c>
      <c r="E143">
        <v>-4.7858829999999998E-2</v>
      </c>
      <c r="F143">
        <v>6.3988769539697127E-5</v>
      </c>
      <c r="G143">
        <f>G142+captured_returns_sw[[#This Row],[captured_returns]]</f>
        <v>8.1787190697357293E-2</v>
      </c>
      <c r="H143">
        <v>8.9841148095151993E-3</v>
      </c>
      <c r="I143">
        <v>5.703104916433246E-5</v>
      </c>
      <c r="J143">
        <v>5.0073328788967792E-5</v>
      </c>
      <c r="K143">
        <v>4.3115608413603118E-5</v>
      </c>
      <c r="L143">
        <v>3.6157888038238457E-5</v>
      </c>
      <c r="M143">
        <v>2.920016766287379E-5</v>
      </c>
      <c r="N143">
        <v>2.2242447287509116E-5</v>
      </c>
    </row>
    <row r="144" spans="1:14" x14ac:dyDescent="0.35">
      <c r="A144">
        <v>142</v>
      </c>
      <c r="B144" t="s">
        <v>29</v>
      </c>
      <c r="C144" s="23">
        <v>42578</v>
      </c>
      <c r="D144">
        <v>2.1012564491118E-3</v>
      </c>
      <c r="E144">
        <v>3.8666878000000002E-2</v>
      </c>
      <c r="F144">
        <v>8.1249026545134642E-5</v>
      </c>
      <c r="G144">
        <f>G143+captured_returns_sw[[#This Row],[captured_returns]]</f>
        <v>8.1868439723902425E-2</v>
      </c>
      <c r="H144">
        <v>8.8459929455489E-3</v>
      </c>
      <c r="I144">
        <v>7.6667072584728351E-5</v>
      </c>
      <c r="J144">
        <v>7.2085118624322061E-5</v>
      </c>
      <c r="K144">
        <v>6.7503164663915757E-5</v>
      </c>
      <c r="L144">
        <v>6.2921210703509466E-5</v>
      </c>
      <c r="M144">
        <v>5.8339256743103175E-5</v>
      </c>
      <c r="N144">
        <v>5.3757302782696878E-5</v>
      </c>
    </row>
    <row r="145" spans="1:14" x14ac:dyDescent="0.35">
      <c r="A145">
        <v>143</v>
      </c>
      <c r="B145" t="s">
        <v>29</v>
      </c>
      <c r="C145" s="23">
        <v>42579</v>
      </c>
      <c r="D145">
        <v>1.7557535099004E-3</v>
      </c>
      <c r="E145">
        <v>-6.4120750000000004E-2</v>
      </c>
      <c r="F145">
        <v>-1.1258022686427637E-4</v>
      </c>
      <c r="G145">
        <f>G144+captured_returns_sw[[#This Row],[captured_returns]]</f>
        <v>8.1755859497038147E-2</v>
      </c>
      <c r="H145">
        <v>8.7013720693480002E-3</v>
      </c>
      <c r="I145">
        <v>-1.1812692986298858E-4</v>
      </c>
      <c r="J145">
        <v>-1.236736328617008E-4</v>
      </c>
      <c r="K145">
        <v>-1.2922033586041301E-4</v>
      </c>
      <c r="L145">
        <v>-1.3476703885912522E-4</v>
      </c>
      <c r="M145">
        <v>-1.4031374185783743E-4</v>
      </c>
      <c r="N145">
        <v>-1.4586044485654964E-4</v>
      </c>
    </row>
    <row r="146" spans="1:14" x14ac:dyDescent="0.35">
      <c r="A146">
        <v>144</v>
      </c>
      <c r="B146" t="s">
        <v>29</v>
      </c>
      <c r="C146" s="23">
        <v>42580</v>
      </c>
      <c r="D146">
        <v>-1.909568330145E-3</v>
      </c>
      <c r="E146">
        <v>-4.1637238E-2</v>
      </c>
      <c r="F146">
        <v>7.9509151259248264E-5</v>
      </c>
      <c r="G146">
        <f>G145+captured_returns_sw[[#This Row],[captured_returns]]</f>
        <v>8.1835368648297394E-2</v>
      </c>
      <c r="H146">
        <v>8.5581067222628999E-3</v>
      </c>
      <c r="I146">
        <v>7.8326217173785542E-5</v>
      </c>
      <c r="J146">
        <v>7.714328308832282E-5</v>
      </c>
      <c r="K146">
        <v>7.5960349002860097E-5</v>
      </c>
      <c r="L146">
        <v>7.4777414917397375E-5</v>
      </c>
      <c r="M146">
        <v>7.3594480831934639E-5</v>
      </c>
      <c r="N146">
        <v>7.2411546746471917E-5</v>
      </c>
    </row>
    <row r="147" spans="1:14" x14ac:dyDescent="0.35">
      <c r="A147">
        <v>145</v>
      </c>
      <c r="B147" t="s">
        <v>29</v>
      </c>
      <c r="C147" s="23">
        <v>42583</v>
      </c>
      <c r="D147">
        <v>-6.0834594648945996E-3</v>
      </c>
      <c r="E147">
        <v>0.15437707000000001</v>
      </c>
      <c r="F147">
        <v>-9.391466662059813E-4</v>
      </c>
      <c r="G147">
        <f>G146+captured_returns_sw[[#This Row],[captured_returns]]</f>
        <v>8.0896221982091412E-2</v>
      </c>
      <c r="H147">
        <v>8.4318067924708008E-3</v>
      </c>
      <c r="I147">
        <v>-9.5009541615706679E-4</v>
      </c>
      <c r="J147">
        <v>-9.6104416610815228E-4</v>
      </c>
      <c r="K147">
        <v>-9.7199291605923788E-4</v>
      </c>
      <c r="L147">
        <v>-9.8294166601032348E-4</v>
      </c>
      <c r="M147">
        <v>-9.9389041596140886E-4</v>
      </c>
      <c r="N147">
        <v>-1.0048391659124945E-3</v>
      </c>
    </row>
    <row r="148" spans="1:14" x14ac:dyDescent="0.35">
      <c r="A148">
        <v>146</v>
      </c>
      <c r="B148" t="s">
        <v>29</v>
      </c>
      <c r="C148" s="23">
        <v>42584</v>
      </c>
      <c r="D148">
        <v>2.2281540155657002E-3</v>
      </c>
      <c r="E148">
        <v>0.36344543000000001</v>
      </c>
      <c r="F148">
        <v>8.0981239650836307E-4</v>
      </c>
      <c r="G148">
        <f>G147+captured_returns_sw[[#This Row],[captured_returns]]</f>
        <v>8.1706034378599773E-2</v>
      </c>
      <c r="H148">
        <v>8.3722292883552998E-3</v>
      </c>
      <c r="I148">
        <v>7.9795284551579626E-4</v>
      </c>
      <c r="J148">
        <v>7.8609329452322945E-4</v>
      </c>
      <c r="K148">
        <v>7.7423374353066264E-4</v>
      </c>
      <c r="L148">
        <v>7.6237419253809583E-4</v>
      </c>
      <c r="M148">
        <v>7.5051464154552903E-4</v>
      </c>
      <c r="N148">
        <v>7.3865509055296222E-4</v>
      </c>
    </row>
    <row r="149" spans="1:14" x14ac:dyDescent="0.35">
      <c r="A149">
        <v>147</v>
      </c>
      <c r="B149" t="s">
        <v>29</v>
      </c>
      <c r="C149" s="23">
        <v>42585</v>
      </c>
      <c r="D149">
        <v>1.1966703136427001E-3</v>
      </c>
      <c r="E149">
        <v>4.9546566000000002E-3</v>
      </c>
      <c r="F149">
        <v>5.9290904508215046E-6</v>
      </c>
      <c r="G149">
        <f>G148+captured_returns_sw[[#This Row],[captured_returns]]</f>
        <v>8.1711963469050589E-2</v>
      </c>
      <c r="H149">
        <v>8.2366164756839996E-3</v>
      </c>
      <c r="I149">
        <v>-1.4296399719426869E-5</v>
      </c>
      <c r="J149">
        <v>-3.4521889889675244E-5</v>
      </c>
      <c r="K149">
        <v>-5.4747380059923626E-5</v>
      </c>
      <c r="L149">
        <v>-7.4972870230171994E-5</v>
      </c>
      <c r="M149">
        <v>-9.5198360400420369E-5</v>
      </c>
      <c r="N149">
        <v>-1.1542385057066876E-4</v>
      </c>
    </row>
    <row r="150" spans="1:14" x14ac:dyDescent="0.35">
      <c r="A150">
        <v>148</v>
      </c>
      <c r="B150" t="s">
        <v>29</v>
      </c>
      <c r="C150" s="23">
        <v>42586</v>
      </c>
      <c r="D150">
        <v>9.4538985891244008E-3</v>
      </c>
      <c r="E150">
        <v>-5.2147508000000002E-2</v>
      </c>
      <c r="F150">
        <v>-4.9299724916452453E-4</v>
      </c>
      <c r="G150">
        <f>G149+captured_returns_sw[[#This Row],[captured_returns]]</f>
        <v>8.1218966219886057E-2</v>
      </c>
      <c r="H150">
        <v>8.1005623609595005E-3</v>
      </c>
      <c r="I150">
        <v>-4.9632289112437188E-4</v>
      </c>
      <c r="J150">
        <v>-4.9964853308421923E-4</v>
      </c>
      <c r="K150">
        <v>-5.029741750440667E-4</v>
      </c>
      <c r="L150">
        <v>-5.0629981700391405E-4</v>
      </c>
      <c r="M150">
        <v>-5.0962545896376141E-4</v>
      </c>
      <c r="N150">
        <v>-5.1295110092360876E-4</v>
      </c>
    </row>
    <row r="151" spans="1:14" x14ac:dyDescent="0.35">
      <c r="A151">
        <v>149</v>
      </c>
      <c r="B151" t="s">
        <v>29</v>
      </c>
      <c r="C151" s="23">
        <v>42587</v>
      </c>
      <c r="D151">
        <v>-6.7212860558770002E-4</v>
      </c>
      <c r="E151">
        <v>-0.48644248000000001</v>
      </c>
      <c r="F151">
        <v>3.2695190343596701E-4</v>
      </c>
      <c r="G151">
        <f>G150+captured_returns_sw[[#This Row],[captured_returns]]</f>
        <v>8.1545918123322028E-2</v>
      </c>
      <c r="H151">
        <v>8.0730951160154999E-3</v>
      </c>
      <c r="I151">
        <v>3.0152564092751567E-4</v>
      </c>
      <c r="J151">
        <v>2.7609937841906434E-4</v>
      </c>
      <c r="K151">
        <v>2.5067311591061301E-4</v>
      </c>
      <c r="L151">
        <v>2.2524685340216162E-4</v>
      </c>
      <c r="M151">
        <v>1.9982059089371029E-4</v>
      </c>
      <c r="N151">
        <v>1.7439432838525895E-4</v>
      </c>
    </row>
    <row r="152" spans="1:14" x14ac:dyDescent="0.35">
      <c r="A152">
        <v>150</v>
      </c>
      <c r="B152" t="s">
        <v>29</v>
      </c>
      <c r="C152" s="23">
        <v>42590</v>
      </c>
      <c r="D152">
        <v>1.0933559052765001E-3</v>
      </c>
      <c r="E152">
        <v>-0.20136080000000001</v>
      </c>
      <c r="F152">
        <v>-2.2015902723092359E-4</v>
      </c>
      <c r="G152">
        <f>G151+captured_returns_sw[[#This Row],[captured_returns]]</f>
        <v>8.1325759096091105E-2</v>
      </c>
      <c r="H152">
        <v>7.9451178184568004E-3</v>
      </c>
      <c r="I152">
        <v>-2.3665283079389137E-4</v>
      </c>
      <c r="J152">
        <v>-2.5314663435685913E-4</v>
      </c>
      <c r="K152">
        <v>-2.6964043791982695E-4</v>
      </c>
      <c r="L152">
        <v>-2.8613424148279471E-4</v>
      </c>
      <c r="M152">
        <v>-3.0262804504576247E-4</v>
      </c>
      <c r="N152">
        <v>-3.1912184860873028E-4</v>
      </c>
    </row>
    <row r="153" spans="1:14" x14ac:dyDescent="0.35">
      <c r="A153">
        <v>151</v>
      </c>
      <c r="B153" t="s">
        <v>29</v>
      </c>
      <c r="C153" s="23">
        <v>42591</v>
      </c>
      <c r="D153">
        <v>-2.6379343654128E-3</v>
      </c>
      <c r="E153">
        <v>-0.22669797</v>
      </c>
      <c r="F153">
        <v>5.9801435628457076E-4</v>
      </c>
      <c r="G153">
        <f>G152+captured_returns_sw[[#This Row],[captured_returns]]</f>
        <v>8.192377345237567E-2</v>
      </c>
      <c r="H153">
        <v>7.8138028432256004E-3</v>
      </c>
      <c r="I153">
        <v>5.9628113728133955E-4</v>
      </c>
      <c r="J153">
        <v>5.9454791827810835E-4</v>
      </c>
      <c r="K153">
        <v>5.9281469927487714E-4</v>
      </c>
      <c r="L153">
        <v>5.9108148027164583E-4</v>
      </c>
      <c r="M153">
        <v>5.8934826126841463E-4</v>
      </c>
      <c r="N153">
        <v>5.8761504226518342E-4</v>
      </c>
    </row>
    <row r="154" spans="1:14" x14ac:dyDescent="0.35">
      <c r="A154">
        <v>152</v>
      </c>
      <c r="B154" t="s">
        <v>29</v>
      </c>
      <c r="C154" s="23">
        <v>42592</v>
      </c>
      <c r="D154">
        <v>5.0792008830299997E-3</v>
      </c>
      <c r="E154">
        <v>-8.2089800000000004E-2</v>
      </c>
      <c r="F154">
        <v>-4.1695056769506286E-4</v>
      </c>
      <c r="G154">
        <f>G153+captured_returns_sw[[#This Row],[captured_returns]]</f>
        <v>8.1506822884680613E-2</v>
      </c>
      <c r="H154">
        <v>7.7059883825284997E-3</v>
      </c>
      <c r="I154">
        <v>-4.2562474541481363E-4</v>
      </c>
      <c r="J154">
        <v>-4.342989231345644E-4</v>
      </c>
      <c r="K154">
        <v>-4.4297310085431518E-4</v>
      </c>
      <c r="L154">
        <v>-4.516472785740659E-4</v>
      </c>
      <c r="M154">
        <v>-4.6032145629381667E-4</v>
      </c>
      <c r="N154">
        <v>-4.6899563401356744E-4</v>
      </c>
    </row>
    <row r="155" spans="1:14" x14ac:dyDescent="0.35">
      <c r="A155">
        <v>153</v>
      </c>
      <c r="B155" t="s">
        <v>29</v>
      </c>
      <c r="C155" s="23">
        <v>42593</v>
      </c>
      <c r="D155">
        <v>-8.5470155307400004E-4</v>
      </c>
      <c r="E155">
        <v>-0.41443023000000001</v>
      </c>
      <c r="F155">
        <v>3.5421416195338982E-4</v>
      </c>
      <c r="G155">
        <f>G154+captured_returns_sw[[#This Row],[captured_returns]]</f>
        <v>8.1861037046634E-2</v>
      </c>
      <c r="H155">
        <v>7.6008606408711999E-3</v>
      </c>
      <c r="I155">
        <v>3.3348687690577252E-4</v>
      </c>
      <c r="J155">
        <v>3.1275959185815528E-4</v>
      </c>
      <c r="K155">
        <v>2.9203230681053798E-4</v>
      </c>
      <c r="L155">
        <v>2.7130502176292068E-4</v>
      </c>
      <c r="M155">
        <v>2.5057773671530338E-4</v>
      </c>
      <c r="N155">
        <v>2.2985045166768611E-4</v>
      </c>
    </row>
    <row r="156" spans="1:14" x14ac:dyDescent="0.35">
      <c r="A156">
        <v>154</v>
      </c>
      <c r="B156" t="s">
        <v>29</v>
      </c>
      <c r="C156" s="23">
        <v>42594</v>
      </c>
      <c r="D156">
        <v>3.3309416549738E-3</v>
      </c>
      <c r="E156">
        <v>-0.72482985</v>
      </c>
      <c r="F156">
        <v>-2.4143659487306521E-3</v>
      </c>
      <c r="G156">
        <f>G155+captured_returns_sw[[#This Row],[captured_returns]]</f>
        <v>7.9446671097903349E-2</v>
      </c>
      <c r="H156">
        <v>7.4814454308433E-3</v>
      </c>
      <c r="I156">
        <v>-2.4343789536646E-3</v>
      </c>
      <c r="J156">
        <v>-2.454391958598548E-3</v>
      </c>
      <c r="K156">
        <v>-2.4744049635324963E-3</v>
      </c>
      <c r="L156">
        <v>-2.4944179684664443E-3</v>
      </c>
      <c r="M156">
        <v>-2.5144309734003922E-3</v>
      </c>
      <c r="N156">
        <v>-2.5344439783343401E-3</v>
      </c>
    </row>
    <row r="157" spans="1:14" x14ac:dyDescent="0.35">
      <c r="A157">
        <v>155</v>
      </c>
      <c r="B157" t="s">
        <v>29</v>
      </c>
      <c r="C157" s="23">
        <v>42597</v>
      </c>
      <c r="D157">
        <v>-5.4296359034479999E-3</v>
      </c>
      <c r="E157">
        <v>-0.38373393</v>
      </c>
      <c r="F157">
        <v>2.08353551394531E-3</v>
      </c>
      <c r="G157">
        <f>G156+captured_returns_sw[[#This Row],[captured_returns]]</f>
        <v>8.1530206611848663E-2</v>
      </c>
      <c r="H157">
        <v>7.3639673761824002E-3</v>
      </c>
      <c r="I157">
        <v>2.0623817892939465E-3</v>
      </c>
      <c r="J157">
        <v>2.0412280646425825E-3</v>
      </c>
      <c r="K157">
        <v>2.0200743399912189E-3</v>
      </c>
      <c r="L157">
        <v>1.998920615339855E-3</v>
      </c>
      <c r="M157">
        <v>1.9777668906884914E-3</v>
      </c>
      <c r="N157">
        <v>1.9566131660371279E-3</v>
      </c>
    </row>
    <row r="158" spans="1:14" x14ac:dyDescent="0.35">
      <c r="A158">
        <v>156</v>
      </c>
      <c r="B158" t="s">
        <v>29</v>
      </c>
      <c r="C158" s="23">
        <v>42598</v>
      </c>
      <c r="D158">
        <v>1.7831647363266E-3</v>
      </c>
      <c r="E158">
        <v>-0.60098207000000003</v>
      </c>
      <c r="F158">
        <v>-1.0716500343336023E-3</v>
      </c>
      <c r="G158">
        <f>G157+captured_returns_sw[[#This Row],[captured_returns]]</f>
        <v>8.0458556577515064E-2</v>
      </c>
      <c r="H158">
        <v>7.3031836745933998E-3</v>
      </c>
      <c r="I158">
        <v>-1.0859091006625314E-3</v>
      </c>
      <c r="J158">
        <v>-1.1001681669914603E-3</v>
      </c>
      <c r="K158">
        <v>-1.1144272333203894E-3</v>
      </c>
      <c r="L158">
        <v>-1.1286862996493182E-3</v>
      </c>
      <c r="M158">
        <v>-1.1429453659782473E-3</v>
      </c>
      <c r="N158">
        <v>-1.1572044323071762E-3</v>
      </c>
    </row>
    <row r="159" spans="1:14" x14ac:dyDescent="0.35">
      <c r="A159">
        <v>157</v>
      </c>
      <c r="B159" t="s">
        <v>29</v>
      </c>
      <c r="C159" s="23">
        <v>42599</v>
      </c>
      <c r="D159">
        <v>2.2630953964546999E-3</v>
      </c>
      <c r="E159">
        <v>-0.73659514999999998</v>
      </c>
      <c r="F159">
        <v>-1.6669851016350701E-3</v>
      </c>
      <c r="G159">
        <f>G158+captured_returns_sw[[#This Row],[captured_returns]]</f>
        <v>7.8791571475879993E-2</v>
      </c>
      <c r="H159">
        <v>7.1831131710573997E-3</v>
      </c>
      <c r="I159">
        <v>-1.6765546751446342E-3</v>
      </c>
      <c r="J159">
        <v>-1.6861242486541984E-3</v>
      </c>
      <c r="K159">
        <v>-1.6956938221637627E-3</v>
      </c>
      <c r="L159">
        <v>-1.7052633956733268E-3</v>
      </c>
      <c r="M159">
        <v>-1.714832969182891E-3</v>
      </c>
      <c r="N159">
        <v>-1.7244025426924551E-3</v>
      </c>
    </row>
    <row r="160" spans="1:14" x14ac:dyDescent="0.35">
      <c r="A160">
        <v>158</v>
      </c>
      <c r="B160" t="s">
        <v>29</v>
      </c>
      <c r="C160" s="23">
        <v>42600</v>
      </c>
      <c r="D160">
        <v>-1.0717598817166999E-3</v>
      </c>
      <c r="E160">
        <v>-0.76170009999999999</v>
      </c>
      <c r="F160">
        <v>8.163596023770108E-4</v>
      </c>
      <c r="G160">
        <f>G159+captured_returns_sw[[#This Row],[captured_returns]]</f>
        <v>7.9607931078257005E-2</v>
      </c>
      <c r="H160">
        <v>7.0660766578423996E-3</v>
      </c>
      <c r="I160">
        <v>8.1387856976017088E-4</v>
      </c>
      <c r="J160">
        <v>8.1139753714333095E-4</v>
      </c>
      <c r="K160">
        <v>8.0891650452649103E-4</v>
      </c>
      <c r="L160">
        <v>8.064354719096511E-4</v>
      </c>
      <c r="M160">
        <v>8.0395443929281117E-4</v>
      </c>
      <c r="N160">
        <v>8.0147340667597125E-4</v>
      </c>
    </row>
    <row r="161" spans="1:14" x14ac:dyDescent="0.35">
      <c r="A161">
        <v>159</v>
      </c>
      <c r="B161" t="s">
        <v>29</v>
      </c>
      <c r="C161" s="23">
        <v>42601</v>
      </c>
      <c r="D161">
        <v>-1.5565903550920001E-4</v>
      </c>
      <c r="E161">
        <v>-0.7008839</v>
      </c>
      <c r="F161">
        <v>1.090989157633458E-4</v>
      </c>
      <c r="G161">
        <f>G160+captured_returns_sw[[#This Row],[captured_returns]]</f>
        <v>7.9717029994020347E-2</v>
      </c>
      <c r="H161">
        <v>6.9558735360270999E-3</v>
      </c>
      <c r="I161">
        <v>1.0577505145470436E-4</v>
      </c>
      <c r="J161">
        <v>1.0245118714606291E-4</v>
      </c>
      <c r="K161">
        <v>9.912732283742147E-5</v>
      </c>
      <c r="L161">
        <v>9.5803458528780026E-5</v>
      </c>
      <c r="M161">
        <v>9.2479594220138583E-5</v>
      </c>
      <c r="N161">
        <v>8.9155729911497139E-5</v>
      </c>
    </row>
    <row r="162" spans="1:14" x14ac:dyDescent="0.35">
      <c r="A162">
        <v>160</v>
      </c>
      <c r="B162" t="s">
        <v>29</v>
      </c>
      <c r="C162" s="23">
        <v>42604</v>
      </c>
      <c r="D162">
        <v>2.3736723275142001E-3</v>
      </c>
      <c r="E162">
        <v>-0.70915220000000001</v>
      </c>
      <c r="F162">
        <v>-1.6832950045962897E-3</v>
      </c>
      <c r="G162">
        <f>G161+captured_returns_sw[[#This Row],[captured_returns]]</f>
        <v>7.8033734989424064E-2</v>
      </c>
      <c r="H162">
        <v>6.8429957818958997E-3</v>
      </c>
      <c r="I162">
        <v>-1.6846511341337032E-3</v>
      </c>
      <c r="J162">
        <v>-1.6860072636711166E-3</v>
      </c>
      <c r="K162">
        <v>-1.6873633932085301E-3</v>
      </c>
      <c r="L162">
        <v>-1.6887195227459435E-3</v>
      </c>
      <c r="M162">
        <v>-1.690075652283357E-3</v>
      </c>
      <c r="N162">
        <v>-1.6914317818207704E-3</v>
      </c>
    </row>
    <row r="163" spans="1:14" x14ac:dyDescent="0.35">
      <c r="A163">
        <v>161</v>
      </c>
      <c r="B163" t="s">
        <v>29</v>
      </c>
      <c r="C163" s="23">
        <v>42605</v>
      </c>
      <c r="D163">
        <v>-6.5837839918516999E-3</v>
      </c>
      <c r="E163">
        <v>-0.30237362000000001</v>
      </c>
      <c r="F163">
        <v>1.9907625850059851E-3</v>
      </c>
      <c r="G163">
        <f>G162+captured_returns_sw[[#This Row],[captured_returns]]</f>
        <v>8.0024497574430045E-2</v>
      </c>
      <c r="H163">
        <v>6.7319076801614997E-3</v>
      </c>
      <c r="I163">
        <v>1.9630221844805758E-3</v>
      </c>
      <c r="J163">
        <v>1.9352817839551669E-3</v>
      </c>
      <c r="K163">
        <v>1.9075413834297578E-3</v>
      </c>
      <c r="L163">
        <v>1.8798009829043487E-3</v>
      </c>
      <c r="M163">
        <v>1.8520605823789396E-3</v>
      </c>
      <c r="N163">
        <v>1.8243201818535304E-3</v>
      </c>
    </row>
    <row r="164" spans="1:14" x14ac:dyDescent="0.35">
      <c r="A164">
        <v>162</v>
      </c>
      <c r="B164" t="s">
        <v>29</v>
      </c>
      <c r="C164" s="23">
        <v>42606</v>
      </c>
      <c r="D164">
        <v>-9.7344123652569998E-4</v>
      </c>
      <c r="E164">
        <v>0.16678192</v>
      </c>
      <c r="F164">
        <v>-1.6235239572330625E-4</v>
      </c>
      <c r="G164">
        <f>G163+captured_returns_sw[[#This Row],[captured_returns]]</f>
        <v>7.9862145178706739E-2</v>
      </c>
      <c r="H164">
        <v>6.6944244813838998E-3</v>
      </c>
      <c r="I164">
        <v>-1.9534398889392937E-4</v>
      </c>
      <c r="J164">
        <v>-2.2833558206455248E-4</v>
      </c>
      <c r="K164">
        <v>-2.613271752351756E-4</v>
      </c>
      <c r="L164">
        <v>-2.9431876840579874E-4</v>
      </c>
      <c r="M164">
        <v>-3.2731036157642183E-4</v>
      </c>
      <c r="N164">
        <v>-3.6030195474704492E-4</v>
      </c>
    </row>
    <row r="165" spans="1:14" x14ac:dyDescent="0.35">
      <c r="A165">
        <v>163</v>
      </c>
      <c r="B165" t="s">
        <v>29</v>
      </c>
      <c r="C165" s="23">
        <v>42607</v>
      </c>
      <c r="D165">
        <v>-3.2994229434271998E-3</v>
      </c>
      <c r="E165">
        <v>4.6843797E-2</v>
      </c>
      <c r="F165">
        <v>-1.5455749847498272E-4</v>
      </c>
      <c r="G165">
        <f>G164+captured_returns_sw[[#This Row],[captured_returns]]</f>
        <v>7.9707587680231756E-2</v>
      </c>
      <c r="H165">
        <v>6.5881481753978996E-3</v>
      </c>
      <c r="I165">
        <v>-1.6296874063383639E-4</v>
      </c>
      <c r="J165">
        <v>-1.7137998279269007E-4</v>
      </c>
      <c r="K165">
        <v>-1.7979122495154372E-4</v>
      </c>
      <c r="L165">
        <v>-1.882024671103974E-4</v>
      </c>
      <c r="M165">
        <v>-1.9661370926925107E-4</v>
      </c>
      <c r="N165">
        <v>-2.0502495142810475E-4</v>
      </c>
    </row>
    <row r="166" spans="1:14" x14ac:dyDescent="0.35">
      <c r="A166">
        <v>164</v>
      </c>
      <c r="B166" t="s">
        <v>29</v>
      </c>
      <c r="C166" s="23">
        <v>42608</v>
      </c>
      <c r="D166">
        <v>7.2063027244905001E-3</v>
      </c>
      <c r="E166">
        <v>0.1372553</v>
      </c>
      <c r="F166">
        <v>9.8910321431621979E-4</v>
      </c>
      <c r="G166">
        <f>G165+captured_returns_sw[[#This Row],[captured_returns]]</f>
        <v>8.0696690894547979E-2</v>
      </c>
      <c r="H166">
        <v>6.5002120478633999E-3</v>
      </c>
      <c r="I166">
        <v>9.8248638015774954E-4</v>
      </c>
      <c r="J166">
        <v>9.7586954599927919E-4</v>
      </c>
      <c r="K166">
        <v>9.6925271184080894E-4</v>
      </c>
      <c r="L166">
        <v>9.6263587768233858E-4</v>
      </c>
      <c r="M166">
        <v>9.5601904352386833E-4</v>
      </c>
      <c r="N166">
        <v>9.4940220936539797E-4</v>
      </c>
    </row>
    <row r="167" spans="1:14" x14ac:dyDescent="0.35">
      <c r="A167">
        <v>165</v>
      </c>
      <c r="B167" t="s">
        <v>29</v>
      </c>
      <c r="C167" s="23">
        <v>42611</v>
      </c>
      <c r="D167">
        <v>-2.6920993223032001E-3</v>
      </c>
      <c r="E167">
        <v>-0.2890105</v>
      </c>
      <c r="F167">
        <v>7.7804495758649803E-4</v>
      </c>
      <c r="G167">
        <f>G166+captured_returns_sw[[#This Row],[captured_returns]]</f>
        <v>8.1474735852134481E-2</v>
      </c>
      <c r="H167">
        <v>6.4424765528654998E-3</v>
      </c>
      <c r="I167">
        <v>7.4687438436930496E-4</v>
      </c>
      <c r="J167">
        <v>7.1570381115211199E-4</v>
      </c>
      <c r="K167">
        <v>6.8453323793491892E-4</v>
      </c>
      <c r="L167">
        <v>6.5336266471772585E-4</v>
      </c>
      <c r="M167">
        <v>6.2219209150053288E-4</v>
      </c>
      <c r="N167">
        <v>5.9102151828333981E-4</v>
      </c>
    </row>
    <row r="168" spans="1:14" x14ac:dyDescent="0.35">
      <c r="A168">
        <v>166</v>
      </c>
      <c r="B168" t="s">
        <v>29</v>
      </c>
      <c r="C168" s="23">
        <v>42612</v>
      </c>
      <c r="D168">
        <v>-3.9323882214787002E-3</v>
      </c>
      <c r="E168">
        <v>1.0279906E-2</v>
      </c>
      <c r="F168">
        <v>-4.0424581202766061E-5</v>
      </c>
      <c r="G168">
        <f>G167+captured_returns_sw[[#This Row],[captured_returns]]</f>
        <v>8.1434311270931717E-2</v>
      </c>
      <c r="H168">
        <v>6.3517481449208999E-3</v>
      </c>
      <c r="I168">
        <v>-6.2383652653164601E-5</v>
      </c>
      <c r="J168">
        <v>-8.4342724103563134E-5</v>
      </c>
      <c r="K168">
        <v>-1.0630179555396168E-4</v>
      </c>
      <c r="L168">
        <v>-1.2826086700436023E-4</v>
      </c>
      <c r="M168">
        <v>-1.5021993845475875E-4</v>
      </c>
      <c r="N168">
        <v>-1.7217900990515729E-4</v>
      </c>
    </row>
    <row r="169" spans="1:14" x14ac:dyDescent="0.35">
      <c r="A169">
        <v>167</v>
      </c>
      <c r="B169" t="s">
        <v>29</v>
      </c>
      <c r="C169" s="23">
        <v>42613</v>
      </c>
      <c r="D169">
        <v>-1.5621056924650001E-3</v>
      </c>
      <c r="E169">
        <v>0.16183454</v>
      </c>
      <c r="F169">
        <v>-2.528026530205949E-4</v>
      </c>
      <c r="G169">
        <f>G168+captured_returns_sw[[#This Row],[captured_returns]]</f>
        <v>8.1181508617911124E-2</v>
      </c>
      <c r="H169">
        <v>6.2734066116442002E-3</v>
      </c>
      <c r="I169">
        <v>-2.6422591057653392E-4</v>
      </c>
      <c r="J169">
        <v>-2.7564916813247299E-4</v>
      </c>
      <c r="K169">
        <v>-2.8707242568841202E-4</v>
      </c>
      <c r="L169">
        <v>-2.9849568324435104E-4</v>
      </c>
      <c r="M169">
        <v>-3.0991894080029006E-4</v>
      </c>
      <c r="N169">
        <v>-3.2134219835622913E-4</v>
      </c>
    </row>
    <row r="170" spans="1:14" x14ac:dyDescent="0.35">
      <c r="A170">
        <v>168</v>
      </c>
      <c r="B170" t="s">
        <v>29</v>
      </c>
      <c r="C170" s="23">
        <v>42614</v>
      </c>
      <c r="D170">
        <v>7.5894377396900003E-3</v>
      </c>
      <c r="E170">
        <v>0.12851878999999999</v>
      </c>
      <c r="F170">
        <v>9.753853551356693E-4</v>
      </c>
      <c r="G170">
        <f>G169+captured_returns_sw[[#This Row],[captured_returns]]</f>
        <v>8.2156893973046791E-2</v>
      </c>
      <c r="H170">
        <v>6.1756238921498001E-3</v>
      </c>
      <c r="I170">
        <v>9.730295689941705E-4</v>
      </c>
      <c r="J170">
        <v>9.706737828526716E-4</v>
      </c>
      <c r="K170">
        <v>9.683179967111728E-4</v>
      </c>
      <c r="L170">
        <v>9.659622105696739E-4</v>
      </c>
      <c r="M170">
        <v>9.636064244281751E-4</v>
      </c>
      <c r="N170">
        <v>9.612506382866762E-4</v>
      </c>
    </row>
    <row r="171" spans="1:14" x14ac:dyDescent="0.35">
      <c r="A171">
        <v>169</v>
      </c>
      <c r="B171" t="s">
        <v>29</v>
      </c>
      <c r="C171" s="23">
        <v>42615</v>
      </c>
      <c r="D171">
        <v>4.6017570209046996E-3</v>
      </c>
      <c r="E171">
        <v>-0.27878222000000003</v>
      </c>
      <c r="F171">
        <v>-1.2828880321816647E-3</v>
      </c>
      <c r="G171">
        <f>G170+captured_returns_sw[[#This Row],[captured_returns]]</f>
        <v>8.0874005940865121E-2</v>
      </c>
      <c r="H171">
        <v>6.1280568598941999E-3</v>
      </c>
      <c r="I171">
        <v>-1.3142134525019639E-3</v>
      </c>
      <c r="J171">
        <v>-1.3455388728222633E-3</v>
      </c>
      <c r="K171">
        <v>-1.3768642931425625E-3</v>
      </c>
      <c r="L171">
        <v>-1.4081897134628619E-3</v>
      </c>
      <c r="M171">
        <v>-1.4395151337831611E-3</v>
      </c>
      <c r="N171">
        <v>-1.4708405541034603E-3</v>
      </c>
    </row>
    <row r="172" spans="1:14" x14ac:dyDescent="0.35">
      <c r="A172">
        <v>170</v>
      </c>
      <c r="B172" t="s">
        <v>29</v>
      </c>
      <c r="C172" s="23">
        <v>42619</v>
      </c>
      <c r="D172">
        <v>0</v>
      </c>
      <c r="E172">
        <v>-0.30107650000000002</v>
      </c>
      <c r="F172">
        <v>0</v>
      </c>
      <c r="G172">
        <f>G171+captured_returns_sw[[#This Row],[captured_returns]]</f>
        <v>8.0874005940865121E-2</v>
      </c>
      <c r="H172">
        <v>6.0423683233585997E-3</v>
      </c>
      <c r="I172">
        <v>-2.0480042255075494E-6</v>
      </c>
      <c r="J172">
        <v>-4.0960084510150989E-6</v>
      </c>
      <c r="K172">
        <v>-6.1440126765226479E-6</v>
      </c>
      <c r="L172">
        <v>-8.1920169020301978E-6</v>
      </c>
      <c r="M172">
        <v>-1.0240021127537747E-5</v>
      </c>
      <c r="N172">
        <v>-1.2288025353045296E-5</v>
      </c>
    </row>
    <row r="173" spans="1:14" x14ac:dyDescent="0.35">
      <c r="A173">
        <v>171</v>
      </c>
      <c r="B173" t="s">
        <v>29</v>
      </c>
      <c r="C173" s="23">
        <v>42620</v>
      </c>
      <c r="D173">
        <v>-5.0943146891487996E-3</v>
      </c>
      <c r="E173">
        <v>-0.14995238</v>
      </c>
      <c r="F173">
        <v>7.6390462152768244E-4</v>
      </c>
      <c r="G173">
        <f>G172+captured_returns_sw[[#This Row],[captured_returns]]</f>
        <v>8.1637910562392807E-2</v>
      </c>
      <c r="H173">
        <v>5.9436223985251E-3</v>
      </c>
      <c r="I173">
        <v>7.5228294871948422E-4</v>
      </c>
      <c r="J173">
        <v>7.4066127591128589E-4</v>
      </c>
      <c r="K173">
        <v>7.2903960310308766E-4</v>
      </c>
      <c r="L173">
        <v>7.1741793029488933E-4</v>
      </c>
      <c r="M173">
        <v>7.0579625748669111E-4</v>
      </c>
      <c r="N173">
        <v>6.9417458467849278E-4</v>
      </c>
    </row>
    <row r="174" spans="1:14" x14ac:dyDescent="0.35">
      <c r="A174">
        <v>172</v>
      </c>
      <c r="B174" t="s">
        <v>29</v>
      </c>
      <c r="C174" s="23">
        <v>42621</v>
      </c>
      <c r="D174">
        <v>-4.0366303864353498E-2</v>
      </c>
      <c r="E174">
        <v>0.12262198000000001</v>
      </c>
      <c r="F174">
        <v>-4.9497962379224589E-3</v>
      </c>
      <c r="G174">
        <f>G173+captured_returns_sw[[#This Row],[captured_returns]]</f>
        <v>7.6688114324470341E-2</v>
      </c>
      <c r="H174">
        <v>5.8856978517209E-3</v>
      </c>
      <c r="I174">
        <v>-4.9715589669971491E-3</v>
      </c>
      <c r="J174">
        <v>-4.9933216960718393E-3</v>
      </c>
      <c r="K174">
        <v>-5.0150844251465295E-3</v>
      </c>
      <c r="L174">
        <v>-5.0368471542212197E-3</v>
      </c>
      <c r="M174">
        <v>-5.0586098832959099E-3</v>
      </c>
      <c r="N174">
        <v>-5.0803726123706001E-3</v>
      </c>
    </row>
    <row r="175" spans="1:14" x14ac:dyDescent="0.35">
      <c r="A175">
        <v>173</v>
      </c>
      <c r="B175" t="s">
        <v>29</v>
      </c>
      <c r="C175" s="23">
        <v>42622</v>
      </c>
      <c r="D175">
        <v>2.1514195811502702E-2</v>
      </c>
      <c r="E175">
        <v>0.9034449</v>
      </c>
      <c r="F175">
        <v>1.9436890186770663E-2</v>
      </c>
      <c r="G175">
        <f>G174+captured_returns_sw[[#This Row],[captured_returns]]</f>
        <v>9.6125004511241008E-2</v>
      </c>
      <c r="H175">
        <v>7.3967862403216999E-3</v>
      </c>
      <c r="I175">
        <v>1.9389027459036045E-2</v>
      </c>
      <c r="J175">
        <v>1.934116473130143E-2</v>
      </c>
      <c r="K175">
        <v>1.9293302003566812E-2</v>
      </c>
      <c r="L175">
        <v>1.9245439275832197E-2</v>
      </c>
      <c r="M175">
        <v>1.9197576548097579E-2</v>
      </c>
      <c r="N175">
        <v>1.9149713820362964E-2</v>
      </c>
    </row>
    <row r="176" spans="1:14" x14ac:dyDescent="0.35">
      <c r="A176">
        <v>174</v>
      </c>
      <c r="B176" t="s">
        <v>29</v>
      </c>
      <c r="C176" s="23">
        <v>42625</v>
      </c>
      <c r="D176">
        <v>-1.6481479964072801E-2</v>
      </c>
      <c r="E176">
        <v>-7.6942360000000001E-2</v>
      </c>
      <c r="F176">
        <v>1.2681239958994E-3</v>
      </c>
      <c r="G176">
        <f>G175+captured_returns_sw[[#This Row],[captured_returns]]</f>
        <v>9.7393128507140408E-2</v>
      </c>
      <c r="H176">
        <v>7.9018666962426994E-3</v>
      </c>
      <c r="I176">
        <v>1.2058177666908955E-3</v>
      </c>
      <c r="J176">
        <v>1.1435115374823909E-3</v>
      </c>
      <c r="K176">
        <v>1.0812053082738865E-3</v>
      </c>
      <c r="L176">
        <v>1.018899079065382E-3</v>
      </c>
      <c r="M176">
        <v>9.565928498568774E-4</v>
      </c>
      <c r="N176">
        <v>8.9428662064837297E-4</v>
      </c>
    </row>
    <row r="177" spans="1:14" x14ac:dyDescent="0.35">
      <c r="A177">
        <v>175</v>
      </c>
      <c r="B177" t="s">
        <v>29</v>
      </c>
      <c r="C177" s="23">
        <v>42626</v>
      </c>
      <c r="D177">
        <v>-4.6191704341385998E-3</v>
      </c>
      <c r="E177">
        <v>-5.0008482999999999E-2</v>
      </c>
      <c r="F177">
        <v>2.3099770719706367E-4</v>
      </c>
      <c r="G177">
        <f>G176+captured_returns_sw[[#This Row],[captured_returns]]</f>
        <v>9.762412621433747E-2</v>
      </c>
      <c r="H177">
        <v>8.1681041485372995E-3</v>
      </c>
      <c r="I177">
        <v>2.2928986133101428E-4</v>
      </c>
      <c r="J177">
        <v>2.2758201546496488E-4</v>
      </c>
      <c r="K177">
        <v>2.2587416959891549E-4</v>
      </c>
      <c r="L177">
        <v>2.241663237328661E-4</v>
      </c>
      <c r="M177">
        <v>2.224584778668167E-4</v>
      </c>
      <c r="N177">
        <v>2.2075063200076728E-4</v>
      </c>
    </row>
    <row r="178" spans="1:14" x14ac:dyDescent="0.35">
      <c r="A178">
        <v>176</v>
      </c>
      <c r="B178" t="s">
        <v>29</v>
      </c>
      <c r="C178" s="23">
        <v>42627</v>
      </c>
      <c r="D178">
        <v>1.36826727875894E-2</v>
      </c>
      <c r="E178">
        <v>-0.22159143000000001</v>
      </c>
      <c r="F178">
        <v>-3.031963000794832E-3</v>
      </c>
      <c r="G178">
        <f>G177+captured_returns_sw[[#This Row],[captured_returns]]</f>
        <v>9.4592163213542635E-2</v>
      </c>
      <c r="H178">
        <v>8.0613574526078001E-3</v>
      </c>
      <c r="I178">
        <v>-3.0420573427977033E-3</v>
      </c>
      <c r="J178">
        <v>-3.0521516848005747E-3</v>
      </c>
      <c r="K178">
        <v>-3.0622460268034456E-3</v>
      </c>
      <c r="L178">
        <v>-3.0723403688063169E-3</v>
      </c>
      <c r="M178">
        <v>-3.0824347108091882E-3</v>
      </c>
      <c r="N178">
        <v>-3.0925290528120595E-3</v>
      </c>
    </row>
    <row r="179" spans="1:14" x14ac:dyDescent="0.35">
      <c r="A179">
        <v>177</v>
      </c>
      <c r="B179" t="s">
        <v>29</v>
      </c>
      <c r="C179" s="23">
        <v>42628</v>
      </c>
      <c r="D179">
        <v>-2.7018688464496001E-3</v>
      </c>
      <c r="E179">
        <v>-0.101777494</v>
      </c>
      <c r="F179">
        <v>2.7498944018322766E-4</v>
      </c>
      <c r="G179">
        <f>G178+captured_returns_sw[[#This Row],[captured_returns]]</f>
        <v>9.4867152653725861E-2</v>
      </c>
      <c r="H179">
        <v>8.2173155566792992E-3</v>
      </c>
      <c r="I179">
        <v>2.6785424100798911E-4</v>
      </c>
      <c r="J179">
        <v>2.607190418327505E-4</v>
      </c>
      <c r="K179">
        <v>2.5358384265751195E-4</v>
      </c>
      <c r="L179">
        <v>2.464486434822734E-4</v>
      </c>
      <c r="M179">
        <v>2.3931344430703483E-4</v>
      </c>
      <c r="N179">
        <v>2.3217824513179625E-4</v>
      </c>
    </row>
    <row r="180" spans="1:14" x14ac:dyDescent="0.35">
      <c r="A180">
        <v>178</v>
      </c>
      <c r="B180" t="s">
        <v>29</v>
      </c>
      <c r="C180" s="23">
        <v>42629</v>
      </c>
      <c r="D180">
        <v>-3.7974737802539001E-3</v>
      </c>
      <c r="E180">
        <v>-0.58657926000000005</v>
      </c>
      <c r="F180">
        <v>2.2275193720817524E-3</v>
      </c>
      <c r="G180">
        <f>G179+captured_returns_sw[[#This Row],[captured_returns]]</f>
        <v>9.7094672025807613E-2</v>
      </c>
      <c r="H180">
        <v>8.0928182811274996E-3</v>
      </c>
      <c r="I180">
        <v>2.1991268104316068E-3</v>
      </c>
      <c r="J180">
        <v>2.1707342487814617E-3</v>
      </c>
      <c r="K180">
        <v>2.1423416871313161E-3</v>
      </c>
      <c r="L180">
        <v>2.113949125481171E-3</v>
      </c>
      <c r="M180">
        <v>2.0855565638310254E-3</v>
      </c>
      <c r="N180">
        <v>2.0571640021808803E-3</v>
      </c>
    </row>
    <row r="181" spans="1:14" x14ac:dyDescent="0.35">
      <c r="A181">
        <v>179</v>
      </c>
      <c r="B181" t="s">
        <v>29</v>
      </c>
      <c r="C181" s="23">
        <v>42632</v>
      </c>
      <c r="D181">
        <v>-1.1102834783623E-3</v>
      </c>
      <c r="E181">
        <v>-0.51042973999999997</v>
      </c>
      <c r="F181">
        <v>5.667217071335678E-4</v>
      </c>
      <c r="G181">
        <f>G180+captured_returns_sw[[#This Row],[captured_returns]]</f>
        <v>9.7661393732941179E-2</v>
      </c>
      <c r="H181">
        <v>7.9798779972562999E-3</v>
      </c>
      <c r="I181">
        <v>5.626978706315017E-4</v>
      </c>
      <c r="J181">
        <v>5.586740341294356E-4</v>
      </c>
      <c r="K181">
        <v>5.5465019762736961E-4</v>
      </c>
      <c r="L181">
        <v>5.5062636112530351E-4</v>
      </c>
      <c r="M181">
        <v>5.4660252462323741E-4</v>
      </c>
      <c r="N181">
        <v>5.4257868812117131E-4</v>
      </c>
    </row>
    <row r="182" spans="1:14" x14ac:dyDescent="0.35">
      <c r="A182">
        <v>180</v>
      </c>
      <c r="B182" t="s">
        <v>29</v>
      </c>
      <c r="C182" s="23">
        <v>42633</v>
      </c>
      <c r="D182">
        <v>1.4263983168781901E-2</v>
      </c>
      <c r="E182">
        <v>-0.55440840000000002</v>
      </c>
      <c r="F182">
        <v>-7.9080716789734287E-3</v>
      </c>
      <c r="G182">
        <f>G181+captured_returns_sw[[#This Row],[captured_returns]]</f>
        <v>8.9753322053967743E-2</v>
      </c>
      <c r="H182">
        <v>7.8492489524034006E-3</v>
      </c>
      <c r="I182">
        <v>-7.9112217410689575E-3</v>
      </c>
      <c r="J182">
        <v>-7.9143718031644845E-3</v>
      </c>
      <c r="K182">
        <v>-7.9175218652600132E-3</v>
      </c>
      <c r="L182">
        <v>-7.920671927355542E-3</v>
      </c>
      <c r="M182">
        <v>-7.923821989451069E-3</v>
      </c>
      <c r="N182">
        <v>-7.9269720515465977E-3</v>
      </c>
    </row>
    <row r="183" spans="1:14" x14ac:dyDescent="0.35">
      <c r="A183">
        <v>181</v>
      </c>
      <c r="B183" t="s">
        <v>29</v>
      </c>
      <c r="C183" s="23">
        <v>42634</v>
      </c>
      <c r="D183">
        <v>6.5603532962637996E-3</v>
      </c>
      <c r="E183">
        <v>-0.12704752</v>
      </c>
      <c r="F183">
        <v>-8.3347664191193277E-4</v>
      </c>
      <c r="G183">
        <f>G182+captured_returns_sw[[#This Row],[captured_returns]]</f>
        <v>8.8919845412055817E-2</v>
      </c>
      <c r="H183">
        <v>8.0157819384668004E-3</v>
      </c>
      <c r="I183">
        <v>-8.5935887233568107E-4</v>
      </c>
      <c r="J183">
        <v>-8.8524110275942937E-4</v>
      </c>
      <c r="K183">
        <v>-9.1112333318317756E-4</v>
      </c>
      <c r="L183">
        <v>-9.3700556360692586E-4</v>
      </c>
      <c r="M183">
        <v>-9.6288779403067416E-4</v>
      </c>
      <c r="N183">
        <v>-9.8877002445442235E-4</v>
      </c>
    </row>
    <row r="184" spans="1:14" x14ac:dyDescent="0.35">
      <c r="A184">
        <v>182</v>
      </c>
      <c r="B184" t="s">
        <v>29</v>
      </c>
      <c r="C184" s="23">
        <v>42635</v>
      </c>
      <c r="D184">
        <v>-5.6247370345252996E-3</v>
      </c>
      <c r="E184">
        <v>-0.20123706999999999</v>
      </c>
      <c r="F184">
        <v>1.1319055867377514E-3</v>
      </c>
      <c r="G184">
        <f>G183+captured_returns_sw[[#This Row],[captured_returns]]</f>
        <v>9.0051750998793575E-2</v>
      </c>
      <c r="H184">
        <v>7.9415134486993007E-3</v>
      </c>
      <c r="I184">
        <v>1.1274218807126783E-3</v>
      </c>
      <c r="J184">
        <v>1.1229381746876053E-3</v>
      </c>
      <c r="K184">
        <v>1.1184544686625322E-3</v>
      </c>
      <c r="L184">
        <v>1.1139707626374592E-3</v>
      </c>
      <c r="M184">
        <v>1.1094870566123864E-3</v>
      </c>
      <c r="N184">
        <v>1.1050033505873133E-3</v>
      </c>
    </row>
    <row r="185" spans="1:14" x14ac:dyDescent="0.35">
      <c r="A185">
        <v>183</v>
      </c>
      <c r="B185" t="s">
        <v>29</v>
      </c>
      <c r="C185" s="23">
        <v>42636</v>
      </c>
      <c r="D185">
        <v>-1.0161238914578199E-2</v>
      </c>
      <c r="E185">
        <v>0.21573232000000001</v>
      </c>
      <c r="F185">
        <v>-2.1921076567320602E-3</v>
      </c>
      <c r="G185">
        <f>G184+captured_returns_sw[[#This Row],[captured_returns]]</f>
        <v>8.7859643342061519E-2</v>
      </c>
      <c r="H185">
        <v>7.8642218116580995E-3</v>
      </c>
      <c r="I185">
        <v>-2.2170400912181463E-3</v>
      </c>
      <c r="J185">
        <v>-2.2419725257042328E-3</v>
      </c>
      <c r="K185">
        <v>-2.2669049601903189E-3</v>
      </c>
      <c r="L185">
        <v>-2.291837394676405E-3</v>
      </c>
      <c r="M185">
        <v>-2.3167698291624915E-3</v>
      </c>
      <c r="N185">
        <v>-2.3417022636485776E-3</v>
      </c>
    </row>
    <row r="186" spans="1:14" x14ac:dyDescent="0.35">
      <c r="A186">
        <v>184</v>
      </c>
      <c r="B186" t="s">
        <v>29</v>
      </c>
      <c r="C186" s="23">
        <v>42639</v>
      </c>
      <c r="D186">
        <v>7.2761395604800999E-3</v>
      </c>
      <c r="E186">
        <v>0.47058489999999997</v>
      </c>
      <c r="F186">
        <v>3.4240414015397108E-3</v>
      </c>
      <c r="G186">
        <f>G185+captured_returns_sw[[#This Row],[captured_returns]]</f>
        <v>9.1283684743601226E-2</v>
      </c>
      <c r="H186">
        <v>7.8898779565160001E-3</v>
      </c>
      <c r="I186">
        <v>3.4088226592462749E-3</v>
      </c>
      <c r="J186">
        <v>3.393603916952839E-3</v>
      </c>
      <c r="K186">
        <v>3.3783851746594031E-3</v>
      </c>
      <c r="L186">
        <v>3.3631664323659671E-3</v>
      </c>
      <c r="M186">
        <v>3.3479476900725308E-3</v>
      </c>
      <c r="N186">
        <v>3.3327289477790949E-3</v>
      </c>
    </row>
    <row r="187" spans="1:14" x14ac:dyDescent="0.35">
      <c r="A187">
        <v>185</v>
      </c>
      <c r="B187" t="s">
        <v>29</v>
      </c>
      <c r="C187" s="23">
        <v>42640</v>
      </c>
      <c r="D187">
        <v>5.8806279749637003E-3</v>
      </c>
      <c r="E187">
        <v>-9.4991030000000004E-2</v>
      </c>
      <c r="F187">
        <v>-5.5860689844370031E-4</v>
      </c>
      <c r="G187">
        <f>G186+captured_returns_sw[[#This Row],[captured_returns]]</f>
        <v>9.0725077845157528E-2</v>
      </c>
      <c r="H187">
        <v>7.8372370741519991E-3</v>
      </c>
      <c r="I187">
        <v>-5.9251248858502108E-4</v>
      </c>
      <c r="J187">
        <v>-6.2641807872634186E-4</v>
      </c>
      <c r="K187">
        <v>-6.6032366886766263E-4</v>
      </c>
      <c r="L187">
        <v>-6.942292590089833E-4</v>
      </c>
      <c r="M187">
        <v>-7.2813484915030418E-4</v>
      </c>
      <c r="N187">
        <v>-7.6204043929162485E-4</v>
      </c>
    </row>
    <row r="188" spans="1:14" x14ac:dyDescent="0.35">
      <c r="A188">
        <v>186</v>
      </c>
      <c r="B188" t="s">
        <v>29</v>
      </c>
      <c r="C188" s="23">
        <v>42641</v>
      </c>
      <c r="D188">
        <v>-8.3085707671392995E-3</v>
      </c>
      <c r="E188">
        <v>-0.24375874</v>
      </c>
      <c r="F188">
        <v>2.025286725121588E-3</v>
      </c>
      <c r="G188">
        <f>G187+captured_returns_sw[[#This Row],[captured_returns]]</f>
        <v>9.2750364570279117E-2</v>
      </c>
      <c r="H188">
        <v>7.7544316679784E-3</v>
      </c>
      <c r="I188">
        <v>2.0161615794666251E-3</v>
      </c>
      <c r="J188">
        <v>2.0070364338116626E-3</v>
      </c>
      <c r="K188">
        <v>1.9979112881566997E-3</v>
      </c>
      <c r="L188">
        <v>1.9887861425017367E-3</v>
      </c>
      <c r="M188">
        <v>1.9796609968467742E-3</v>
      </c>
      <c r="N188">
        <v>1.9705358511918113E-3</v>
      </c>
    </row>
    <row r="189" spans="1:14" x14ac:dyDescent="0.35">
      <c r="A189">
        <v>187</v>
      </c>
      <c r="B189" t="s">
        <v>29</v>
      </c>
      <c r="C189" s="23">
        <v>42642</v>
      </c>
      <c r="D189">
        <v>6.8251312933525002E-3</v>
      </c>
      <c r="E189">
        <v>0.27945447000000001</v>
      </c>
      <c r="F189">
        <v>1.907313446085561E-3</v>
      </c>
      <c r="G189">
        <f>G188+captured_returns_sw[[#This Row],[captured_returns]]</f>
        <v>9.4657678016364682E-2</v>
      </c>
      <c r="H189">
        <v>7.7326057218695997E-3</v>
      </c>
      <c r="I189">
        <v>1.8753874842129723E-3</v>
      </c>
      <c r="J189">
        <v>1.8434615223403834E-3</v>
      </c>
      <c r="K189">
        <v>1.8115355604677948E-3</v>
      </c>
      <c r="L189">
        <v>1.7796095985952061E-3</v>
      </c>
      <c r="M189">
        <v>1.7476836367226172E-3</v>
      </c>
      <c r="N189">
        <v>1.7157576748500286E-3</v>
      </c>
    </row>
    <row r="190" spans="1:14" x14ac:dyDescent="0.35">
      <c r="A190">
        <v>188</v>
      </c>
      <c r="B190" t="s">
        <v>29</v>
      </c>
      <c r="C190" s="23">
        <v>42643</v>
      </c>
      <c r="D190">
        <v>-4.1345578953470002E-3</v>
      </c>
      <c r="E190">
        <v>-0.23589563</v>
      </c>
      <c r="F190">
        <v>9.7532415478192292E-4</v>
      </c>
      <c r="G190">
        <f>G189+captured_returns_sw[[#This Row],[captured_returns]]</f>
        <v>9.5633002171146606E-2</v>
      </c>
      <c r="H190">
        <v>7.6691220068322002E-3</v>
      </c>
      <c r="I190">
        <v>9.4371739444360078E-4</v>
      </c>
      <c r="J190">
        <v>9.1211063410527875E-4</v>
      </c>
      <c r="K190">
        <v>8.8050387376695661E-4</v>
      </c>
      <c r="L190">
        <v>8.4889711342863447E-4</v>
      </c>
      <c r="M190">
        <v>8.1729035309031244E-4</v>
      </c>
      <c r="N190">
        <v>7.8568359275199031E-4</v>
      </c>
    </row>
    <row r="191" spans="1:14" x14ac:dyDescent="0.35">
      <c r="A191">
        <v>189</v>
      </c>
      <c r="B191" t="s">
        <v>29</v>
      </c>
      <c r="C191" s="23">
        <v>42646</v>
      </c>
      <c r="D191">
        <v>-4.9273960627498996E-3</v>
      </c>
      <c r="E191">
        <v>0.11389072</v>
      </c>
      <c r="F191">
        <v>-5.6118469710788601E-4</v>
      </c>
      <c r="G191">
        <f>G190+captured_returns_sw[[#This Row],[captured_returns]]</f>
        <v>9.5071817474038714E-2</v>
      </c>
      <c r="H191">
        <v>7.5700367235287001E-3</v>
      </c>
      <c r="I191">
        <v>-5.828250921912938E-4</v>
      </c>
      <c r="J191">
        <v>-6.044654872747017E-4</v>
      </c>
      <c r="K191">
        <v>-6.2610588235810949E-4</v>
      </c>
      <c r="L191">
        <v>-6.4774627744151729E-4</v>
      </c>
      <c r="M191">
        <v>-6.6938667252492519E-4</v>
      </c>
      <c r="N191">
        <v>-6.9102706760833298E-4</v>
      </c>
    </row>
    <row r="192" spans="1:14" x14ac:dyDescent="0.35">
      <c r="A192">
        <v>190</v>
      </c>
      <c r="B192" t="s">
        <v>29</v>
      </c>
      <c r="C192" s="23">
        <v>42647</v>
      </c>
      <c r="D192">
        <v>5.0059388773412003E-3</v>
      </c>
      <c r="E192">
        <v>0.24903774000000001</v>
      </c>
      <c r="F192">
        <v>1.2466677176804488E-3</v>
      </c>
      <c r="G192">
        <f>G191+captured_returns_sw[[#This Row],[captured_returns]]</f>
        <v>9.6318485191719164E-2</v>
      </c>
      <c r="H192">
        <v>7.4807939942039001E-3</v>
      </c>
      <c r="I192">
        <v>1.2380476026251691E-3</v>
      </c>
      <c r="J192">
        <v>1.2294274875698891E-3</v>
      </c>
      <c r="K192">
        <v>1.2208073725146094E-3</v>
      </c>
      <c r="L192">
        <v>1.2121872574593297E-3</v>
      </c>
      <c r="M192">
        <v>1.2035671424040497E-3</v>
      </c>
      <c r="N192">
        <v>1.19494702734877E-3</v>
      </c>
    </row>
    <row r="193" spans="1:14" x14ac:dyDescent="0.35">
      <c r="A193">
        <v>191</v>
      </c>
      <c r="B193" t="s">
        <v>29</v>
      </c>
      <c r="C193" s="23">
        <v>42648</v>
      </c>
      <c r="D193">
        <v>1.9294915088749001E-3</v>
      </c>
      <c r="E193">
        <v>-0.16406117000000001</v>
      </c>
      <c r="F193">
        <v>-3.1655464177669264E-4</v>
      </c>
      <c r="G193">
        <f>G192+captured_returns_sw[[#This Row],[captured_returns]]</f>
        <v>9.6001930549942466E-2</v>
      </c>
      <c r="H193">
        <v>7.3915755809636002E-3</v>
      </c>
      <c r="I193">
        <v>-3.4276930312965786E-4</v>
      </c>
      <c r="J193">
        <v>-3.6898396448262308E-4</v>
      </c>
      <c r="K193">
        <v>-3.951986258355883E-4</v>
      </c>
      <c r="L193">
        <v>-4.2141328718855352E-4</v>
      </c>
      <c r="M193">
        <v>-4.476279485415188E-4</v>
      </c>
      <c r="N193">
        <v>-4.7384260989448402E-4</v>
      </c>
    </row>
    <row r="194" spans="1:14" x14ac:dyDescent="0.35">
      <c r="A194">
        <v>192</v>
      </c>
      <c r="B194" t="s">
        <v>29</v>
      </c>
      <c r="C194" s="23">
        <v>42649</v>
      </c>
      <c r="D194">
        <v>-6.0240623806351997E-3</v>
      </c>
      <c r="E194">
        <v>-0.14976278000000001</v>
      </c>
      <c r="F194">
        <v>9.0218032585024559E-4</v>
      </c>
      <c r="G194">
        <f>G193+captured_returns_sw[[#This Row],[captured_returns]]</f>
        <v>9.6904110875792718E-2</v>
      </c>
      <c r="H194">
        <v>7.2736444109742001E-3</v>
      </c>
      <c r="I194">
        <v>9.0142160378720308E-4</v>
      </c>
      <c r="J194">
        <v>9.0066288172416058E-4</v>
      </c>
      <c r="K194">
        <v>8.9990415966111808E-4</v>
      </c>
      <c r="L194">
        <v>8.9914543759807546E-4</v>
      </c>
      <c r="M194">
        <v>8.9838671553503296E-4</v>
      </c>
      <c r="N194">
        <v>8.9762799347199045E-4</v>
      </c>
    </row>
    <row r="195" spans="1:14" x14ac:dyDescent="0.35">
      <c r="A195">
        <v>193</v>
      </c>
      <c r="B195" t="s">
        <v>29</v>
      </c>
      <c r="C195" s="23">
        <v>42650</v>
      </c>
      <c r="D195">
        <v>7.6369033070050997E-3</v>
      </c>
      <c r="E195">
        <v>0.18589512</v>
      </c>
      <c r="F195">
        <v>1.4196630195466144E-3</v>
      </c>
      <c r="G195">
        <f>G194+captured_returns_sw[[#This Row],[captured_returns]]</f>
        <v>9.8323773895339334E-2</v>
      </c>
      <c r="H195">
        <v>7.2053124286257002E-3</v>
      </c>
      <c r="I195">
        <v>1.3977460326830764E-3</v>
      </c>
      <c r="J195">
        <v>1.3758290458195386E-3</v>
      </c>
      <c r="K195">
        <v>1.3539120589560005E-3</v>
      </c>
      <c r="L195">
        <v>1.3319950720924625E-3</v>
      </c>
      <c r="M195">
        <v>1.3100780852289247E-3</v>
      </c>
      <c r="N195">
        <v>1.2881610983653867E-3</v>
      </c>
    </row>
    <row r="196" spans="1:14" x14ac:dyDescent="0.35">
      <c r="A196">
        <v>194</v>
      </c>
      <c r="B196" t="s">
        <v>29</v>
      </c>
      <c r="C196" s="23">
        <v>42653</v>
      </c>
      <c r="D196">
        <v>-1.4970337303658401E-2</v>
      </c>
      <c r="E196">
        <v>-0.26215192999999998</v>
      </c>
      <c r="F196">
        <v>3.9245027683398517E-3</v>
      </c>
      <c r="G196">
        <f>G195+captured_returns_sw[[#This Row],[captured_returns]]</f>
        <v>0.10224827666367918</v>
      </c>
      <c r="H196">
        <v>7.1626354023651001E-3</v>
      </c>
      <c r="I196">
        <v>3.8950217007634965E-3</v>
      </c>
      <c r="J196">
        <v>3.8655406331871418E-3</v>
      </c>
      <c r="K196">
        <v>3.8360595656107867E-3</v>
      </c>
      <c r="L196">
        <v>3.806578498034432E-3</v>
      </c>
      <c r="M196">
        <v>3.7770974304580768E-3</v>
      </c>
      <c r="N196">
        <v>3.7476163628817221E-3</v>
      </c>
    </row>
    <row r="197" spans="1:14" x14ac:dyDescent="0.35">
      <c r="A197">
        <v>195</v>
      </c>
      <c r="B197" t="s">
        <v>29</v>
      </c>
      <c r="C197" s="23">
        <v>42654</v>
      </c>
      <c r="D197">
        <v>-1.8085272171436001E-3</v>
      </c>
      <c r="E197">
        <v>0.53173320000000002</v>
      </c>
      <c r="F197">
        <v>-9.6165399132488419E-4</v>
      </c>
      <c r="G197">
        <f>G196+captured_returns_sw[[#This Row],[captured_returns]]</f>
        <v>0.10128662267235429</v>
      </c>
      <c r="H197">
        <v>7.3432960130063001E-3</v>
      </c>
      <c r="I197">
        <v>-1.013156673420855E-3</v>
      </c>
      <c r="J197">
        <v>-1.064659355516826E-3</v>
      </c>
      <c r="K197">
        <v>-1.116162037612797E-3</v>
      </c>
      <c r="L197">
        <v>-1.1676647197087677E-3</v>
      </c>
      <c r="M197">
        <v>-1.2191674018047385E-3</v>
      </c>
      <c r="N197">
        <v>-1.2706700839007095E-3</v>
      </c>
    </row>
    <row r="198" spans="1:14" x14ac:dyDescent="0.35">
      <c r="A198">
        <v>196</v>
      </c>
      <c r="B198" t="s">
        <v>29</v>
      </c>
      <c r="C198" s="23">
        <v>42655</v>
      </c>
      <c r="D198">
        <v>-3.2211421667453E-3</v>
      </c>
      <c r="E198">
        <v>0.35271254000000002</v>
      </c>
      <c r="F198">
        <v>-1.1361372411918679E-3</v>
      </c>
      <c r="G198">
        <f>G197+captured_returns_sw[[#This Row],[captured_returns]]</f>
        <v>0.10015048543116242</v>
      </c>
      <c r="H198">
        <v>7.2252863244147997E-3</v>
      </c>
      <c r="I198">
        <v>-1.1472844968905545E-3</v>
      </c>
      <c r="J198">
        <v>-1.1584317525892411E-3</v>
      </c>
      <c r="K198">
        <v>-1.1695790082879277E-3</v>
      </c>
      <c r="L198">
        <v>-1.1807262639866143E-3</v>
      </c>
      <c r="M198">
        <v>-1.1918735196853008E-3</v>
      </c>
      <c r="N198">
        <v>-1.2030207753839874E-3</v>
      </c>
    </row>
    <row r="199" spans="1:14" x14ac:dyDescent="0.35">
      <c r="A199">
        <v>197</v>
      </c>
      <c r="B199" t="s">
        <v>29</v>
      </c>
      <c r="C199" s="23">
        <v>42656</v>
      </c>
      <c r="D199">
        <v>4.6829841462080001E-4</v>
      </c>
      <c r="E199">
        <v>0.38091092999999998</v>
      </c>
      <c r="F199">
        <v>1.7837998604393305E-4</v>
      </c>
      <c r="G199">
        <f>G198+captured_returns_sw[[#This Row],[captured_returns]]</f>
        <v>0.10032886541720636</v>
      </c>
      <c r="H199">
        <v>7.1172994400823001E-3</v>
      </c>
      <c r="I199">
        <v>1.7615820769458713E-4</v>
      </c>
      <c r="J199">
        <v>1.7393642934524119E-4</v>
      </c>
      <c r="K199">
        <v>1.7171465099589527E-4</v>
      </c>
      <c r="L199">
        <v>1.6949287264654935E-4</v>
      </c>
      <c r="M199">
        <v>1.6727109429720341E-4</v>
      </c>
      <c r="N199">
        <v>1.6504931594785749E-4</v>
      </c>
    </row>
    <row r="200" spans="1:14" x14ac:dyDescent="0.35">
      <c r="A200">
        <v>198</v>
      </c>
      <c r="B200" t="s">
        <v>29</v>
      </c>
      <c r="C200" s="23">
        <v>42657</v>
      </c>
      <c r="D200">
        <v>-2.5383304998904E-3</v>
      </c>
      <c r="E200">
        <v>0.31741393000000001</v>
      </c>
      <c r="F200">
        <v>-8.0570144977196124E-4</v>
      </c>
      <c r="G200">
        <f>G199+captured_returns_sw[[#This Row],[captured_returns]]</f>
        <v>9.9523163967434394E-2</v>
      </c>
      <c r="H200">
        <v>7.0006009391818998E-3</v>
      </c>
      <c r="I200">
        <v>-8.09565226811266E-4</v>
      </c>
      <c r="J200">
        <v>-8.1342900385057064E-4</v>
      </c>
      <c r="K200">
        <v>-8.1729278088987539E-4</v>
      </c>
      <c r="L200">
        <v>-8.2115655792918015E-4</v>
      </c>
      <c r="M200">
        <v>-8.250203349684849E-4</v>
      </c>
      <c r="N200">
        <v>-8.2888411200778955E-4</v>
      </c>
    </row>
    <row r="201" spans="1:14" x14ac:dyDescent="0.35">
      <c r="A201">
        <v>199</v>
      </c>
      <c r="B201" t="s">
        <v>29</v>
      </c>
      <c r="C201" s="23">
        <v>42660</v>
      </c>
      <c r="D201">
        <v>5.8130438144367996E-3</v>
      </c>
      <c r="E201">
        <v>0.42799690000000001</v>
      </c>
      <c r="F201">
        <v>2.4879647534067351E-3</v>
      </c>
      <c r="G201">
        <f>G200+captured_returns_sw[[#This Row],[captured_returns]]</f>
        <v>0.10201112872084113</v>
      </c>
      <c r="H201">
        <v>6.8909628339776001E-3</v>
      </c>
      <c r="I201">
        <v>2.4800421782928727E-3</v>
      </c>
      <c r="J201">
        <v>2.4721196031790103E-3</v>
      </c>
      <c r="K201">
        <v>2.4641970280651479E-3</v>
      </c>
      <c r="L201">
        <v>2.4562744529512855E-3</v>
      </c>
      <c r="M201">
        <v>2.4483518778374231E-3</v>
      </c>
      <c r="N201">
        <v>2.4404293027235607E-3</v>
      </c>
    </row>
    <row r="202" spans="1:14" x14ac:dyDescent="0.35">
      <c r="A202">
        <v>200</v>
      </c>
      <c r="B202" t="s">
        <v>29</v>
      </c>
      <c r="C202" s="23">
        <v>42661</v>
      </c>
      <c r="D202">
        <v>3.8955191543629001E-3</v>
      </c>
      <c r="E202">
        <v>0.19217528</v>
      </c>
      <c r="F202">
        <v>7.4862249992641223E-4</v>
      </c>
      <c r="G202">
        <f>G201+captured_returns_sw[[#This Row],[captured_returns]]</f>
        <v>0.10275975122076754</v>
      </c>
      <c r="H202">
        <v>6.8263679651413001E-3</v>
      </c>
      <c r="I202">
        <v>7.325788644563109E-4</v>
      </c>
      <c r="J202">
        <v>7.1653522898620947E-4</v>
      </c>
      <c r="K202">
        <v>7.0049159351610814E-4</v>
      </c>
      <c r="L202">
        <v>6.844479580460067E-4</v>
      </c>
      <c r="M202">
        <v>6.6840432257590538E-4</v>
      </c>
      <c r="N202">
        <v>6.5236068710580394E-4</v>
      </c>
    </row>
    <row r="203" spans="1:14" x14ac:dyDescent="0.35">
      <c r="A203">
        <v>201</v>
      </c>
      <c r="B203" t="s">
        <v>29</v>
      </c>
      <c r="C203" s="23">
        <v>42662</v>
      </c>
      <c r="D203">
        <v>-6.5622279983730005E-4</v>
      </c>
      <c r="E203">
        <v>0.14395837</v>
      </c>
      <c r="F203">
        <v>-9.4468767809280379E-5</v>
      </c>
      <c r="G203">
        <f>G202+captured_returns_sw[[#This Row],[captured_returns]]</f>
        <v>0.10266528245295826</v>
      </c>
      <c r="H203">
        <v>6.7349127262634999E-3</v>
      </c>
      <c r="I203">
        <v>-9.7670583456816286E-5</v>
      </c>
      <c r="J203">
        <v>-1.0087239910435219E-4</v>
      </c>
      <c r="K203">
        <v>-1.040742147518881E-4</v>
      </c>
      <c r="L203">
        <v>-1.0727603039942401E-4</v>
      </c>
      <c r="M203">
        <v>-1.1047784604695991E-4</v>
      </c>
      <c r="N203">
        <v>-1.1367966169449582E-4</v>
      </c>
    </row>
    <row r="204" spans="1:14" x14ac:dyDescent="0.35">
      <c r="A204">
        <v>202</v>
      </c>
      <c r="B204" t="s">
        <v>29</v>
      </c>
      <c r="C204" s="23">
        <v>42663</v>
      </c>
      <c r="D204">
        <v>-1.5019351960465E-3</v>
      </c>
      <c r="E204">
        <v>0.31749500000000003</v>
      </c>
      <c r="F204">
        <v>-4.7685689770861643E-4</v>
      </c>
      <c r="G204">
        <f>G203+captured_returns_sw[[#This Row],[captured_returns]]</f>
        <v>0.10218842555524965</v>
      </c>
      <c r="H204">
        <v>6.6239613546003996E-3</v>
      </c>
      <c r="I204">
        <v>-4.8940359066682666E-4</v>
      </c>
      <c r="J204">
        <v>-5.0195028362503679E-4</v>
      </c>
      <c r="K204">
        <v>-5.1449697658324702E-4</v>
      </c>
      <c r="L204">
        <v>-5.2704366954145715E-4</v>
      </c>
      <c r="M204">
        <v>-5.3959036249966738E-4</v>
      </c>
      <c r="N204">
        <v>-5.5213705545787762E-4</v>
      </c>
    </row>
    <row r="205" spans="1:14" x14ac:dyDescent="0.35">
      <c r="A205">
        <v>203</v>
      </c>
      <c r="B205" t="s">
        <v>29</v>
      </c>
      <c r="C205" s="23">
        <v>42664</v>
      </c>
      <c r="D205">
        <v>6.4526009656342004E-3</v>
      </c>
      <c r="E205">
        <v>0.41990757000000001</v>
      </c>
      <c r="F205">
        <v>2.7094959909186997E-3</v>
      </c>
      <c r="G205">
        <f>G204+captured_returns_sw[[#This Row],[captured_returns]]</f>
        <v>0.10489792154616835</v>
      </c>
      <c r="H205">
        <v>6.5167755439255997E-3</v>
      </c>
      <c r="I205">
        <v>2.7016987819956689E-3</v>
      </c>
      <c r="J205">
        <v>2.6939015730726387E-3</v>
      </c>
      <c r="K205">
        <v>2.686104364149608E-3</v>
      </c>
      <c r="L205">
        <v>2.6783071552265777E-3</v>
      </c>
      <c r="M205">
        <v>2.670509946303547E-3</v>
      </c>
      <c r="N205">
        <v>2.6627127373805167E-3</v>
      </c>
    </row>
    <row r="206" spans="1:14" x14ac:dyDescent="0.35">
      <c r="A206">
        <v>204</v>
      </c>
      <c r="B206" t="s">
        <v>29</v>
      </c>
      <c r="C206" s="23">
        <v>42667</v>
      </c>
      <c r="D206">
        <v>-4.2625726359041003E-3</v>
      </c>
      <c r="E206">
        <v>0.17816001000000001</v>
      </c>
      <c r="F206">
        <v>-7.594199909760831E-4</v>
      </c>
      <c r="G206">
        <f>G205+captured_returns_sw[[#This Row],[captured_returns]]</f>
        <v>0.10413850155519228</v>
      </c>
      <c r="H206">
        <v>6.4613578554873997E-3</v>
      </c>
      <c r="I206">
        <v>-7.7683551323298912E-4</v>
      </c>
      <c r="J206">
        <v>-7.9425103548989514E-4</v>
      </c>
      <c r="K206">
        <v>-8.1166655774680117E-4</v>
      </c>
      <c r="L206">
        <v>-8.2908208000370708E-4</v>
      </c>
      <c r="M206">
        <v>-8.4649760226061311E-4</v>
      </c>
      <c r="N206">
        <v>-8.6391312451751913E-4</v>
      </c>
    </row>
    <row r="207" spans="1:14" x14ac:dyDescent="0.35">
      <c r="A207">
        <v>205</v>
      </c>
      <c r="B207" t="s">
        <v>29</v>
      </c>
      <c r="C207" s="23">
        <v>42668</v>
      </c>
      <c r="D207">
        <v>-2.7724171749489001E-3</v>
      </c>
      <c r="E207">
        <v>0.47076327000000001</v>
      </c>
      <c r="F207">
        <v>-1.305152164233469E-3</v>
      </c>
      <c r="G207">
        <f>G206+captured_returns_sw[[#This Row],[captured_returns]]</f>
        <v>0.10283334939095881</v>
      </c>
      <c r="H207">
        <v>6.3765342760443997E-3</v>
      </c>
      <c r="I207">
        <v>-1.32700526677916E-3</v>
      </c>
      <c r="J207">
        <v>-1.348858369324851E-3</v>
      </c>
      <c r="K207">
        <v>-1.3707114718705417E-3</v>
      </c>
      <c r="L207">
        <v>-1.3925645744162327E-3</v>
      </c>
      <c r="M207">
        <v>-1.4144176769619236E-3</v>
      </c>
      <c r="N207">
        <v>-1.4362707795076146E-3</v>
      </c>
    </row>
    <row r="208" spans="1:14" x14ac:dyDescent="0.35">
      <c r="A208">
        <v>206</v>
      </c>
      <c r="B208" t="s">
        <v>29</v>
      </c>
      <c r="C208" s="23">
        <v>42669</v>
      </c>
      <c r="D208">
        <v>-7.4038980766957E-3</v>
      </c>
      <c r="E208">
        <v>0.54199560000000002</v>
      </c>
      <c r="F208">
        <v>-4.01288006909809E-3</v>
      </c>
      <c r="G208">
        <f>G207+captured_returns_sw[[#This Row],[captured_returns]]</f>
        <v>9.8820469321860727E-2</v>
      </c>
      <c r="H208">
        <v>6.2795054412539998E-3</v>
      </c>
      <c r="I208">
        <v>-4.0187783826261909E-3</v>
      </c>
      <c r="J208">
        <v>-4.0246766961542918E-3</v>
      </c>
      <c r="K208">
        <v>-4.0305750096823927E-3</v>
      </c>
      <c r="L208">
        <v>-4.0364733232104936E-3</v>
      </c>
      <c r="M208">
        <v>-4.0423716367385936E-3</v>
      </c>
      <c r="N208">
        <v>-4.0482699502666945E-3</v>
      </c>
    </row>
    <row r="209" spans="1:14" x14ac:dyDescent="0.35">
      <c r="A209">
        <v>207</v>
      </c>
      <c r="B209" t="s">
        <v>29</v>
      </c>
      <c r="C209" s="23">
        <v>42670</v>
      </c>
      <c r="D209">
        <v>1.784061928879E-4</v>
      </c>
      <c r="E209">
        <v>0.70820150000000004</v>
      </c>
      <c r="F209">
        <v>1.2634753833571177E-4</v>
      </c>
      <c r="G209">
        <f>G208+captured_returns_sw[[#This Row],[captured_returns]]</f>
        <v>9.8946816860196435E-2</v>
      </c>
      <c r="H209">
        <v>6.2354644328791002E-3</v>
      </c>
      <c r="I209">
        <v>1.1346624236635996E-4</v>
      </c>
      <c r="J209">
        <v>1.0058494639700815E-4</v>
      </c>
      <c r="K209">
        <v>8.7703650427656325E-5</v>
      </c>
      <c r="L209">
        <v>7.4822354458304514E-5</v>
      </c>
      <c r="M209">
        <v>6.1941058488952704E-5</v>
      </c>
      <c r="N209">
        <v>4.9059762519600879E-5</v>
      </c>
    </row>
    <row r="210" spans="1:14" x14ac:dyDescent="0.35">
      <c r="A210">
        <v>208</v>
      </c>
      <c r="B210" t="s">
        <v>29</v>
      </c>
      <c r="C210" s="23">
        <v>42671</v>
      </c>
      <c r="D210">
        <v>-2.7205657880822001E-3</v>
      </c>
      <c r="E210">
        <v>0.65007585000000001</v>
      </c>
      <c r="F210">
        <v>-1.7685741249790403E-3</v>
      </c>
      <c r="G210">
        <f>G209+captured_returns_sw[[#This Row],[captured_returns]]</f>
        <v>9.7178242735217399E-2</v>
      </c>
      <c r="H210">
        <v>6.1328117239229998E-3</v>
      </c>
      <c r="I210">
        <v>-1.7721538027708529E-3</v>
      </c>
      <c r="J210">
        <v>-1.7757334805626654E-3</v>
      </c>
      <c r="K210">
        <v>-1.779313158354478E-3</v>
      </c>
      <c r="L210">
        <v>-1.7828928361462903E-3</v>
      </c>
      <c r="M210">
        <v>-1.7864725139381029E-3</v>
      </c>
      <c r="N210">
        <v>-1.7900521917299155E-3</v>
      </c>
    </row>
    <row r="211" spans="1:14" x14ac:dyDescent="0.35">
      <c r="A211">
        <v>209</v>
      </c>
      <c r="B211" t="s">
        <v>29</v>
      </c>
      <c r="C211" s="23">
        <v>42674</v>
      </c>
      <c r="D211">
        <v>-1.1996562841244E-2</v>
      </c>
      <c r="E211">
        <v>0.69658010000000004</v>
      </c>
      <c r="F211">
        <v>-8.3565670873341092E-3</v>
      </c>
      <c r="G211">
        <f>G210+captured_returns_sw[[#This Row],[captured_returns]]</f>
        <v>8.8821675647883291E-2</v>
      </c>
      <c r="H211">
        <v>6.0374237624986997E-3</v>
      </c>
      <c r="I211">
        <v>-8.3609974956416686E-3</v>
      </c>
      <c r="J211">
        <v>-8.3654279039492262E-3</v>
      </c>
      <c r="K211">
        <v>-8.3698583122567855E-3</v>
      </c>
      <c r="L211">
        <v>-8.3742887205643449E-3</v>
      </c>
      <c r="M211">
        <v>-8.3787191288719042E-3</v>
      </c>
      <c r="N211">
        <v>-8.3831495371794618E-3</v>
      </c>
    </row>
    <row r="212" spans="1:14" x14ac:dyDescent="0.35">
      <c r="A212">
        <v>210</v>
      </c>
      <c r="B212" t="s">
        <v>29</v>
      </c>
      <c r="C212" s="23">
        <v>42675</v>
      </c>
      <c r="D212">
        <v>-8.4921133212058995E-3</v>
      </c>
      <c r="E212">
        <v>0.86074209999999995</v>
      </c>
      <c r="F212">
        <v>-7.3095193867216196E-3</v>
      </c>
      <c r="G212">
        <f>G211+captured_returns_sw[[#This Row],[captured_returns]]</f>
        <v>8.1512156261161678E-2</v>
      </c>
      <c r="H212">
        <v>6.0824552043362004E-3</v>
      </c>
      <c r="I212">
        <v>-7.321867122996875E-3</v>
      </c>
      <c r="J212">
        <v>-7.3342148592721295E-3</v>
      </c>
      <c r="K212">
        <v>-7.3465625955473849E-3</v>
      </c>
      <c r="L212">
        <v>-7.3589103318226403E-3</v>
      </c>
      <c r="M212">
        <v>-7.3712580680978957E-3</v>
      </c>
      <c r="N212">
        <v>-7.3836058043731502E-3</v>
      </c>
    </row>
    <row r="213" spans="1:14" x14ac:dyDescent="0.35">
      <c r="A213">
        <v>211</v>
      </c>
      <c r="B213" t="s">
        <v>29</v>
      </c>
      <c r="C213" s="23">
        <v>42676</v>
      </c>
      <c r="D213">
        <v>-6.5355535113192998E-3</v>
      </c>
      <c r="E213">
        <v>0.89516412999999995</v>
      </c>
      <c r="F213">
        <v>-5.8503930868723597E-3</v>
      </c>
      <c r="G213">
        <f>G212+captured_returns_sw[[#This Row],[captured_returns]]</f>
        <v>7.5661763174289312E-2</v>
      </c>
      <c r="H213">
        <v>6.0464865376843998E-3</v>
      </c>
      <c r="I213">
        <v>-5.8534804512021792E-3</v>
      </c>
      <c r="J213">
        <v>-5.8565678155319987E-3</v>
      </c>
      <c r="K213">
        <v>-5.8596551798618182E-3</v>
      </c>
      <c r="L213">
        <v>-5.8627425441916368E-3</v>
      </c>
      <c r="M213">
        <v>-5.8658299085214563E-3</v>
      </c>
      <c r="N213">
        <v>-5.8689172728512758E-3</v>
      </c>
    </row>
    <row r="214" spans="1:14" x14ac:dyDescent="0.35">
      <c r="A214">
        <v>212</v>
      </c>
      <c r="B214" t="s">
        <v>29</v>
      </c>
      <c r="C214" s="23">
        <v>42677</v>
      </c>
      <c r="D214">
        <v>-2.6548505978001001E-3</v>
      </c>
      <c r="E214">
        <v>0.92558059999999998</v>
      </c>
      <c r="F214">
        <v>-2.4572782643519694E-3</v>
      </c>
      <c r="G214">
        <f>G213+captured_returns_sw[[#This Row],[captured_returns]]</f>
        <v>7.3204484909937348E-2</v>
      </c>
      <c r="H214">
        <v>5.9789571663655004E-3</v>
      </c>
      <c r="I214">
        <v>-2.4604717654160566E-3</v>
      </c>
      <c r="J214">
        <v>-2.4636652664801442E-3</v>
      </c>
      <c r="K214">
        <v>-2.4668587675442315E-3</v>
      </c>
      <c r="L214">
        <v>-2.4700522686083191E-3</v>
      </c>
      <c r="M214">
        <v>-2.4732457696724063E-3</v>
      </c>
      <c r="N214">
        <v>-2.476439270736494E-3</v>
      </c>
    </row>
    <row r="215" spans="1:14" x14ac:dyDescent="0.35">
      <c r="A215">
        <v>213</v>
      </c>
      <c r="B215" t="s">
        <v>29</v>
      </c>
      <c r="C215" s="23">
        <v>42678</v>
      </c>
      <c r="D215">
        <v>3.7843567020572899E-2</v>
      </c>
      <c r="E215">
        <v>0.93191069999999998</v>
      </c>
      <c r="F215">
        <v>3.52668247921612E-2</v>
      </c>
      <c r="G215">
        <f>G214+captured_returns_sw[[#This Row],[captured_returns]]</f>
        <v>0.10847130970209855</v>
      </c>
      <c r="H215">
        <v>5.8820900481910002E-3</v>
      </c>
      <c r="I215">
        <v>3.526511188496393E-2</v>
      </c>
      <c r="J215">
        <v>3.5263398977766661E-2</v>
      </c>
      <c r="K215">
        <v>3.5261686070569391E-2</v>
      </c>
      <c r="L215">
        <v>3.5259973163372121E-2</v>
      </c>
      <c r="M215">
        <v>3.5258260256174852E-2</v>
      </c>
      <c r="N215">
        <v>3.5256547348977582E-2</v>
      </c>
    </row>
    <row r="216" spans="1:14" x14ac:dyDescent="0.35">
      <c r="A216">
        <v>214</v>
      </c>
      <c r="B216" t="s">
        <v>29</v>
      </c>
      <c r="C216" s="23">
        <v>42681</v>
      </c>
      <c r="D216">
        <v>3.9741869071633004E-3</v>
      </c>
      <c r="E216">
        <v>0.73836385999999998</v>
      </c>
      <c r="F216">
        <v>2.9343959932325928E-3</v>
      </c>
      <c r="G216">
        <f>G215+captured_returns_sw[[#This Row],[captured_returns]]</f>
        <v>0.11140570569533115</v>
      </c>
      <c r="H216">
        <v>7.2590601592287E-3</v>
      </c>
      <c r="I216">
        <v>2.9076003312468912E-3</v>
      </c>
      <c r="J216">
        <v>2.8808046692611897E-3</v>
      </c>
      <c r="K216">
        <v>2.8540090072754882E-3</v>
      </c>
      <c r="L216">
        <v>2.8272133452897866E-3</v>
      </c>
      <c r="M216">
        <v>2.8004176833040851E-3</v>
      </c>
      <c r="N216">
        <v>2.7736220213183836E-3</v>
      </c>
    </row>
    <row r="217" spans="1:14" x14ac:dyDescent="0.35">
      <c r="A217">
        <v>215</v>
      </c>
      <c r="B217" t="s">
        <v>29</v>
      </c>
      <c r="C217" s="23">
        <v>42682</v>
      </c>
      <c r="D217">
        <v>1.5293162629948299E-2</v>
      </c>
      <c r="E217">
        <v>-0.28319883000000001</v>
      </c>
      <c r="F217">
        <v>-4.3310058168007015E-3</v>
      </c>
      <c r="G217">
        <f>G216+captured_returns_sw[[#This Row],[captured_returns]]</f>
        <v>0.10707469987853045</v>
      </c>
      <c r="H217">
        <v>7.1609280355187004E-3</v>
      </c>
      <c r="I217">
        <v>-4.3977467703618994E-3</v>
      </c>
      <c r="J217">
        <v>-4.4644877239230973E-3</v>
      </c>
      <c r="K217">
        <v>-4.5312286774842961E-3</v>
      </c>
      <c r="L217">
        <v>-4.597969631045494E-3</v>
      </c>
      <c r="M217">
        <v>-4.6647105846066919E-3</v>
      </c>
      <c r="N217">
        <v>-4.7314515381678898E-3</v>
      </c>
    </row>
    <row r="218" spans="1:14" x14ac:dyDescent="0.35">
      <c r="A218">
        <v>216</v>
      </c>
      <c r="B218" t="s">
        <v>29</v>
      </c>
      <c r="C218" s="23">
        <v>42683</v>
      </c>
      <c r="D218">
        <v>4.1705890785296998E-3</v>
      </c>
      <c r="E218">
        <v>0.65804600000000002</v>
      </c>
      <c r="F218">
        <v>2.744439490616442E-3</v>
      </c>
      <c r="G218">
        <f>G217+captured_returns_sw[[#This Row],[captured_returns]]</f>
        <v>0.10981913936914689</v>
      </c>
      <c r="H218">
        <v>7.3415475038251998E-3</v>
      </c>
      <c r="I218">
        <v>2.6834072330527972E-3</v>
      </c>
      <c r="J218">
        <v>2.6223749754891519E-3</v>
      </c>
      <c r="K218">
        <v>2.5613427179255067E-3</v>
      </c>
      <c r="L218">
        <v>2.5003104603618619E-3</v>
      </c>
      <c r="M218">
        <v>2.439278202798217E-3</v>
      </c>
      <c r="N218">
        <v>2.3782459452345718E-3</v>
      </c>
    </row>
    <row r="219" spans="1:14" x14ac:dyDescent="0.35">
      <c r="A219">
        <v>217</v>
      </c>
      <c r="B219" t="s">
        <v>29</v>
      </c>
      <c r="C219" s="23">
        <v>42684</v>
      </c>
      <c r="D219">
        <v>-3.4636617474452999E-3</v>
      </c>
      <c r="E219">
        <v>0.63030434000000002</v>
      </c>
      <c r="F219">
        <v>-2.1831610197496818E-3</v>
      </c>
      <c r="G219">
        <f>G218+captured_returns_sw[[#This Row],[captured_returns]]</f>
        <v>0.10763597834939721</v>
      </c>
      <c r="H219">
        <v>7.2379294969790002E-3</v>
      </c>
      <c r="I219">
        <v>-2.1843656092801426E-3</v>
      </c>
      <c r="J219">
        <v>-2.1855701988106029E-3</v>
      </c>
      <c r="K219">
        <v>-2.1867747883410637E-3</v>
      </c>
      <c r="L219">
        <v>-2.1879793778715241E-3</v>
      </c>
      <c r="M219">
        <v>-2.1891839674019848E-3</v>
      </c>
      <c r="N219">
        <v>-2.1903885569324452E-3</v>
      </c>
    </row>
    <row r="220" spans="1:14" x14ac:dyDescent="0.35">
      <c r="A220">
        <v>218</v>
      </c>
      <c r="B220" t="s">
        <v>29</v>
      </c>
      <c r="C220" s="23">
        <v>42685</v>
      </c>
      <c r="D220">
        <v>-6.1218043793069999E-4</v>
      </c>
      <c r="E220">
        <v>0.7514556</v>
      </c>
      <c r="F220">
        <v>-4.6002642137278111E-4</v>
      </c>
      <c r="G220">
        <f>G219+captured_returns_sw[[#This Row],[captured_returns]]</f>
        <v>0.10717595192802443</v>
      </c>
      <c r="H220">
        <v>7.1409550786272003E-3</v>
      </c>
      <c r="I220">
        <v>-4.6860068301396148E-4</v>
      </c>
      <c r="J220">
        <v>-4.7717494465514189E-4</v>
      </c>
      <c r="K220">
        <v>-4.8574920629632226E-4</v>
      </c>
      <c r="L220">
        <v>-4.9432346793750262E-4</v>
      </c>
      <c r="M220">
        <v>-5.0289772957868304E-4</v>
      </c>
      <c r="N220">
        <v>-5.1147199121986345E-4</v>
      </c>
    </row>
    <row r="221" spans="1:14" x14ac:dyDescent="0.35">
      <c r="A221">
        <v>219</v>
      </c>
      <c r="B221" t="s">
        <v>29</v>
      </c>
      <c r="C221" s="23">
        <v>42688</v>
      </c>
      <c r="D221">
        <v>1.16738134726471E-2</v>
      </c>
      <c r="E221">
        <v>-0.44826074999999999</v>
      </c>
      <c r="F221">
        <v>-5.2329124333531808E-3</v>
      </c>
      <c r="G221">
        <f>G220+captured_returns_sw[[#This Row],[captured_returns]]</f>
        <v>0.10194303949467125</v>
      </c>
      <c r="H221">
        <v>7.0246588919063001E-3</v>
      </c>
      <c r="I221">
        <v>-5.312778342990248E-3</v>
      </c>
      <c r="J221">
        <v>-5.3926442526273152E-3</v>
      </c>
      <c r="K221">
        <v>-5.4725101622643824E-3</v>
      </c>
      <c r="L221">
        <v>-5.5523760719014496E-3</v>
      </c>
      <c r="M221">
        <v>-5.6322419815385168E-3</v>
      </c>
      <c r="N221">
        <v>-5.7121078911755848E-3</v>
      </c>
    </row>
    <row r="222" spans="1:14" x14ac:dyDescent="0.35">
      <c r="A222">
        <v>220</v>
      </c>
      <c r="B222" t="s">
        <v>29</v>
      </c>
      <c r="C222" s="23">
        <v>42689</v>
      </c>
      <c r="D222">
        <v>-3.9878213255355004E-3</v>
      </c>
      <c r="E222">
        <v>-0.71632530000000005</v>
      </c>
      <c r="F222">
        <v>2.8565772397691853E-3</v>
      </c>
      <c r="G222">
        <f>G221+captured_returns_sw[[#This Row],[captured_returns]]</f>
        <v>0.10479961673444044</v>
      </c>
      <c r="H222">
        <v>7.0674313584854001E-3</v>
      </c>
      <c r="I222">
        <v>2.8388396692472706E-3</v>
      </c>
      <c r="J222">
        <v>2.8211020987253558E-3</v>
      </c>
      <c r="K222">
        <v>2.8033645282034411E-3</v>
      </c>
      <c r="L222">
        <v>2.7856269576815263E-3</v>
      </c>
      <c r="M222">
        <v>2.7678893871596116E-3</v>
      </c>
      <c r="N222">
        <v>2.7501518166376973E-3</v>
      </c>
    </row>
    <row r="223" spans="1:14" x14ac:dyDescent="0.35">
      <c r="A223">
        <v>221</v>
      </c>
      <c r="B223" t="s">
        <v>29</v>
      </c>
      <c r="C223" s="23">
        <v>42690</v>
      </c>
      <c r="D223">
        <v>7.1638961007129999E-3</v>
      </c>
      <c r="E223">
        <v>0.61852600000000002</v>
      </c>
      <c r="F223">
        <v>4.4310558699451269E-3</v>
      </c>
      <c r="G223">
        <f>G222+captured_returns_sw[[#This Row],[captured_returns]]</f>
        <v>0.10923067260438557</v>
      </c>
      <c r="H223">
        <v>6.9811953678625997E-3</v>
      </c>
      <c r="I223">
        <v>4.3413107170424707E-3</v>
      </c>
      <c r="J223">
        <v>4.2515655641398144E-3</v>
      </c>
      <c r="K223">
        <v>4.1618204112371581E-3</v>
      </c>
      <c r="L223">
        <v>4.0720752583345019E-3</v>
      </c>
      <c r="M223">
        <v>3.9823301054318456E-3</v>
      </c>
      <c r="N223">
        <v>3.8925849525291889E-3</v>
      </c>
    </row>
    <row r="224" spans="1:14" x14ac:dyDescent="0.35">
      <c r="A224">
        <v>222</v>
      </c>
      <c r="B224" t="s">
        <v>29</v>
      </c>
      <c r="C224" s="23">
        <v>42691</v>
      </c>
      <c r="D224">
        <v>-2.1883982296196001E-3</v>
      </c>
      <c r="E224">
        <v>0.24398020000000001</v>
      </c>
      <c r="F224">
        <v>-5.3392583576958546E-4</v>
      </c>
      <c r="G224">
        <f>G223+captured_returns_sw[[#This Row],[captured_returns]]</f>
        <v>0.10869674676861599</v>
      </c>
      <c r="H224">
        <v>6.9187929444109999E-3</v>
      </c>
      <c r="I224">
        <v>-5.5912447134609912E-4</v>
      </c>
      <c r="J224">
        <v>-5.8432310692261267E-4</v>
      </c>
      <c r="K224">
        <v>-6.0952174249912633E-4</v>
      </c>
      <c r="L224">
        <v>-6.3472037807563988E-4</v>
      </c>
      <c r="M224">
        <v>-6.5991901365215354E-4</v>
      </c>
      <c r="N224">
        <v>-6.8511764922866709E-4</v>
      </c>
    </row>
    <row r="225" spans="1:14" x14ac:dyDescent="0.35">
      <c r="A225">
        <v>223</v>
      </c>
      <c r="B225" t="s">
        <v>29</v>
      </c>
      <c r="C225" s="23">
        <v>42692</v>
      </c>
      <c r="D225">
        <v>7.7864024252375002E-3</v>
      </c>
      <c r="E225">
        <v>0.39479609999999998</v>
      </c>
      <c r="F225">
        <v>3.0740413357349269E-3</v>
      </c>
      <c r="G225">
        <f>G224+captured_returns_sw[[#This Row],[captured_returns]]</f>
        <v>0.11177078810435091</v>
      </c>
      <c r="H225">
        <v>6.8168596190897003E-3</v>
      </c>
      <c r="I225">
        <v>3.0633396246972969E-3</v>
      </c>
      <c r="J225">
        <v>3.052637913659667E-3</v>
      </c>
      <c r="K225">
        <v>3.0419362026220366E-3</v>
      </c>
      <c r="L225">
        <v>3.0312344915844067E-3</v>
      </c>
      <c r="M225">
        <v>3.0205327805467768E-3</v>
      </c>
      <c r="N225">
        <v>3.0098310695091468E-3</v>
      </c>
    </row>
    <row r="226" spans="1:14" x14ac:dyDescent="0.35">
      <c r="A226">
        <v>224</v>
      </c>
      <c r="B226" t="s">
        <v>29</v>
      </c>
      <c r="C226" s="23">
        <v>42695</v>
      </c>
      <c r="D226">
        <v>4.6182723126274002E-3</v>
      </c>
      <c r="E226">
        <v>0.20669000000000001</v>
      </c>
      <c r="F226">
        <v>9.5455069740418451E-4</v>
      </c>
      <c r="G226">
        <f>G225+captured_returns_sw[[#This Row],[captured_returns]]</f>
        <v>0.1127253388017551</v>
      </c>
      <c r="H226">
        <v>6.7641125666603004E-3</v>
      </c>
      <c r="I226">
        <v>9.4162534949859659E-4</v>
      </c>
      <c r="J226">
        <v>9.2870000159300868E-4</v>
      </c>
      <c r="K226">
        <v>9.1577465368742077E-4</v>
      </c>
      <c r="L226">
        <v>9.0284930578183285E-4</v>
      </c>
      <c r="M226">
        <v>8.8992395787624494E-4</v>
      </c>
      <c r="N226">
        <v>8.7699860997065703E-4</v>
      </c>
    </row>
    <row r="227" spans="1:14" x14ac:dyDescent="0.35">
      <c r="A227">
        <v>225</v>
      </c>
      <c r="B227" t="s">
        <v>29</v>
      </c>
      <c r="C227" s="23">
        <v>42696</v>
      </c>
      <c r="D227">
        <v>3.2203888488000003E-4</v>
      </c>
      <c r="E227">
        <v>-0.7047409</v>
      </c>
      <c r="F227">
        <v>-2.2695396774281975E-4</v>
      </c>
      <c r="G227">
        <f>G226+captured_returns_sw[[#This Row],[captured_returns]]</f>
        <v>0.11249838483401228</v>
      </c>
      <c r="H227">
        <v>6.6677705904197001E-3</v>
      </c>
      <c r="I227">
        <v>-2.9132627511849923E-4</v>
      </c>
      <c r="J227">
        <v>-3.5569858249417865E-4</v>
      </c>
      <c r="K227">
        <v>-4.2007088986985817E-4</v>
      </c>
      <c r="L227">
        <v>-4.8444319724553759E-4</v>
      </c>
      <c r="M227">
        <v>-5.4881550462121701E-4</v>
      </c>
      <c r="N227">
        <v>-6.1318781199689654E-4</v>
      </c>
    </row>
    <row r="228" spans="1:14" x14ac:dyDescent="0.35">
      <c r="A228">
        <v>226</v>
      </c>
      <c r="B228" t="s">
        <v>29</v>
      </c>
      <c r="C228" s="23">
        <v>42697</v>
      </c>
      <c r="D228">
        <v>6.8738873755854997E-3</v>
      </c>
      <c r="E228">
        <v>-0.62228404999999998</v>
      </c>
      <c r="F228">
        <v>-4.277510508016555E-3</v>
      </c>
      <c r="G228">
        <f>G227+captured_returns_sw[[#This Row],[captured_returns]]</f>
        <v>0.10822087432599573</v>
      </c>
      <c r="H228">
        <v>6.5585399000337996E-3</v>
      </c>
      <c r="I228">
        <v>-4.2826187659039056E-3</v>
      </c>
      <c r="J228">
        <v>-4.2877270237912561E-3</v>
      </c>
      <c r="K228">
        <v>-4.2928352816786067E-3</v>
      </c>
      <c r="L228">
        <v>-4.2979435395659573E-3</v>
      </c>
      <c r="M228">
        <v>-4.3030517974533078E-3</v>
      </c>
      <c r="N228">
        <v>-4.3081600553406584E-3</v>
      </c>
    </row>
    <row r="229" spans="1:14" x14ac:dyDescent="0.35">
      <c r="A229">
        <v>227</v>
      </c>
      <c r="B229" t="s">
        <v>29</v>
      </c>
      <c r="C229" s="23">
        <v>42699</v>
      </c>
      <c r="D229">
        <v>-6.9149484693717999E-3</v>
      </c>
      <c r="E229">
        <v>-0.7499519</v>
      </c>
      <c r="F229">
        <v>5.185878736449794E-3</v>
      </c>
      <c r="G229">
        <f>G228+captured_returns_sw[[#This Row],[captured_returns]]</f>
        <v>0.11340675306244552</v>
      </c>
      <c r="H229">
        <v>6.4886372250181996E-3</v>
      </c>
      <c r="I229">
        <v>5.1760999568561117E-3</v>
      </c>
      <c r="J229">
        <v>5.1663211772624293E-3</v>
      </c>
      <c r="K229">
        <v>5.156542397668747E-3</v>
      </c>
      <c r="L229">
        <v>5.1467636180750646E-3</v>
      </c>
      <c r="M229">
        <v>5.1369848384813822E-3</v>
      </c>
      <c r="N229">
        <v>5.1272060588876999E-3</v>
      </c>
    </row>
    <row r="230" spans="1:14" x14ac:dyDescent="0.35">
      <c r="A230">
        <v>228</v>
      </c>
      <c r="B230" t="s">
        <v>29</v>
      </c>
      <c r="C230" s="23">
        <v>42702</v>
      </c>
      <c r="D230">
        <v>1.9928589083316002E-3</v>
      </c>
      <c r="E230">
        <v>-0.37747929000000002</v>
      </c>
      <c r="F230">
        <v>-7.5226295582639E-4</v>
      </c>
      <c r="G230">
        <f>G229+captured_returns_sw[[#This Row],[captured_returns]]</f>
        <v>0.11265449010661913</v>
      </c>
      <c r="H230">
        <v>6.4634587358232999E-3</v>
      </c>
      <c r="I230">
        <v>-7.7927664874476112E-4</v>
      </c>
      <c r="J230">
        <v>-8.0629034166313223E-4</v>
      </c>
      <c r="K230">
        <v>-8.3330403458150323E-4</v>
      </c>
      <c r="L230">
        <v>-8.6031772749987434E-4</v>
      </c>
      <c r="M230">
        <v>-8.8733142041824546E-4</v>
      </c>
      <c r="N230">
        <v>-9.1434511333661657E-4</v>
      </c>
    </row>
    <row r="231" spans="1:14" x14ac:dyDescent="0.35">
      <c r="A231">
        <v>229</v>
      </c>
      <c r="B231" t="s">
        <v>29</v>
      </c>
      <c r="C231" s="23">
        <v>42703</v>
      </c>
      <c r="D231">
        <v>-3.3722054272405E-3</v>
      </c>
      <c r="E231">
        <v>-0.56588846000000004</v>
      </c>
      <c r="F231">
        <v>1.9082921510339024E-3</v>
      </c>
      <c r="G231">
        <f>G230+captured_returns_sw[[#This Row],[captured_returns]]</f>
        <v>0.11456278225765303</v>
      </c>
      <c r="H231">
        <v>6.3574747605437002E-3</v>
      </c>
      <c r="I231">
        <v>1.8938305403390476E-3</v>
      </c>
      <c r="J231">
        <v>1.879368929644193E-3</v>
      </c>
      <c r="K231">
        <v>1.8649073189493381E-3</v>
      </c>
      <c r="L231">
        <v>1.8504457082544835E-3</v>
      </c>
      <c r="M231">
        <v>1.8359840975596287E-3</v>
      </c>
      <c r="N231">
        <v>1.8215224868647739E-3</v>
      </c>
    </row>
    <row r="232" spans="1:14" x14ac:dyDescent="0.35">
      <c r="A232">
        <v>230</v>
      </c>
      <c r="B232" t="s">
        <v>29</v>
      </c>
      <c r="C232" s="23">
        <v>42704</v>
      </c>
      <c r="D232">
        <v>-4.6215930062122003E-3</v>
      </c>
      <c r="E232">
        <v>-0.15355034000000001</v>
      </c>
      <c r="F232">
        <v>7.0964718541936833E-4</v>
      </c>
      <c r="G232">
        <f>G231+captured_returns_sw[[#This Row],[captured_returns]]</f>
        <v>0.11527242944307239</v>
      </c>
      <c r="H232">
        <v>6.2766398776181002E-3</v>
      </c>
      <c r="I232">
        <v>6.7915124584354562E-4</v>
      </c>
      <c r="J232">
        <v>6.4865530626772292E-4</v>
      </c>
      <c r="K232">
        <v>6.1815936669190022E-4</v>
      </c>
      <c r="L232">
        <v>5.8766342711607752E-4</v>
      </c>
      <c r="M232">
        <v>5.5716748754025482E-4</v>
      </c>
      <c r="N232">
        <v>5.2667154796443212E-4</v>
      </c>
    </row>
    <row r="233" spans="1:14" x14ac:dyDescent="0.35">
      <c r="A233">
        <v>231</v>
      </c>
      <c r="B233" t="s">
        <v>29</v>
      </c>
      <c r="C233" s="23">
        <v>42705</v>
      </c>
      <c r="D233">
        <v>0</v>
      </c>
      <c r="E233">
        <v>0.80114985000000005</v>
      </c>
      <c r="F233">
        <v>0</v>
      </c>
      <c r="G233">
        <f>G232+captured_returns_sw[[#This Row],[captured_returns]]</f>
        <v>0.11527242944307239</v>
      </c>
      <c r="H233">
        <v>6.2099045016823003E-3</v>
      </c>
      <c r="I233">
        <v>-7.251031254604339E-5</v>
      </c>
      <c r="J233">
        <v>-1.4502062509208678E-4</v>
      </c>
      <c r="K233">
        <v>-2.1753093763813018E-4</v>
      </c>
      <c r="L233">
        <v>-2.9004125018417356E-4</v>
      </c>
      <c r="M233">
        <v>-3.6255156273021694E-4</v>
      </c>
      <c r="N233">
        <v>-4.3506187527626037E-4</v>
      </c>
    </row>
    <row r="234" spans="1:14" x14ac:dyDescent="0.35">
      <c r="A234">
        <v>232</v>
      </c>
      <c r="B234" t="s">
        <v>29</v>
      </c>
      <c r="C234" s="23">
        <v>42706</v>
      </c>
      <c r="D234">
        <v>8.6452610290337004E-3</v>
      </c>
      <c r="E234">
        <v>0.74049394999999996</v>
      </c>
      <c r="F234">
        <v>6.4017635160771042E-3</v>
      </c>
      <c r="G234">
        <f>G233+captured_returns_sw[[#This Row],[captured_returns]]</f>
        <v>0.1216741929591495</v>
      </c>
      <c r="H234">
        <v>6.1081320441071004E-3</v>
      </c>
      <c r="I234">
        <v>6.3980874422489608E-3</v>
      </c>
      <c r="J234">
        <v>6.3944113684208182E-3</v>
      </c>
      <c r="K234">
        <v>6.3907352945926747E-3</v>
      </c>
      <c r="L234">
        <v>6.3870592207645313E-3</v>
      </c>
      <c r="M234">
        <v>6.3833831469363878E-3</v>
      </c>
      <c r="N234">
        <v>6.3797070731082452E-3</v>
      </c>
    </row>
    <row r="235" spans="1:14" x14ac:dyDescent="0.35">
      <c r="A235">
        <v>233</v>
      </c>
      <c r="B235" t="s">
        <v>29</v>
      </c>
      <c r="C235" s="23">
        <v>42709</v>
      </c>
      <c r="D235">
        <v>4.0576228169596001E-3</v>
      </c>
      <c r="E235">
        <v>-0.69616029999999995</v>
      </c>
      <c r="F235">
        <v>-2.8247559843594724E-3</v>
      </c>
      <c r="G235">
        <f>G234+captured_returns_sw[[#This Row],[captured_returns]]</f>
        <v>0.11884943697479003</v>
      </c>
      <c r="H235">
        <v>6.0747206285242999E-3</v>
      </c>
      <c r="I235">
        <v>-2.9361753785076428E-3</v>
      </c>
      <c r="J235">
        <v>-3.0475947726558133E-3</v>
      </c>
      <c r="K235">
        <v>-3.1590141668039837E-3</v>
      </c>
      <c r="L235">
        <v>-3.2704335609521542E-3</v>
      </c>
      <c r="M235">
        <v>-3.3818529551003246E-3</v>
      </c>
      <c r="N235">
        <v>-3.4932723492484951E-3</v>
      </c>
    </row>
    <row r="236" spans="1:14" x14ac:dyDescent="0.35">
      <c r="A236">
        <v>234</v>
      </c>
      <c r="B236" t="s">
        <v>29</v>
      </c>
      <c r="C236" s="23">
        <v>42710</v>
      </c>
      <c r="D236">
        <v>1.9113417706753798E-2</v>
      </c>
      <c r="E236">
        <v>-0.64117104000000003</v>
      </c>
      <c r="F236">
        <v>-1.2254969873648974E-2</v>
      </c>
      <c r="G236">
        <f>G235+captured_returns_sw[[#This Row],[captured_returns]]</f>
        <v>0.10659446710114105</v>
      </c>
      <c r="H236">
        <v>5.9838975627457E-3</v>
      </c>
      <c r="I236">
        <v>-1.225848974183987E-2</v>
      </c>
      <c r="J236">
        <v>-1.2262009610030766E-2</v>
      </c>
      <c r="K236">
        <v>-1.2265529478221664E-2</v>
      </c>
      <c r="L236">
        <v>-1.2269049346412561E-2</v>
      </c>
      <c r="M236">
        <v>-1.2272569214603457E-2</v>
      </c>
      <c r="N236">
        <v>-1.2276089082794353E-2</v>
      </c>
    </row>
    <row r="237" spans="1:14" x14ac:dyDescent="0.35">
      <c r="A237">
        <v>235</v>
      </c>
      <c r="B237" t="s">
        <v>29</v>
      </c>
      <c r="C237" s="23">
        <v>42711</v>
      </c>
      <c r="D237">
        <v>7.4635395933210997E-3</v>
      </c>
      <c r="E237">
        <v>-0.88847624999999997</v>
      </c>
      <c r="F237">
        <v>-6.6311776886761225E-3</v>
      </c>
      <c r="G237">
        <f>G236+captured_returns_sw[[#This Row],[captured_returns]]</f>
        <v>9.9963289412464934E-2</v>
      </c>
      <c r="H237">
        <v>6.2261759098345996E-3</v>
      </c>
      <c r="I237">
        <v>-6.6479738377432374E-3</v>
      </c>
      <c r="J237">
        <v>-6.6647699868103514E-3</v>
      </c>
      <c r="K237">
        <v>-6.6815661358774663E-3</v>
      </c>
      <c r="L237">
        <v>-6.6983622849445803E-3</v>
      </c>
      <c r="M237">
        <v>-6.7151584340116952E-3</v>
      </c>
      <c r="N237">
        <v>-6.7319545830788093E-3</v>
      </c>
    </row>
    <row r="238" spans="1:14" x14ac:dyDescent="0.35">
      <c r="A238">
        <v>236</v>
      </c>
      <c r="B238" t="s">
        <v>29</v>
      </c>
      <c r="C238" s="23">
        <v>42712</v>
      </c>
      <c r="D238">
        <v>8.3592801185027998E-3</v>
      </c>
      <c r="E238">
        <v>-0.89777183999999999</v>
      </c>
      <c r="F238">
        <v>-7.5047262540020015E-3</v>
      </c>
      <c r="G238">
        <f>G237+captured_returns_sw[[#This Row],[captured_returns]]</f>
        <v>9.2458563158462931E-2</v>
      </c>
      <c r="H238">
        <v>6.1604181595577004E-3</v>
      </c>
      <c r="I238">
        <v>-7.5061588080498638E-3</v>
      </c>
      <c r="J238">
        <v>-7.507591362097726E-3</v>
      </c>
      <c r="K238">
        <v>-7.5090239161455883E-3</v>
      </c>
      <c r="L238">
        <v>-7.5104564701934506E-3</v>
      </c>
      <c r="M238">
        <v>-7.5118890242413128E-3</v>
      </c>
      <c r="N238">
        <v>-7.5133215782891751E-3</v>
      </c>
    </row>
    <row r="239" spans="1:14" x14ac:dyDescent="0.35">
      <c r="A239">
        <v>237</v>
      </c>
      <c r="B239" t="s">
        <v>29</v>
      </c>
      <c r="C239" s="23">
        <v>42713</v>
      </c>
      <c r="D239">
        <v>-2.7395384041450001E-3</v>
      </c>
      <c r="E239">
        <v>-0.28047169999999999</v>
      </c>
      <c r="F239">
        <v>7.6836302726145036E-4</v>
      </c>
      <c r="G239">
        <f>G238+captured_returns_sw[[#This Row],[captured_returns]]</f>
        <v>9.3226926185724382E-2</v>
      </c>
      <c r="H239">
        <v>6.1047115458455004E-3</v>
      </c>
      <c r="I239">
        <v>7.2121724263255252E-4</v>
      </c>
      <c r="J239">
        <v>6.7407145800365458E-4</v>
      </c>
      <c r="K239">
        <v>6.2692567337475674E-4</v>
      </c>
      <c r="L239">
        <v>5.797798887458588E-4</v>
      </c>
      <c r="M239">
        <v>5.3263410411696097E-4</v>
      </c>
      <c r="N239">
        <v>4.8548831948806302E-4</v>
      </c>
    </row>
    <row r="240" spans="1:14" x14ac:dyDescent="0.35">
      <c r="A240">
        <v>238</v>
      </c>
      <c r="B240" t="s">
        <v>29</v>
      </c>
      <c r="C240" s="23">
        <v>42716</v>
      </c>
      <c r="D240">
        <v>1.19798700158742E-2</v>
      </c>
      <c r="E240">
        <v>-0.48362702000000002</v>
      </c>
      <c r="F240">
        <v>-5.7937888514907306E-3</v>
      </c>
      <c r="G240">
        <f>G239+captured_returns_sw[[#This Row],[captured_returns]]</f>
        <v>8.7433137334233649E-2</v>
      </c>
      <c r="H240">
        <v>6.0309938675541996E-3</v>
      </c>
      <c r="I240">
        <v>-5.8099689365976714E-3</v>
      </c>
      <c r="J240">
        <v>-5.826149021704613E-3</v>
      </c>
      <c r="K240">
        <v>-5.8423291068115538E-3</v>
      </c>
      <c r="L240">
        <v>-5.8585091919184946E-3</v>
      </c>
      <c r="M240">
        <v>-5.8746892770254362E-3</v>
      </c>
      <c r="N240">
        <v>-5.890869362132377E-3</v>
      </c>
    </row>
    <row r="241" spans="1:14" x14ac:dyDescent="0.35">
      <c r="A241">
        <v>239</v>
      </c>
      <c r="B241" t="s">
        <v>29</v>
      </c>
      <c r="C241" s="23">
        <v>42717</v>
      </c>
      <c r="D241">
        <v>-1.1184123957557799E-2</v>
      </c>
      <c r="E241">
        <v>-0.86441020000000002</v>
      </c>
      <c r="F241">
        <v>9.6676710682937119E-3</v>
      </c>
      <c r="G241">
        <f>G240+captured_returns_sw[[#This Row],[captured_returns]]</f>
        <v>9.7100808402527355E-2</v>
      </c>
      <c r="H241">
        <v>6.0394192978807E-3</v>
      </c>
      <c r="I241">
        <v>9.6379357623004556E-3</v>
      </c>
      <c r="J241">
        <v>9.6082004563072011E-3</v>
      </c>
      <c r="K241">
        <v>9.5784651503139449E-3</v>
      </c>
      <c r="L241">
        <v>9.5487298443206903E-3</v>
      </c>
      <c r="M241">
        <v>9.5189945383274341E-3</v>
      </c>
      <c r="N241">
        <v>9.4892592323341796E-3</v>
      </c>
    </row>
    <row r="242" spans="1:14" x14ac:dyDescent="0.35">
      <c r="A242">
        <v>240</v>
      </c>
      <c r="B242" t="s">
        <v>29</v>
      </c>
      <c r="C242" s="23">
        <v>42718</v>
      </c>
      <c r="D242">
        <v>4.4319450652802002E-3</v>
      </c>
      <c r="E242">
        <v>0.27354768000000002</v>
      </c>
      <c r="F242">
        <v>1.212348286886656E-3</v>
      </c>
      <c r="G242">
        <f>G241+captured_returns_sw[[#This Row],[captured_returns]]</f>
        <v>9.8313156689414011E-2</v>
      </c>
      <c r="H242">
        <v>6.1401420376334002E-3</v>
      </c>
      <c r="I242">
        <v>1.1236784073237727E-3</v>
      </c>
      <c r="J242">
        <v>1.0350085277608895E-3</v>
      </c>
      <c r="K242">
        <v>9.4633864819800625E-4</v>
      </c>
      <c r="L242">
        <v>8.5766876863512301E-4</v>
      </c>
      <c r="M242">
        <v>7.6899888907223978E-4</v>
      </c>
      <c r="N242">
        <v>6.8032900950935654E-4</v>
      </c>
    </row>
    <row r="243" spans="1:14" x14ac:dyDescent="0.35">
      <c r="A243">
        <v>241</v>
      </c>
      <c r="B243" t="s">
        <v>29</v>
      </c>
      <c r="C243" s="23">
        <v>42719</v>
      </c>
      <c r="D243">
        <v>3.5421683958573001E-3</v>
      </c>
      <c r="E243">
        <v>-0.34029207</v>
      </c>
      <c r="F243">
        <v>-1.2053718027352149E-3</v>
      </c>
      <c r="G243">
        <f>G242+captured_returns_sw[[#This Row],[captured_returns]]</f>
        <v>9.7107784886678802E-2</v>
      </c>
      <c r="H243">
        <v>6.0458678627917997E-3</v>
      </c>
      <c r="I243">
        <v>-1.2530122301760472E-3</v>
      </c>
      <c r="J243">
        <v>-1.3006526576168794E-3</v>
      </c>
      <c r="K243">
        <v>-1.3482930850577117E-3</v>
      </c>
      <c r="L243">
        <v>-1.3959335124985441E-3</v>
      </c>
      <c r="M243">
        <v>-1.4435739399393762E-3</v>
      </c>
      <c r="N243">
        <v>-1.4912143673802085E-3</v>
      </c>
    </row>
    <row r="244" spans="1:14" x14ac:dyDescent="0.35">
      <c r="A244">
        <v>242</v>
      </c>
      <c r="B244" t="s">
        <v>29</v>
      </c>
      <c r="C244" s="23">
        <v>42720</v>
      </c>
      <c r="D244">
        <v>-6.0426733863629999E-3</v>
      </c>
      <c r="E244">
        <v>-0.42841315000000002</v>
      </c>
      <c r="F244">
        <v>2.5887607561561449E-3</v>
      </c>
      <c r="G244">
        <f>G243+captured_returns_sw[[#This Row],[captured_returns]]</f>
        <v>9.9696545642834949E-2</v>
      </c>
      <c r="H244">
        <v>5.9485209136110996E-3</v>
      </c>
      <c r="I244">
        <v>2.5813266456260991E-3</v>
      </c>
      <c r="J244">
        <v>2.5738925350960533E-3</v>
      </c>
      <c r="K244">
        <v>2.566458424566008E-3</v>
      </c>
      <c r="L244">
        <v>2.5590243140359622E-3</v>
      </c>
      <c r="M244">
        <v>2.5515902035059164E-3</v>
      </c>
      <c r="N244">
        <v>2.5441560929758706E-3</v>
      </c>
    </row>
    <row r="245" spans="1:14" x14ac:dyDescent="0.35">
      <c r="A245">
        <v>243</v>
      </c>
      <c r="B245" t="s">
        <v>29</v>
      </c>
      <c r="C245" s="23">
        <v>42723</v>
      </c>
      <c r="D245">
        <v>4.5889917811196002E-3</v>
      </c>
      <c r="E245">
        <v>0.21369299999999999</v>
      </c>
      <c r="F245">
        <v>9.8063538821862879E-4</v>
      </c>
      <c r="G245">
        <f>G244+captured_returns_sw[[#This Row],[captured_returns]]</f>
        <v>0.10067718103105358</v>
      </c>
      <c r="H245">
        <v>5.9221394047116998E-3</v>
      </c>
      <c r="I245">
        <v>9.295611125603834E-4</v>
      </c>
      <c r="J245">
        <v>8.7848683690213813E-4</v>
      </c>
      <c r="K245">
        <v>8.2741256124389275E-4</v>
      </c>
      <c r="L245">
        <v>7.7633828558564748E-4</v>
      </c>
      <c r="M245">
        <v>7.2526400992740209E-4</v>
      </c>
      <c r="N245">
        <v>6.7418973426915671E-4</v>
      </c>
    </row>
    <row r="246" spans="1:14" x14ac:dyDescent="0.35">
      <c r="A246">
        <v>244</v>
      </c>
      <c r="B246" t="s">
        <v>29</v>
      </c>
      <c r="C246" s="23">
        <v>42724</v>
      </c>
      <c r="D246">
        <v>-4.2887876212280001E-3</v>
      </c>
      <c r="E246">
        <v>-0.29690844</v>
      </c>
      <c r="F246">
        <v>1.2733772344148263E-3</v>
      </c>
      <c r="G246">
        <f>G245+captured_returns_sw[[#This Row],[captured_returns]]</f>
        <v>0.10195055826546841</v>
      </c>
      <c r="H246">
        <v>5.8324627656216998E-3</v>
      </c>
      <c r="I246">
        <v>1.2322783512519558E-3</v>
      </c>
      <c r="J246">
        <v>1.1911794680890852E-3</v>
      </c>
      <c r="K246">
        <v>1.1500805849262146E-3</v>
      </c>
      <c r="L246">
        <v>1.1089817017633438E-3</v>
      </c>
      <c r="M246">
        <v>1.0678828186004732E-3</v>
      </c>
      <c r="N246">
        <v>1.0267839354376027E-3</v>
      </c>
    </row>
    <row r="247" spans="1:14" x14ac:dyDescent="0.35">
      <c r="A247">
        <v>245</v>
      </c>
      <c r="B247" t="s">
        <v>29</v>
      </c>
      <c r="C247" s="23">
        <v>42725</v>
      </c>
      <c r="D247">
        <v>-1.2661024548221E-3</v>
      </c>
      <c r="E247">
        <v>0.35384884</v>
      </c>
      <c r="F247">
        <v>-4.4800889099497773E-4</v>
      </c>
      <c r="G247">
        <f>G246+captured_returns_sw[[#This Row],[captured_returns]]</f>
        <v>0.10150254937447344</v>
      </c>
      <c r="H247">
        <v>5.7777091431031003E-3</v>
      </c>
      <c r="I247">
        <v>-5.0099477936210452E-4</v>
      </c>
      <c r="J247">
        <v>-5.5398066772923131E-4</v>
      </c>
      <c r="K247">
        <v>-6.06966556096358E-4</v>
      </c>
      <c r="L247">
        <v>-6.5995244446348479E-4</v>
      </c>
      <c r="M247">
        <v>-7.1293833283061158E-4</v>
      </c>
      <c r="N247">
        <v>-7.6592422119773837E-4</v>
      </c>
    </row>
    <row r="248" spans="1:14" x14ac:dyDescent="0.35">
      <c r="A248">
        <v>246</v>
      </c>
      <c r="B248" t="s">
        <v>29</v>
      </c>
      <c r="C248" s="23">
        <v>42726</v>
      </c>
      <c r="D248">
        <v>9.1869095660220002E-4</v>
      </c>
      <c r="E248">
        <v>0.20581257</v>
      </c>
      <c r="F248">
        <v>1.8907814996785199E-4</v>
      </c>
      <c r="G248">
        <f>G247+captured_returns_sw[[#This Row],[captured_returns]]</f>
        <v>0.10169162752444129</v>
      </c>
      <c r="H248">
        <v>5.6919803850923999E-3</v>
      </c>
      <c r="I248">
        <v>1.7722638577997088E-4</v>
      </c>
      <c r="J248">
        <v>1.6537462159208979E-4</v>
      </c>
      <c r="K248">
        <v>1.5352285740420868E-4</v>
      </c>
      <c r="L248">
        <v>1.4167109321632757E-4</v>
      </c>
      <c r="M248">
        <v>1.2981932902844645E-4</v>
      </c>
      <c r="N248">
        <v>1.1796756484056536E-4</v>
      </c>
    </row>
    <row r="249" spans="1:14" x14ac:dyDescent="0.35">
      <c r="A249">
        <v>247</v>
      </c>
      <c r="B249" t="s">
        <v>29</v>
      </c>
      <c r="C249" s="23">
        <v>42727</v>
      </c>
      <c r="D249">
        <v>7.4680809548909998E-4</v>
      </c>
      <c r="E249">
        <v>-5.8109290000000001E-2</v>
      </c>
      <c r="F249">
        <v>-4.3396488865642631E-5</v>
      </c>
      <c r="G249">
        <f>G248+captured_returns_sw[[#This Row],[captured_returns]]</f>
        <v>0.10164823103557565</v>
      </c>
      <c r="H249">
        <v>5.5985238467189001E-3</v>
      </c>
      <c r="I249">
        <v>-6.5383503683716338E-5</v>
      </c>
      <c r="J249">
        <v>-8.7370518501790059E-5</v>
      </c>
      <c r="K249">
        <v>-1.0935753331986378E-4</v>
      </c>
      <c r="L249">
        <v>-1.3134454813793747E-4</v>
      </c>
      <c r="M249">
        <v>-1.5333156295601122E-4</v>
      </c>
      <c r="N249">
        <v>-1.7531857777408491E-4</v>
      </c>
    </row>
    <row r="250" spans="1:14" x14ac:dyDescent="0.35">
      <c r="A250">
        <v>248</v>
      </c>
      <c r="B250" t="s">
        <v>29</v>
      </c>
      <c r="C250" s="23">
        <v>42731</v>
      </c>
      <c r="D250">
        <v>-1.19526134656697E-2</v>
      </c>
      <c r="E250">
        <v>-1.2119187999999999E-2</v>
      </c>
      <c r="F250">
        <v>1.4485596936431757E-4</v>
      </c>
      <c r="G250">
        <f>G249+captured_returns_sw[[#This Row],[captured_returns]]</f>
        <v>0.10179308700493997</v>
      </c>
      <c r="H250">
        <v>5.5069116547371002E-3</v>
      </c>
      <c r="I250">
        <v>1.4099190977932434E-4</v>
      </c>
      <c r="J250">
        <v>1.3712785019433108E-4</v>
      </c>
      <c r="K250">
        <v>1.3326379060933785E-4</v>
      </c>
      <c r="L250">
        <v>1.2939973102434461E-4</v>
      </c>
      <c r="M250">
        <v>1.2553567143935135E-4</v>
      </c>
      <c r="N250">
        <v>1.2167161185435812E-4</v>
      </c>
    </row>
    <row r="251" spans="1:14" x14ac:dyDescent="0.35">
      <c r="A251">
        <v>249</v>
      </c>
      <c r="B251" t="s">
        <v>29</v>
      </c>
      <c r="C251" s="23">
        <v>42732</v>
      </c>
      <c r="D251">
        <v>-1.878428412855E-4</v>
      </c>
      <c r="E251">
        <v>0.70805709999999999</v>
      </c>
      <c r="F251">
        <v>-1.3300345849725164E-4</v>
      </c>
      <c r="G251">
        <f>G250+captured_returns_sw[[#This Row],[captured_returns]]</f>
        <v>0.10166008354644272</v>
      </c>
      <c r="H251">
        <v>5.6010782957315996E-3</v>
      </c>
      <c r="I251">
        <v>-1.9376840802049839E-4</v>
      </c>
      <c r="J251">
        <v>-2.5453335754374519E-4</v>
      </c>
      <c r="K251">
        <v>-3.1529830706699194E-4</v>
      </c>
      <c r="L251">
        <v>-3.7606325659023869E-4</v>
      </c>
      <c r="M251">
        <v>-4.3682820611348544E-4</v>
      </c>
      <c r="N251">
        <v>-4.9759315563673218E-4</v>
      </c>
    </row>
    <row r="252" spans="1:14" x14ac:dyDescent="0.35">
      <c r="A252">
        <v>250</v>
      </c>
      <c r="B252" t="s">
        <v>29</v>
      </c>
      <c r="C252" s="23">
        <v>42733</v>
      </c>
      <c r="D252">
        <v>-6.6832501146895998E-3</v>
      </c>
      <c r="E252">
        <v>0.56119039999999998</v>
      </c>
      <c r="F252">
        <v>-3.7505759812639363E-3</v>
      </c>
      <c r="G252">
        <f>G251+captured_returns_sw[[#This Row],[captured_returns]]</f>
        <v>9.7909507565178786E-2</v>
      </c>
      <c r="H252">
        <v>5.5105504379850999E-3</v>
      </c>
      <c r="I252">
        <v>-3.7621866532386227E-3</v>
      </c>
      <c r="J252">
        <v>-3.7737973252133087E-3</v>
      </c>
      <c r="K252">
        <v>-3.7854079971879951E-3</v>
      </c>
      <c r="L252">
        <v>-3.7970186691626815E-3</v>
      </c>
      <c r="M252">
        <v>-3.8086293411373675E-3</v>
      </c>
      <c r="N252">
        <v>-3.8202400131120539E-3</v>
      </c>
    </row>
    <row r="253" spans="1:14" x14ac:dyDescent="0.35">
      <c r="A253">
        <v>251</v>
      </c>
      <c r="B253" t="s">
        <v>29</v>
      </c>
      <c r="C253" s="23">
        <v>42734</v>
      </c>
      <c r="D253">
        <v>1.25252427205748E-2</v>
      </c>
      <c r="E253">
        <v>0.75954270000000002</v>
      </c>
      <c r="F253">
        <v>9.5134567195890741E-3</v>
      </c>
      <c r="G253">
        <f>G252+captured_returns_sw[[#This Row],[captured_returns]]</f>
        <v>0.10742296428476786</v>
      </c>
      <c r="H253">
        <v>5.4819850874647004E-3</v>
      </c>
      <c r="I253">
        <v>9.4961113503235703E-3</v>
      </c>
      <c r="J253">
        <v>9.4787659810580665E-3</v>
      </c>
      <c r="K253">
        <v>9.461420611792561E-3</v>
      </c>
      <c r="L253">
        <v>9.4440752425270572E-3</v>
      </c>
      <c r="M253">
        <v>9.4267298732615534E-3</v>
      </c>
      <c r="N253">
        <v>9.4093845039960496E-3</v>
      </c>
    </row>
    <row r="254" spans="1:14" x14ac:dyDescent="0.35">
      <c r="A254">
        <v>0</v>
      </c>
      <c r="B254" t="s">
        <v>29</v>
      </c>
      <c r="C254" s="23">
        <v>42738</v>
      </c>
      <c r="D254">
        <v>8.9218860126241001E-3</v>
      </c>
      <c r="E254">
        <v>-0.67428849999999996</v>
      </c>
      <c r="F254">
        <v>-6.0159252372286587E-3</v>
      </c>
      <c r="G254">
        <f>G253+F254</f>
        <v>0.1014070390475392</v>
      </c>
      <c r="H254">
        <v>5.5246832740405002E-3</v>
      </c>
      <c r="I254">
        <v>-6.0159252372286587E-3</v>
      </c>
      <c r="J254">
        <v>-6.0159252372286587E-3</v>
      </c>
      <c r="K254">
        <v>-6.0159252372286587E-3</v>
      </c>
      <c r="L254">
        <v>-6.0159252372286587E-3</v>
      </c>
      <c r="M254">
        <v>-6.0159252372286587E-3</v>
      </c>
      <c r="N254">
        <v>-6.0159252372286587E-3</v>
      </c>
    </row>
    <row r="255" spans="1:14" x14ac:dyDescent="0.35">
      <c r="A255">
        <v>1</v>
      </c>
      <c r="B255" t="s">
        <v>29</v>
      </c>
      <c r="C255" s="23">
        <v>42739</v>
      </c>
      <c r="D255">
        <v>0</v>
      </c>
      <c r="E255">
        <v>-0.49713063000000002</v>
      </c>
      <c r="F255">
        <v>0</v>
      </c>
      <c r="G255">
        <f t="shared" ref="G255:G318" si="0">G254+F255</f>
        <v>0.1014070390475392</v>
      </c>
      <c r="H255">
        <v>5.4917387029526001E-3</v>
      </c>
      <c r="I255">
        <v>-1.489501558161342E-5</v>
      </c>
      <c r="J255">
        <v>-2.979003116322684E-5</v>
      </c>
      <c r="K255">
        <v>-4.4685046744840261E-5</v>
      </c>
      <c r="L255">
        <v>-5.9580062326453679E-5</v>
      </c>
      <c r="M255">
        <v>-7.447507790806709E-5</v>
      </c>
      <c r="N255">
        <v>-8.9370093489680522E-5</v>
      </c>
    </row>
    <row r="256" spans="1:14" x14ac:dyDescent="0.35">
      <c r="A256">
        <v>2</v>
      </c>
      <c r="B256" t="s">
        <v>29</v>
      </c>
      <c r="C256" s="23">
        <v>42740</v>
      </c>
      <c r="D256">
        <v>5.5992868939818002E-3</v>
      </c>
      <c r="E256">
        <v>-4.490539E-3</v>
      </c>
      <c r="F256">
        <v>-2.5143815978738218E-5</v>
      </c>
      <c r="G256">
        <f t="shared" si="0"/>
        <v>0.10138189523156046</v>
      </c>
      <c r="H256">
        <v>5.4034594733661998E-3</v>
      </c>
      <c r="I256">
        <v>-6.751945093883082E-5</v>
      </c>
      <c r="J256">
        <v>-1.0989508589892342E-4</v>
      </c>
      <c r="K256">
        <v>-1.5227072085901601E-4</v>
      </c>
      <c r="L256">
        <v>-1.9464635581910864E-4</v>
      </c>
      <c r="M256">
        <v>-2.3702199077920121E-4</v>
      </c>
      <c r="N256">
        <v>-2.7939762573929384E-4</v>
      </c>
    </row>
    <row r="257" spans="1:14" x14ac:dyDescent="0.35">
      <c r="A257">
        <v>3</v>
      </c>
      <c r="B257" t="s">
        <v>29</v>
      </c>
      <c r="C257" s="23">
        <v>42741</v>
      </c>
      <c r="D257">
        <v>-5.0726115647981001E-3</v>
      </c>
      <c r="E257">
        <v>-0.57142820000000005</v>
      </c>
      <c r="F257">
        <v>2.8986331930052462E-3</v>
      </c>
      <c r="G257">
        <f t="shared" si="0"/>
        <v>0.10428052842456571</v>
      </c>
      <c r="H257">
        <v>5.3304024106030001E-3</v>
      </c>
      <c r="I257">
        <v>2.8483777850702957E-3</v>
      </c>
      <c r="J257">
        <v>2.7981223771353452E-3</v>
      </c>
      <c r="K257">
        <v>2.7478669692003951E-3</v>
      </c>
      <c r="L257">
        <v>2.6976115612654446E-3</v>
      </c>
      <c r="M257">
        <v>2.6473561533304941E-3</v>
      </c>
      <c r="N257">
        <v>2.5971007453955437E-3</v>
      </c>
    </row>
    <row r="258" spans="1:14" x14ac:dyDescent="0.35">
      <c r="A258">
        <v>4</v>
      </c>
      <c r="B258" t="s">
        <v>29</v>
      </c>
      <c r="C258" s="23">
        <v>42744</v>
      </c>
      <c r="D258">
        <v>-9.8632434451580001E-4</v>
      </c>
      <c r="E258">
        <v>0.39718340000000002</v>
      </c>
      <c r="F258">
        <v>-3.9175164528681858E-4</v>
      </c>
      <c r="G258">
        <f t="shared" si="0"/>
        <v>0.10388877677927889</v>
      </c>
      <c r="H258">
        <v>5.2870454373330003E-3</v>
      </c>
      <c r="I258">
        <v>-4.7789238687119594E-4</v>
      </c>
      <c r="J258">
        <v>-5.6403312845557324E-4</v>
      </c>
      <c r="K258">
        <v>-6.5017387003995055E-4</v>
      </c>
      <c r="L258">
        <v>-7.3631461162432786E-4</v>
      </c>
      <c r="M258">
        <v>-8.2245535320870527E-4</v>
      </c>
      <c r="N258">
        <v>-9.0859609479308247E-4</v>
      </c>
    </row>
    <row r="259" spans="1:14" x14ac:dyDescent="0.35">
      <c r="A259">
        <v>5</v>
      </c>
      <c r="B259" t="s">
        <v>29</v>
      </c>
      <c r="C259" s="23">
        <v>42745</v>
      </c>
      <c r="D259">
        <v>5.4124514280494999E-3</v>
      </c>
      <c r="E259">
        <v>-0.32570814999999997</v>
      </c>
      <c r="F259">
        <v>-1.7628795462693106E-3</v>
      </c>
      <c r="G259">
        <f t="shared" si="0"/>
        <v>0.10212589723300958</v>
      </c>
      <c r="H259">
        <v>5.2056178893609998E-3</v>
      </c>
      <c r="I259">
        <v>-1.8279331258899683E-3</v>
      </c>
      <c r="J259">
        <v>-1.8929867055106258E-3</v>
      </c>
      <c r="K259">
        <v>-1.9580402851312835E-3</v>
      </c>
      <c r="L259">
        <v>-2.0230938647519412E-3</v>
      </c>
      <c r="M259">
        <v>-2.0881474443725989E-3</v>
      </c>
      <c r="N259">
        <v>-2.1532010239932566E-3</v>
      </c>
    </row>
    <row r="260" spans="1:14" x14ac:dyDescent="0.35">
      <c r="A260">
        <v>6</v>
      </c>
      <c r="B260" t="s">
        <v>29</v>
      </c>
      <c r="C260" s="23">
        <v>42746</v>
      </c>
      <c r="D260">
        <v>-5.6735473722168001E-3</v>
      </c>
      <c r="E260">
        <v>-0.31291511999999999</v>
      </c>
      <c r="F260">
        <v>1.7753387372208727E-3</v>
      </c>
      <c r="G260">
        <f t="shared" si="0"/>
        <v>0.10390123597023045</v>
      </c>
      <c r="H260">
        <v>5.1346735451078002E-3</v>
      </c>
      <c r="I260">
        <v>1.7745700480283871E-3</v>
      </c>
      <c r="J260">
        <v>1.7738013588359013E-3</v>
      </c>
      <c r="K260">
        <v>1.7730326696434157E-3</v>
      </c>
      <c r="L260">
        <v>1.7722639804509299E-3</v>
      </c>
      <c r="M260">
        <v>1.7714952912584443E-3</v>
      </c>
      <c r="N260">
        <v>1.7707266020659585E-3</v>
      </c>
    </row>
    <row r="261" spans="1:14" x14ac:dyDescent="0.35">
      <c r="A261">
        <v>7</v>
      </c>
      <c r="B261" t="s">
        <v>29</v>
      </c>
      <c r="C261" s="23">
        <v>42747</v>
      </c>
      <c r="D261">
        <v>7.3679466039625E-3</v>
      </c>
      <c r="E261">
        <v>0.28013032999999998</v>
      </c>
      <c r="F261">
        <v>2.0639852896290533E-3</v>
      </c>
      <c r="G261">
        <f t="shared" si="0"/>
        <v>0.10596522125985949</v>
      </c>
      <c r="H261">
        <v>5.0992526403045996E-3</v>
      </c>
      <c r="I261">
        <v>2.0092384836742998E-3</v>
      </c>
      <c r="J261">
        <v>1.9544916777195459E-3</v>
      </c>
      <c r="K261">
        <v>1.8997448717647922E-3</v>
      </c>
      <c r="L261">
        <v>1.8449980658100384E-3</v>
      </c>
      <c r="M261">
        <v>1.7902512598552847E-3</v>
      </c>
      <c r="N261">
        <v>1.735504453900531E-3</v>
      </c>
    </row>
    <row r="262" spans="1:14" x14ac:dyDescent="0.35">
      <c r="A262">
        <v>8</v>
      </c>
      <c r="B262" t="s">
        <v>29</v>
      </c>
      <c r="C262" s="23">
        <v>42748</v>
      </c>
      <c r="D262">
        <v>-8.0299811690643999E-3</v>
      </c>
      <c r="E262">
        <v>-0.59769267000000004</v>
      </c>
      <c r="F262">
        <v>4.7994608724446532E-3</v>
      </c>
      <c r="G262">
        <f t="shared" si="0"/>
        <v>0.11076468213230414</v>
      </c>
      <c r="H262">
        <v>5.0486723382121004E-3</v>
      </c>
      <c r="I262">
        <v>4.7175740774088497E-3</v>
      </c>
      <c r="J262">
        <v>4.6356872823730471E-3</v>
      </c>
      <c r="K262">
        <v>4.5538004873372437E-3</v>
      </c>
      <c r="L262">
        <v>4.4719136923014402E-3</v>
      </c>
      <c r="M262">
        <v>4.3900268972656377E-3</v>
      </c>
      <c r="N262">
        <v>4.3081401022298342E-3</v>
      </c>
    </row>
    <row r="263" spans="1:14" x14ac:dyDescent="0.35">
      <c r="A263">
        <v>9</v>
      </c>
      <c r="B263" t="s">
        <v>29</v>
      </c>
      <c r="C263" s="23">
        <v>42752</v>
      </c>
      <c r="D263">
        <v>3.1009815047108999E-3</v>
      </c>
      <c r="E263">
        <v>0.40912520000000002</v>
      </c>
      <c r="F263">
        <v>1.2686897057693322E-3</v>
      </c>
      <c r="G263">
        <f t="shared" si="0"/>
        <v>0.11203337183807348</v>
      </c>
      <c r="H263">
        <v>5.0499433570339999E-3</v>
      </c>
      <c r="I263">
        <v>1.1744811573230578E-3</v>
      </c>
      <c r="J263">
        <v>1.0802726088767834E-3</v>
      </c>
      <c r="K263">
        <v>9.8606406043050894E-4</v>
      </c>
      <c r="L263">
        <v>8.9185551198423451E-4</v>
      </c>
      <c r="M263">
        <v>7.9764696353796019E-4</v>
      </c>
      <c r="N263">
        <v>7.0343841509168576E-4</v>
      </c>
    </row>
    <row r="264" spans="1:14" x14ac:dyDescent="0.35">
      <c r="A264">
        <v>10</v>
      </c>
      <c r="B264" t="s">
        <v>29</v>
      </c>
      <c r="C264" s="23">
        <v>42753</v>
      </c>
      <c r="D264">
        <v>-4.1945137864386004E-3</v>
      </c>
      <c r="E264">
        <v>-0.47156677000000002</v>
      </c>
      <c r="F264">
        <v>1.9779933033125066E-3</v>
      </c>
      <c r="G264">
        <f t="shared" si="0"/>
        <v>0.11401136514138599</v>
      </c>
      <c r="H264">
        <v>4.9696252819863996E-3</v>
      </c>
      <c r="I264">
        <v>1.8948857162051633E-3</v>
      </c>
      <c r="J264">
        <v>1.8117781290978199E-3</v>
      </c>
      <c r="K264">
        <v>1.7286705419904767E-3</v>
      </c>
      <c r="L264">
        <v>1.6455629548831334E-3</v>
      </c>
      <c r="M264">
        <v>1.5624553677757902E-3</v>
      </c>
      <c r="N264">
        <v>1.4793477806684468E-3</v>
      </c>
    </row>
    <row r="265" spans="1:14" x14ac:dyDescent="0.35">
      <c r="A265">
        <v>11</v>
      </c>
      <c r="B265" t="s">
        <v>29</v>
      </c>
      <c r="C265" s="23">
        <v>42754</v>
      </c>
      <c r="D265">
        <v>3.8252070083909001E-3</v>
      </c>
      <c r="E265">
        <v>0.23821068000000001</v>
      </c>
      <c r="F265">
        <v>9.1120515534391005E-4</v>
      </c>
      <c r="G265">
        <f t="shared" si="0"/>
        <v>0.11492257029672991</v>
      </c>
      <c r="H265">
        <v>4.9153219328544996E-3</v>
      </c>
      <c r="I265">
        <v>8.4347737599345537E-4</v>
      </c>
      <c r="J265">
        <v>7.7574959664300069E-4</v>
      </c>
      <c r="K265">
        <v>7.080218172925459E-4</v>
      </c>
      <c r="L265">
        <v>6.4029403794209122E-4</v>
      </c>
      <c r="M265">
        <v>5.7256625859163643E-4</v>
      </c>
      <c r="N265">
        <v>5.0483847924118175E-4</v>
      </c>
    </row>
    <row r="266" spans="1:14" x14ac:dyDescent="0.35">
      <c r="A266">
        <v>12</v>
      </c>
      <c r="B266" t="s">
        <v>29</v>
      </c>
      <c r="C266" s="23">
        <v>42755</v>
      </c>
      <c r="D266">
        <v>-3.4459299087385002E-3</v>
      </c>
      <c r="E266">
        <v>-0.55697680000000005</v>
      </c>
      <c r="F266">
        <v>1.9193029970410521E-3</v>
      </c>
      <c r="G266">
        <f t="shared" si="0"/>
        <v>0.11684187329377096</v>
      </c>
      <c r="H266">
        <v>4.8404377015581999E-3</v>
      </c>
      <c r="I266">
        <v>1.8420421785189862E-3</v>
      </c>
      <c r="J266">
        <v>1.7647813599969203E-3</v>
      </c>
      <c r="K266">
        <v>1.6875205414748544E-3</v>
      </c>
      <c r="L266">
        <v>1.6102597229527885E-3</v>
      </c>
      <c r="M266">
        <v>1.5329989044307226E-3</v>
      </c>
      <c r="N266">
        <v>1.4557380859086567E-3</v>
      </c>
    </row>
    <row r="267" spans="1:14" x14ac:dyDescent="0.35">
      <c r="A267">
        <v>13</v>
      </c>
      <c r="B267" t="s">
        <v>29</v>
      </c>
      <c r="C267" s="23">
        <v>42758</v>
      </c>
      <c r="D267">
        <v>1.09235254141128E-2</v>
      </c>
      <c r="E267">
        <v>0.25153762000000002</v>
      </c>
      <c r="F267">
        <v>2.7476775958313248E-3</v>
      </c>
      <c r="G267">
        <f t="shared" si="0"/>
        <v>0.11958955088960228</v>
      </c>
      <c r="H267">
        <v>4.7801946078767999E-3</v>
      </c>
      <c r="I267">
        <v>2.6684523500802807E-3</v>
      </c>
      <c r="J267">
        <v>2.5892271043292362E-3</v>
      </c>
      <c r="K267">
        <v>2.510001858578192E-3</v>
      </c>
      <c r="L267">
        <v>2.4307766128271475E-3</v>
      </c>
      <c r="M267">
        <v>2.3515513670761034E-3</v>
      </c>
      <c r="N267">
        <v>2.2723261213250592E-3</v>
      </c>
    </row>
    <row r="268" spans="1:14" x14ac:dyDescent="0.35">
      <c r="A268">
        <v>14</v>
      </c>
      <c r="B268" t="s">
        <v>29</v>
      </c>
      <c r="C268" s="23">
        <v>42759</v>
      </c>
      <c r="D268">
        <v>1.6931604065101701E-2</v>
      </c>
      <c r="E268">
        <v>-0.72334520000000002</v>
      </c>
      <c r="F268">
        <v>-1.2247394868930098E-2</v>
      </c>
      <c r="G268">
        <f t="shared" si="0"/>
        <v>0.10734215602067218</v>
      </c>
      <c r="H268">
        <v>4.7845550368184999E-3</v>
      </c>
      <c r="I268">
        <v>-1.2343683293218038E-2</v>
      </c>
      <c r="J268">
        <v>-1.2439971717505979E-2</v>
      </c>
      <c r="K268">
        <v>-1.2536260141793919E-2</v>
      </c>
      <c r="L268">
        <v>-1.2632548566081861E-2</v>
      </c>
      <c r="M268">
        <v>-1.27288369903698E-2</v>
      </c>
      <c r="N268">
        <v>-1.2825125414657742E-2</v>
      </c>
    </row>
    <row r="269" spans="1:14" x14ac:dyDescent="0.35">
      <c r="A269">
        <v>15</v>
      </c>
      <c r="B269" t="s">
        <v>29</v>
      </c>
      <c r="C269" s="23">
        <v>42760</v>
      </c>
      <c r="D269">
        <v>0</v>
      </c>
      <c r="E269">
        <v>-0.7149778</v>
      </c>
      <c r="F269">
        <v>0</v>
      </c>
      <c r="G269">
        <f t="shared" si="0"/>
        <v>0.10734215602067218</v>
      </c>
      <c r="H269">
        <v>4.9114312426533002E-3</v>
      </c>
      <c r="I269">
        <v>-2.6500761262619909E-6</v>
      </c>
      <c r="J269">
        <v>-5.3001522525239819E-6</v>
      </c>
      <c r="K269">
        <v>-7.9502283787859737E-6</v>
      </c>
      <c r="L269">
        <v>-1.0600304505047964E-5</v>
      </c>
      <c r="M269">
        <v>-1.3250380631309956E-5</v>
      </c>
      <c r="N269">
        <v>-1.5900456757571947E-5</v>
      </c>
    </row>
    <row r="270" spans="1:14" x14ac:dyDescent="0.35">
      <c r="A270">
        <v>16</v>
      </c>
      <c r="B270" t="s">
        <v>29</v>
      </c>
      <c r="C270" s="23">
        <v>42761</v>
      </c>
      <c r="D270">
        <v>-4.2609117990259999E-3</v>
      </c>
      <c r="E270">
        <v>2.00836E-2</v>
      </c>
      <c r="F270">
        <v>-8.5574450998659877E-5</v>
      </c>
      <c r="G270">
        <f t="shared" si="0"/>
        <v>0.10725658156967352</v>
      </c>
      <c r="H270">
        <v>4.8335368625204E-3</v>
      </c>
      <c r="I270">
        <v>-1.5631488882777051E-4</v>
      </c>
      <c r="J270">
        <v>-2.2705532665688116E-4</v>
      </c>
      <c r="K270">
        <v>-2.9779576448599188E-4</v>
      </c>
      <c r="L270">
        <v>-3.6853620231510243E-4</v>
      </c>
      <c r="M270">
        <v>-4.3927664014421308E-4</v>
      </c>
      <c r="N270">
        <v>-5.1001707797332385E-4</v>
      </c>
    </row>
    <row r="271" spans="1:14" x14ac:dyDescent="0.35">
      <c r="A271">
        <v>17</v>
      </c>
      <c r="B271" t="s">
        <v>29</v>
      </c>
      <c r="C271" s="23">
        <v>42762</v>
      </c>
      <c r="D271">
        <v>-1.1210571978052E-2</v>
      </c>
      <c r="E271">
        <v>-0.22448781000000001</v>
      </c>
      <c r="F271">
        <v>2.5166367670764727E-3</v>
      </c>
      <c r="G271">
        <f t="shared" si="0"/>
        <v>0.10977321833674999</v>
      </c>
      <c r="H271">
        <v>4.7869707837213003E-3</v>
      </c>
      <c r="I271">
        <v>2.492517604165816E-3</v>
      </c>
      <c r="J271">
        <v>2.4683984412551593E-3</v>
      </c>
      <c r="K271">
        <v>2.4442792783445026E-3</v>
      </c>
      <c r="L271">
        <v>2.4201601154338454E-3</v>
      </c>
      <c r="M271">
        <v>2.3960409525231887E-3</v>
      </c>
      <c r="N271">
        <v>2.371921789612532E-3</v>
      </c>
    </row>
    <row r="272" spans="1:14" x14ac:dyDescent="0.35">
      <c r="A272">
        <v>18</v>
      </c>
      <c r="B272" t="s">
        <v>29</v>
      </c>
      <c r="C272" s="23">
        <v>42765</v>
      </c>
      <c r="D272">
        <v>-1.2834811264854E-3</v>
      </c>
      <c r="E272">
        <v>0.27664348</v>
      </c>
      <c r="F272">
        <v>-3.5506669154555413E-4</v>
      </c>
      <c r="G272">
        <f t="shared" si="0"/>
        <v>0.10941815164520444</v>
      </c>
      <c r="H272">
        <v>4.8519967715140002E-3</v>
      </c>
      <c r="I272">
        <v>-4.0416050276084704E-4</v>
      </c>
      <c r="J272">
        <v>-4.5325431397614E-4</v>
      </c>
      <c r="K272">
        <v>-5.0234812519143286E-4</v>
      </c>
      <c r="L272">
        <v>-5.5144193640672588E-4</v>
      </c>
      <c r="M272">
        <v>-6.0053574762201879E-4</v>
      </c>
      <c r="N272">
        <v>-6.496295588373117E-4</v>
      </c>
    </row>
    <row r="273" spans="1:14" x14ac:dyDescent="0.35">
      <c r="A273">
        <v>19</v>
      </c>
      <c r="B273" t="s">
        <v>29</v>
      </c>
      <c r="C273" s="23">
        <v>42766</v>
      </c>
      <c r="D273">
        <v>0</v>
      </c>
      <c r="E273">
        <v>-0.41752331999999998</v>
      </c>
      <c r="F273">
        <v>0</v>
      </c>
      <c r="G273">
        <f t="shared" si="0"/>
        <v>0.10941815164520444</v>
      </c>
      <c r="H273">
        <v>4.7775213996676001E-3</v>
      </c>
      <c r="I273">
        <v>-6.8227176933726048E-5</v>
      </c>
      <c r="J273">
        <v>-1.364543538674521E-4</v>
      </c>
      <c r="K273">
        <v>-2.0468153080117815E-4</v>
      </c>
      <c r="L273">
        <v>-2.7290870773490419E-4</v>
      </c>
      <c r="M273">
        <v>-3.4113588466863019E-4</v>
      </c>
      <c r="N273">
        <v>-4.0936306160235629E-4</v>
      </c>
    </row>
    <row r="274" spans="1:14" x14ac:dyDescent="0.35">
      <c r="A274">
        <v>20</v>
      </c>
      <c r="B274" t="s">
        <v>29</v>
      </c>
      <c r="C274" s="23">
        <v>42767</v>
      </c>
      <c r="D274">
        <v>8.8394838453219999E-4</v>
      </c>
      <c r="E274">
        <v>-0.24481776</v>
      </c>
      <c r="F274">
        <v>-2.1640626660980995E-4</v>
      </c>
      <c r="G274">
        <f t="shared" si="0"/>
        <v>0.10920174537859463</v>
      </c>
      <c r="H274">
        <v>4.6997866257085996E-3</v>
      </c>
      <c r="I274">
        <v>-2.3308491254412126E-4</v>
      </c>
      <c r="J274">
        <v>-2.4976355847843257E-4</v>
      </c>
      <c r="K274">
        <v>-2.6644220441274387E-4</v>
      </c>
      <c r="L274">
        <v>-2.8312085034705518E-4</v>
      </c>
      <c r="M274">
        <v>-2.9979949628136649E-4</v>
      </c>
      <c r="N274">
        <v>-3.1647814221567785E-4</v>
      </c>
    </row>
    <row r="275" spans="1:14" x14ac:dyDescent="0.35">
      <c r="A275">
        <v>21</v>
      </c>
      <c r="B275" t="s">
        <v>29</v>
      </c>
      <c r="C275" s="23">
        <v>42768</v>
      </c>
      <c r="D275">
        <v>1.3925156142382499E-2</v>
      </c>
      <c r="E275">
        <v>-0.25044601999999999</v>
      </c>
      <c r="F275">
        <v>-3.4874999554176888E-3</v>
      </c>
      <c r="G275">
        <f t="shared" si="0"/>
        <v>0.10571424542317694</v>
      </c>
      <c r="H275">
        <v>4.6221684985020004E-3</v>
      </c>
      <c r="I275">
        <v>-3.4884885259306559E-3</v>
      </c>
      <c r="J275">
        <v>-3.489477096443623E-3</v>
      </c>
      <c r="K275">
        <v>-3.4904656669565897E-3</v>
      </c>
      <c r="L275">
        <v>-3.4914542374695568E-3</v>
      </c>
      <c r="M275">
        <v>-3.4924428079825239E-3</v>
      </c>
      <c r="N275">
        <v>-3.493431378495491E-3</v>
      </c>
    </row>
    <row r="276" spans="1:14" x14ac:dyDescent="0.35">
      <c r="A276">
        <v>22</v>
      </c>
      <c r="B276" t="s">
        <v>29</v>
      </c>
      <c r="C276" s="23">
        <v>42769</v>
      </c>
      <c r="D276">
        <v>-3.9644207452079003E-3</v>
      </c>
      <c r="E276">
        <v>-0.71865140000000005</v>
      </c>
      <c r="F276">
        <v>2.849036573907691E-3</v>
      </c>
      <c r="G276">
        <f t="shared" si="0"/>
        <v>0.10856328199708462</v>
      </c>
      <c r="H276">
        <v>4.6816470942794997E-3</v>
      </c>
      <c r="I276">
        <v>2.802112135288656E-3</v>
      </c>
      <c r="J276">
        <v>2.7551876966696205E-3</v>
      </c>
      <c r="K276">
        <v>2.7082632580505855E-3</v>
      </c>
      <c r="L276">
        <v>2.6613388194315505E-3</v>
      </c>
      <c r="M276">
        <v>2.6144143808125154E-3</v>
      </c>
      <c r="N276">
        <v>2.56748994219348E-3</v>
      </c>
    </row>
    <row r="277" spans="1:14" x14ac:dyDescent="0.35">
      <c r="A277">
        <v>23</v>
      </c>
      <c r="B277" t="s">
        <v>29</v>
      </c>
      <c r="C277" s="23">
        <v>42772</v>
      </c>
      <c r="D277">
        <v>1.7849051547174999E-3</v>
      </c>
      <c r="E277">
        <v>0.20723691999999999</v>
      </c>
      <c r="F277">
        <v>3.6989823930700749E-4</v>
      </c>
      <c r="G277">
        <f t="shared" si="0"/>
        <v>0.10893318023639163</v>
      </c>
      <c r="H277">
        <v>4.6305719305069996E-3</v>
      </c>
      <c r="I277">
        <v>2.7623011714973222E-4</v>
      </c>
      <c r="J277">
        <v>1.8256199499245697E-4</v>
      </c>
      <c r="K277">
        <v>8.8893872835181672E-5</v>
      </c>
      <c r="L277">
        <v>-4.774249322093548E-6</v>
      </c>
      <c r="M277">
        <v>-9.8442371479368822E-5</v>
      </c>
      <c r="N277">
        <v>-1.9211049363664415E-4</v>
      </c>
    </row>
    <row r="278" spans="1:14" x14ac:dyDescent="0.35">
      <c r="A278">
        <v>24</v>
      </c>
      <c r="B278" t="s">
        <v>29</v>
      </c>
      <c r="C278" s="23">
        <v>42773</v>
      </c>
      <c r="D278">
        <v>1.5866128714761001E-3</v>
      </c>
      <c r="E278">
        <v>-0.55032119999999995</v>
      </c>
      <c r="F278">
        <v>-8.7314673324293392E-4</v>
      </c>
      <c r="G278">
        <f t="shared" si="0"/>
        <v>0.1080600335031487</v>
      </c>
      <c r="H278">
        <v>4.5541480759646001E-3</v>
      </c>
      <c r="I278">
        <v>-9.513823664912054E-4</v>
      </c>
      <c r="J278">
        <v>-1.029617999739477E-3</v>
      </c>
      <c r="K278">
        <v>-1.1078536329877486E-3</v>
      </c>
      <c r="L278">
        <v>-1.1860892662360202E-3</v>
      </c>
      <c r="M278">
        <v>-1.2643248994842916E-3</v>
      </c>
      <c r="N278">
        <v>-1.3425605327325632E-3</v>
      </c>
    </row>
    <row r="279" spans="1:14" x14ac:dyDescent="0.35">
      <c r="A279">
        <v>25</v>
      </c>
      <c r="B279" t="s">
        <v>29</v>
      </c>
      <c r="C279" s="23">
        <v>42774</v>
      </c>
      <c r="D279">
        <v>1.28963344424303E-2</v>
      </c>
      <c r="E279">
        <v>-0.31692004000000001</v>
      </c>
      <c r="F279">
        <v>-4.0871068536306515E-3</v>
      </c>
      <c r="G279">
        <f t="shared" si="0"/>
        <v>0.10397292664951806</v>
      </c>
      <c r="H279">
        <v>4.4788843159926997E-3</v>
      </c>
      <c r="I279">
        <v>-4.1107678324081229E-3</v>
      </c>
      <c r="J279">
        <v>-4.1344288111855934E-3</v>
      </c>
      <c r="K279">
        <v>-4.1580897899630648E-3</v>
      </c>
      <c r="L279">
        <v>-4.1817507687405353E-3</v>
      </c>
      <c r="M279">
        <v>-4.2054117475180067E-3</v>
      </c>
      <c r="N279">
        <v>-4.2290727262954773E-3</v>
      </c>
    </row>
    <row r="280" spans="1:14" x14ac:dyDescent="0.35">
      <c r="A280">
        <v>26</v>
      </c>
      <c r="B280" t="s">
        <v>29</v>
      </c>
      <c r="C280" s="23">
        <v>42775</v>
      </c>
      <c r="D280">
        <v>7.7271690232783002E-3</v>
      </c>
      <c r="E280">
        <v>-0.76936965999999996</v>
      </c>
      <c r="F280">
        <v>-5.9450494181729867E-3</v>
      </c>
      <c r="G280">
        <f t="shared" si="0"/>
        <v>9.8027877231345067E-2</v>
      </c>
      <c r="H280">
        <v>4.5108657926819003E-3</v>
      </c>
      <c r="I280">
        <v>-5.992200723997294E-3</v>
      </c>
      <c r="J280">
        <v>-6.0393520298216014E-3</v>
      </c>
      <c r="K280">
        <v>-6.0865033356459087E-3</v>
      </c>
      <c r="L280">
        <v>-6.133654641470216E-3</v>
      </c>
      <c r="M280">
        <v>-6.1808059472945242E-3</v>
      </c>
      <c r="N280">
        <v>-6.2279572531188316E-3</v>
      </c>
    </row>
    <row r="281" spans="1:14" x14ac:dyDescent="0.35">
      <c r="A281">
        <v>27</v>
      </c>
      <c r="B281" t="s">
        <v>29</v>
      </c>
      <c r="C281" s="23">
        <v>42776</v>
      </c>
      <c r="D281">
        <v>1.2353183890308501E-2</v>
      </c>
      <c r="E281">
        <v>-0.61295409999999995</v>
      </c>
      <c r="F281">
        <v>-7.5719344678498264E-3</v>
      </c>
      <c r="G281">
        <f t="shared" si="0"/>
        <v>9.0455942763495237E-2</v>
      </c>
      <c r="H281">
        <v>4.4649557701784996E-3</v>
      </c>
      <c r="I281">
        <v>-7.5876568901273337E-3</v>
      </c>
      <c r="J281">
        <v>-7.603379312404842E-3</v>
      </c>
      <c r="K281">
        <v>-7.6191017346823493E-3</v>
      </c>
      <c r="L281">
        <v>-7.6348241569598567E-3</v>
      </c>
      <c r="M281">
        <v>-7.6505465792373649E-3</v>
      </c>
      <c r="N281">
        <v>-7.6662690015148723E-3</v>
      </c>
    </row>
    <row r="282" spans="1:14" x14ac:dyDescent="0.35">
      <c r="A282">
        <v>28</v>
      </c>
      <c r="B282" t="s">
        <v>29</v>
      </c>
      <c r="C282" s="23">
        <v>42779</v>
      </c>
      <c r="D282">
        <v>9.7526576527668992E-3</v>
      </c>
      <c r="E282">
        <v>-0.77116600000000002</v>
      </c>
      <c r="F282">
        <v>-7.5209182507987946E-3</v>
      </c>
      <c r="G282">
        <f t="shared" si="0"/>
        <v>8.2935024512696437E-2</v>
      </c>
      <c r="H282">
        <v>4.4773401263269001E-3</v>
      </c>
      <c r="I282">
        <v>-7.5374336086101246E-3</v>
      </c>
      <c r="J282">
        <v>-7.5539489664214537E-3</v>
      </c>
      <c r="K282">
        <v>-7.5704643242327837E-3</v>
      </c>
      <c r="L282">
        <v>-7.5869796820441128E-3</v>
      </c>
      <c r="M282">
        <v>-7.6034950398554428E-3</v>
      </c>
      <c r="N282">
        <v>-7.6200103976667728E-3</v>
      </c>
    </row>
    <row r="283" spans="1:14" x14ac:dyDescent="0.35">
      <c r="A283">
        <v>29</v>
      </c>
      <c r="B283" t="s">
        <v>29</v>
      </c>
      <c r="C283" s="23">
        <v>42780</v>
      </c>
      <c r="D283">
        <v>1.2272209310391E-2</v>
      </c>
      <c r="E283">
        <v>-0.73806280000000002</v>
      </c>
      <c r="F283">
        <v>-9.0576611532575315E-3</v>
      </c>
      <c r="G283">
        <f t="shared" si="0"/>
        <v>7.3877363359438911E-2</v>
      </c>
      <c r="H283">
        <v>4.4477799311655004E-3</v>
      </c>
      <c r="I283">
        <v>-9.0606366503580334E-3</v>
      </c>
      <c r="J283">
        <v>-9.0636121474585354E-3</v>
      </c>
      <c r="K283">
        <v>-9.0665876445590373E-3</v>
      </c>
      <c r="L283">
        <v>-9.0695631416595392E-3</v>
      </c>
      <c r="M283">
        <v>-9.0725386387600394E-3</v>
      </c>
      <c r="N283">
        <v>-9.0755141358605414E-3</v>
      </c>
    </row>
    <row r="284" spans="1:14" x14ac:dyDescent="0.35">
      <c r="A284">
        <v>30</v>
      </c>
      <c r="B284" t="s">
        <v>29</v>
      </c>
      <c r="C284" s="23">
        <v>42781</v>
      </c>
      <c r="D284">
        <v>-4.5175277276149001E-3</v>
      </c>
      <c r="E284">
        <v>-0.76436347000000004</v>
      </c>
      <c r="F284">
        <v>3.4530331592804889E-3</v>
      </c>
      <c r="G284">
        <f t="shared" si="0"/>
        <v>7.7330396518719396E-2</v>
      </c>
      <c r="H284">
        <v>4.4493842241347002E-3</v>
      </c>
      <c r="I284">
        <v>3.450268701022855E-3</v>
      </c>
      <c r="J284">
        <v>3.4475042427652208E-3</v>
      </c>
      <c r="K284">
        <v>3.444739784507587E-3</v>
      </c>
      <c r="L284">
        <v>3.4419753262499527E-3</v>
      </c>
      <c r="M284">
        <v>3.4392108679923189E-3</v>
      </c>
      <c r="N284">
        <v>3.4364464097346851E-3</v>
      </c>
    </row>
    <row r="285" spans="1:14" x14ac:dyDescent="0.35">
      <c r="A285">
        <v>31</v>
      </c>
      <c r="B285" t="s">
        <v>29</v>
      </c>
      <c r="C285" s="23">
        <v>42782</v>
      </c>
      <c r="D285">
        <v>2.2779959337038999E-3</v>
      </c>
      <c r="E285">
        <v>-0.47171999999999997</v>
      </c>
      <c r="F285">
        <v>-1.0745762647228728E-3</v>
      </c>
      <c r="G285">
        <f t="shared" si="0"/>
        <v>7.625582025399652E-2</v>
      </c>
      <c r="H285">
        <v>4.4212249841800002E-3</v>
      </c>
      <c r="I285">
        <v>-1.1053314365267362E-3</v>
      </c>
      <c r="J285">
        <v>-1.1360866083305998E-3</v>
      </c>
      <c r="K285">
        <v>-1.1668417801344632E-3</v>
      </c>
      <c r="L285">
        <v>-1.1975969519383268E-3</v>
      </c>
      <c r="M285">
        <v>-1.2283521237421902E-3</v>
      </c>
      <c r="N285">
        <v>-1.2591072955460535E-3</v>
      </c>
    </row>
    <row r="286" spans="1:14" x14ac:dyDescent="0.35">
      <c r="A286">
        <v>32</v>
      </c>
      <c r="B286" t="s">
        <v>29</v>
      </c>
      <c r="C286" s="23">
        <v>42783</v>
      </c>
      <c r="D286">
        <v>1.11059077367258E-2</v>
      </c>
      <c r="E286">
        <v>-0.74484472999999995</v>
      </c>
      <c r="F286">
        <v>-8.2721769014169437E-3</v>
      </c>
      <c r="G286">
        <f t="shared" si="0"/>
        <v>6.7983643352579573E-2</v>
      </c>
      <c r="H286">
        <v>4.3483058213993004E-3</v>
      </c>
      <c r="I286">
        <v>-8.3026979929288654E-3</v>
      </c>
      <c r="J286">
        <v>-8.3332190844407853E-3</v>
      </c>
      <c r="K286">
        <v>-8.363740175952707E-3</v>
      </c>
      <c r="L286">
        <v>-8.3942612674646269E-3</v>
      </c>
      <c r="M286">
        <v>-8.4247823589765486E-3</v>
      </c>
      <c r="N286">
        <v>-8.4553034504884703E-3</v>
      </c>
    </row>
    <row r="287" spans="1:14" x14ac:dyDescent="0.35">
      <c r="A287">
        <v>33</v>
      </c>
      <c r="B287" t="s">
        <v>29</v>
      </c>
      <c r="C287" s="23">
        <v>42787</v>
      </c>
      <c r="D287">
        <v>9.2431347348849999E-4</v>
      </c>
      <c r="E287">
        <v>-0.75910443000000005</v>
      </c>
      <c r="F287">
        <v>-7.0165045305818771E-4</v>
      </c>
      <c r="G287">
        <f t="shared" si="0"/>
        <v>6.7281992899521387E-2</v>
      </c>
      <c r="H287">
        <v>4.3317132744838003E-3</v>
      </c>
      <c r="I287">
        <v>-7.035157392662174E-4</v>
      </c>
      <c r="J287">
        <v>-7.053810254742471E-4</v>
      </c>
      <c r="K287">
        <v>-7.072463116822768E-4</v>
      </c>
      <c r="L287">
        <v>-7.0911159789030661E-4</v>
      </c>
      <c r="M287">
        <v>-7.1097688409833631E-4</v>
      </c>
      <c r="N287">
        <v>-7.12842170306366E-4</v>
      </c>
    </row>
    <row r="288" spans="1:14" x14ac:dyDescent="0.35">
      <c r="A288">
        <v>34</v>
      </c>
      <c r="B288" t="s">
        <v>29</v>
      </c>
      <c r="C288" s="23">
        <v>42788</v>
      </c>
      <c r="D288">
        <v>1.6426627183131E-3</v>
      </c>
      <c r="E288">
        <v>-0.72223820000000005</v>
      </c>
      <c r="F288">
        <v>-1.186393736991686E-3</v>
      </c>
      <c r="G288">
        <f t="shared" si="0"/>
        <v>6.6095599162529703E-2</v>
      </c>
      <c r="H288">
        <v>4.2636804651407E-3</v>
      </c>
      <c r="I288">
        <v>-1.1891577553318263E-3</v>
      </c>
      <c r="J288">
        <v>-1.1919217736719664E-3</v>
      </c>
      <c r="K288">
        <v>-1.1946857920121067E-3</v>
      </c>
      <c r="L288">
        <v>-1.1974498103522471E-3</v>
      </c>
      <c r="M288">
        <v>-1.2002138286923874E-3</v>
      </c>
      <c r="N288">
        <v>-1.2029778470325275E-3</v>
      </c>
    </row>
    <row r="289" spans="1:14" x14ac:dyDescent="0.35">
      <c r="A289">
        <v>35</v>
      </c>
      <c r="B289" t="s">
        <v>29</v>
      </c>
      <c r="C289" s="23">
        <v>42789</v>
      </c>
      <c r="D289">
        <v>2.1451412545384001E-3</v>
      </c>
      <c r="E289">
        <v>-0.72868734999999996</v>
      </c>
      <c r="F289">
        <v>-1.563137287525222E-3</v>
      </c>
      <c r="G289">
        <f t="shared" si="0"/>
        <v>6.4532461875004485E-2</v>
      </c>
      <c r="H289">
        <v>4.1946897014585004E-3</v>
      </c>
      <c r="I289">
        <v>-1.5651799486066024E-3</v>
      </c>
      <c r="J289">
        <v>-1.5672226096879829E-3</v>
      </c>
      <c r="K289">
        <v>-1.5692652707693633E-3</v>
      </c>
      <c r="L289">
        <v>-1.5713079318507438E-3</v>
      </c>
      <c r="M289">
        <v>-1.573350592932124E-3</v>
      </c>
      <c r="N289">
        <v>-1.5753932540135045E-3</v>
      </c>
    </row>
    <row r="290" spans="1:14" x14ac:dyDescent="0.35">
      <c r="A290">
        <v>36</v>
      </c>
      <c r="B290" t="s">
        <v>29</v>
      </c>
      <c r="C290" s="23">
        <v>42790</v>
      </c>
      <c r="D290">
        <v>3.1471647785315999E-3</v>
      </c>
      <c r="E290">
        <v>-0.71726142999999998</v>
      </c>
      <c r="F290">
        <v>-2.257339920829343E-3</v>
      </c>
      <c r="G290">
        <f t="shared" si="0"/>
        <v>6.2275121954175144E-2</v>
      </c>
      <c r="H290">
        <v>4.1259477357343003E-3</v>
      </c>
      <c r="I290">
        <v>-2.2573989740431459E-3</v>
      </c>
      <c r="J290">
        <v>-2.2574580272569484E-3</v>
      </c>
      <c r="K290">
        <v>-2.2575170804707513E-3</v>
      </c>
      <c r="L290">
        <v>-2.2575761336845542E-3</v>
      </c>
      <c r="M290">
        <v>-2.2576351868983571E-3</v>
      </c>
      <c r="N290">
        <v>-2.2576942401121595E-3</v>
      </c>
    </row>
    <row r="291" spans="1:14" x14ac:dyDescent="0.35">
      <c r="A291">
        <v>37</v>
      </c>
      <c r="B291" t="s">
        <v>29</v>
      </c>
      <c r="C291" s="23">
        <v>42793</v>
      </c>
      <c r="D291">
        <v>-5.4080474790852004E-3</v>
      </c>
      <c r="E291">
        <v>-0.73462090000000002</v>
      </c>
      <c r="F291">
        <v>3.9728648618872348E-3</v>
      </c>
      <c r="G291">
        <f t="shared" si="0"/>
        <v>6.6247986816062379E-2</v>
      </c>
      <c r="H291">
        <v>4.0577532700755998E-3</v>
      </c>
      <c r="I291">
        <v>3.9694633366012203E-3</v>
      </c>
      <c r="J291">
        <v>3.9660618113152067E-3</v>
      </c>
      <c r="K291">
        <v>3.9626602860291923E-3</v>
      </c>
      <c r="L291">
        <v>3.9592587607431787E-3</v>
      </c>
      <c r="M291">
        <v>3.9558572354571643E-3</v>
      </c>
      <c r="N291">
        <v>3.9524557101711507E-3</v>
      </c>
    </row>
    <row r="292" spans="1:14" x14ac:dyDescent="0.35">
      <c r="A292">
        <v>38</v>
      </c>
      <c r="B292" t="s">
        <v>29</v>
      </c>
      <c r="C292" s="23">
        <v>42794</v>
      </c>
      <c r="D292">
        <v>3.0407347867885699E-2</v>
      </c>
      <c r="E292">
        <v>-0.59240210000000004</v>
      </c>
      <c r="F292">
        <v>-1.8013376749486845E-2</v>
      </c>
      <c r="G292">
        <f t="shared" si="0"/>
        <v>4.8234610066575534E-2</v>
      </c>
      <c r="H292">
        <v>4.0442667637986002E-3</v>
      </c>
      <c r="I292">
        <v>-1.8029705672683194E-2</v>
      </c>
      <c r="J292">
        <v>-1.8046034595879543E-2</v>
      </c>
      <c r="K292">
        <v>-1.8062363519075891E-2</v>
      </c>
      <c r="L292">
        <v>-1.807869244227224E-2</v>
      </c>
      <c r="M292">
        <v>-1.8095021365468589E-2</v>
      </c>
      <c r="N292">
        <v>-1.8111350288664937E-2</v>
      </c>
    </row>
    <row r="293" spans="1:14" x14ac:dyDescent="0.35">
      <c r="A293">
        <v>39</v>
      </c>
      <c r="B293" t="s">
        <v>29</v>
      </c>
      <c r="C293" s="23">
        <v>42795</v>
      </c>
      <c r="D293">
        <v>-1.00733956054805E-2</v>
      </c>
      <c r="E293">
        <v>-0.77222144999999998</v>
      </c>
      <c r="F293">
        <v>7.7788921209698591E-3</v>
      </c>
      <c r="G293">
        <f t="shared" si="0"/>
        <v>5.6013502187545396E-2</v>
      </c>
      <c r="H293">
        <v>4.5069164505153999E-3</v>
      </c>
      <c r="I293">
        <v>7.7671459594301807E-3</v>
      </c>
      <c r="J293">
        <v>7.7553997978905016E-3</v>
      </c>
      <c r="K293">
        <v>7.7436536363508232E-3</v>
      </c>
      <c r="L293">
        <v>7.7319074748111449E-3</v>
      </c>
      <c r="M293">
        <v>7.7201613132714666E-3</v>
      </c>
      <c r="N293">
        <v>7.7084151517317874E-3</v>
      </c>
    </row>
    <row r="294" spans="1:14" x14ac:dyDescent="0.35">
      <c r="A294">
        <v>40</v>
      </c>
      <c r="B294" t="s">
        <v>29</v>
      </c>
      <c r="C294" s="23">
        <v>42796</v>
      </c>
      <c r="D294">
        <v>-6.497181554407E-4</v>
      </c>
      <c r="E294">
        <v>-0.50514853000000004</v>
      </c>
      <c r="F294">
        <v>3.2820417113934495E-4</v>
      </c>
      <c r="G294">
        <f t="shared" si="0"/>
        <v>5.634170635868474E-2</v>
      </c>
      <c r="H294">
        <v>4.5791565606187997E-3</v>
      </c>
      <c r="I294">
        <v>2.9937178348734097E-4</v>
      </c>
      <c r="J294">
        <v>2.7053939583533704E-4</v>
      </c>
      <c r="K294">
        <v>2.4170700818333305E-4</v>
      </c>
      <c r="L294">
        <v>2.1287462053132909E-4</v>
      </c>
      <c r="M294">
        <v>1.8404223287932513E-4</v>
      </c>
      <c r="N294">
        <v>1.5520984522732114E-4</v>
      </c>
    </row>
    <row r="295" spans="1:14" x14ac:dyDescent="0.35">
      <c r="A295">
        <v>41</v>
      </c>
      <c r="B295" t="s">
        <v>29</v>
      </c>
      <c r="C295" s="23">
        <v>42797</v>
      </c>
      <c r="D295">
        <v>-5.0548394082976997E-3</v>
      </c>
      <c r="E295">
        <v>-0.75149672999999995</v>
      </c>
      <c r="F295">
        <v>3.7986952973081941E-3</v>
      </c>
      <c r="G295">
        <f t="shared" si="0"/>
        <v>6.0140401655992937E-2</v>
      </c>
      <c r="H295">
        <v>4.5138432936873999E-3</v>
      </c>
      <c r="I295">
        <v>3.7721563549513314E-3</v>
      </c>
      <c r="J295">
        <v>3.7456174125944683E-3</v>
      </c>
      <c r="K295">
        <v>3.7190784702376056E-3</v>
      </c>
      <c r="L295">
        <v>3.6925395278807425E-3</v>
      </c>
      <c r="M295">
        <v>3.6660005855238798E-3</v>
      </c>
      <c r="N295">
        <v>3.6394616431670167E-3</v>
      </c>
    </row>
    <row r="296" spans="1:14" x14ac:dyDescent="0.35">
      <c r="A296">
        <v>42</v>
      </c>
      <c r="B296" t="s">
        <v>29</v>
      </c>
      <c r="C296" s="23">
        <v>42800</v>
      </c>
      <c r="D296">
        <v>-7.9732702281422995E-3</v>
      </c>
      <c r="E296">
        <v>-0.643818</v>
      </c>
      <c r="F296">
        <v>5.1333350577505302E-3</v>
      </c>
      <c r="G296">
        <f t="shared" si="0"/>
        <v>6.5273736713743466E-2</v>
      </c>
      <c r="H296">
        <v>4.4899549135563998E-3</v>
      </c>
      <c r="I296">
        <v>5.1224230534604905E-3</v>
      </c>
      <c r="J296">
        <v>5.1115110491704507E-3</v>
      </c>
      <c r="K296">
        <v>5.1005990448804118E-3</v>
      </c>
      <c r="L296">
        <v>5.0896870405903721E-3</v>
      </c>
      <c r="M296">
        <v>5.0787750363003323E-3</v>
      </c>
      <c r="N296">
        <v>5.0678630320102926E-3</v>
      </c>
    </row>
    <row r="297" spans="1:14" x14ac:dyDescent="0.35">
      <c r="A297">
        <v>43</v>
      </c>
      <c r="B297" t="s">
        <v>29</v>
      </c>
      <c r="C297" s="23">
        <v>42801</v>
      </c>
      <c r="D297">
        <v>-2.2152755107671999E-3</v>
      </c>
      <c r="E297">
        <v>-0.4643795</v>
      </c>
      <c r="F297">
        <v>1.0287285106187879E-3</v>
      </c>
      <c r="G297">
        <f t="shared" si="0"/>
        <v>6.6302465224362256E-2</v>
      </c>
      <c r="H297">
        <v>4.5060576320406004E-3</v>
      </c>
      <c r="I297">
        <v>1.0096724664827991E-3</v>
      </c>
      <c r="J297">
        <v>9.9061642234681002E-4</v>
      </c>
      <c r="K297">
        <v>9.7156037821082106E-4</v>
      </c>
      <c r="L297">
        <v>9.5250433407483221E-4</v>
      </c>
      <c r="M297">
        <v>9.3344828993884325E-4</v>
      </c>
      <c r="N297">
        <v>9.1439224580285429E-4</v>
      </c>
    </row>
    <row r="298" spans="1:14" x14ac:dyDescent="0.35">
      <c r="A298">
        <v>44</v>
      </c>
      <c r="B298" t="s">
        <v>29</v>
      </c>
      <c r="C298" s="23">
        <v>42802</v>
      </c>
      <c r="D298">
        <v>2.0220759992609998E-3</v>
      </c>
      <c r="E298">
        <v>-0.70957820000000005</v>
      </c>
      <c r="F298">
        <v>-1.4348210803255075E-3</v>
      </c>
      <c r="G298">
        <f t="shared" si="0"/>
        <v>6.4867644144036743E-2</v>
      </c>
      <c r="H298">
        <v>4.4476290700159998E-3</v>
      </c>
      <c r="I298">
        <v>-1.4615072971701504E-3</v>
      </c>
      <c r="J298">
        <v>-1.4881935140147935E-3</v>
      </c>
      <c r="K298">
        <v>-1.5148797308594363E-3</v>
      </c>
      <c r="L298">
        <v>-1.5415659477040794E-3</v>
      </c>
      <c r="M298">
        <v>-1.5682521645487223E-3</v>
      </c>
      <c r="N298">
        <v>-1.5949383813933654E-3</v>
      </c>
    </row>
    <row r="299" spans="1:14" x14ac:dyDescent="0.35">
      <c r="A299">
        <v>45</v>
      </c>
      <c r="B299" t="s">
        <v>29</v>
      </c>
      <c r="C299" s="23">
        <v>42803</v>
      </c>
      <c r="D299">
        <v>5.0211496498929996E-3</v>
      </c>
      <c r="E299">
        <v>-0.71375363999999997</v>
      </c>
      <c r="F299">
        <v>-3.5838638428681516E-3</v>
      </c>
      <c r="G299">
        <f t="shared" si="0"/>
        <v>6.1283780301168593E-2</v>
      </c>
      <c r="H299">
        <v>4.3741118681256E-3</v>
      </c>
      <c r="I299">
        <v>-3.5855817050360781E-3</v>
      </c>
      <c r="J299">
        <v>-3.5872995672040046E-3</v>
      </c>
      <c r="K299">
        <v>-3.5890174293719311E-3</v>
      </c>
      <c r="L299">
        <v>-3.5907352915398576E-3</v>
      </c>
      <c r="M299">
        <v>-3.5924531537077841E-3</v>
      </c>
      <c r="N299">
        <v>-3.5941710158757106E-3</v>
      </c>
    </row>
    <row r="300" spans="1:14" x14ac:dyDescent="0.35">
      <c r="A300">
        <v>46</v>
      </c>
      <c r="B300" t="s">
        <v>29</v>
      </c>
      <c r="C300" s="23">
        <v>42804</v>
      </c>
      <c r="D300">
        <v>3.0051626758882E-3</v>
      </c>
      <c r="E300">
        <v>-0.74805564000000002</v>
      </c>
      <c r="F300">
        <v>-2.2480288794479129E-3</v>
      </c>
      <c r="G300">
        <f t="shared" si="0"/>
        <v>5.9035751421720684E-2</v>
      </c>
      <c r="H300">
        <v>4.3086126691819996E-3</v>
      </c>
      <c r="I300">
        <v>-2.2529621996900998E-3</v>
      </c>
      <c r="J300">
        <v>-2.2578955199322867E-3</v>
      </c>
      <c r="K300">
        <v>-2.2628288401744731E-3</v>
      </c>
      <c r="L300">
        <v>-2.26776216041666E-3</v>
      </c>
      <c r="M300">
        <v>-2.2726954806588468E-3</v>
      </c>
      <c r="N300">
        <v>-2.2776288009010337E-3</v>
      </c>
    </row>
    <row r="301" spans="1:14" x14ac:dyDescent="0.35">
      <c r="A301">
        <v>47</v>
      </c>
      <c r="B301" t="s">
        <v>29</v>
      </c>
      <c r="C301" s="23">
        <v>42807</v>
      </c>
      <c r="D301">
        <v>-7.9799481935293997E-3</v>
      </c>
      <c r="E301">
        <v>-0.73470736000000003</v>
      </c>
      <c r="F301">
        <v>5.862926634289143E-3</v>
      </c>
      <c r="G301">
        <f t="shared" si="0"/>
        <v>6.4898678056009823E-2</v>
      </c>
      <c r="H301">
        <v>4.2378563219553E-3</v>
      </c>
      <c r="I301">
        <v>5.8628080495956953E-3</v>
      </c>
      <c r="J301">
        <v>5.8626894649022486E-3</v>
      </c>
      <c r="K301">
        <v>5.8625708802088009E-3</v>
      </c>
      <c r="L301">
        <v>5.8624522955153541E-3</v>
      </c>
      <c r="M301">
        <v>5.8623337108219065E-3</v>
      </c>
      <c r="N301">
        <v>5.8622151261284597E-3</v>
      </c>
    </row>
    <row r="302" spans="1:14" x14ac:dyDescent="0.35">
      <c r="A302">
        <v>48</v>
      </c>
      <c r="B302" t="s">
        <v>29</v>
      </c>
      <c r="C302" s="23">
        <v>42808</v>
      </c>
      <c r="D302">
        <v>1.6209127426819799E-2</v>
      </c>
      <c r="E302">
        <v>-0.28146369999999998</v>
      </c>
      <c r="F302">
        <v>-4.5622811811900947E-3</v>
      </c>
      <c r="G302">
        <f t="shared" si="0"/>
        <v>6.0336396874819731E-2</v>
      </c>
      <c r="H302">
        <v>4.2492662393629E-3</v>
      </c>
      <c r="I302">
        <v>-4.6128951120567099E-3</v>
      </c>
      <c r="J302">
        <v>-4.6635090429233252E-3</v>
      </c>
      <c r="K302">
        <v>-4.7141229737899405E-3</v>
      </c>
      <c r="L302">
        <v>-4.7647369046565548E-3</v>
      </c>
      <c r="M302">
        <v>-4.8153508355231701E-3</v>
      </c>
      <c r="N302">
        <v>-4.8659647663897854E-3</v>
      </c>
    </row>
    <row r="303" spans="1:14" x14ac:dyDescent="0.35">
      <c r="A303">
        <v>49</v>
      </c>
      <c r="B303" t="s">
        <v>29</v>
      </c>
      <c r="C303" s="23">
        <v>42809</v>
      </c>
      <c r="D303">
        <v>-9.1449767241080001E-4</v>
      </c>
      <c r="E303">
        <v>-0.77372843000000002</v>
      </c>
      <c r="F303">
        <v>7.075728485610275E-4</v>
      </c>
      <c r="G303">
        <f t="shared" si="0"/>
        <v>6.1043969723380762E-2</v>
      </c>
      <c r="H303">
        <v>4.3345865410634003E-3</v>
      </c>
      <c r="I303">
        <v>6.5453361269264261E-4</v>
      </c>
      <c r="J303">
        <v>6.0149437682425783E-4</v>
      </c>
      <c r="K303">
        <v>5.4845514095587294E-4</v>
      </c>
      <c r="L303">
        <v>4.9541590508748816E-4</v>
      </c>
      <c r="M303">
        <v>4.4237666921910328E-4</v>
      </c>
      <c r="N303">
        <v>3.8933743335071844E-4</v>
      </c>
    </row>
    <row r="304" spans="1:14" x14ac:dyDescent="0.35">
      <c r="A304">
        <v>50</v>
      </c>
      <c r="B304" t="s">
        <v>29</v>
      </c>
      <c r="C304" s="23">
        <v>42810</v>
      </c>
      <c r="D304">
        <v>2.8315623082662E-3</v>
      </c>
      <c r="E304">
        <v>-0.57543427000000003</v>
      </c>
      <c r="F304">
        <v>-1.6293779827969625E-3</v>
      </c>
      <c r="G304">
        <f t="shared" si="0"/>
        <v>5.9414591740583798E-2</v>
      </c>
      <c r="H304">
        <v>4.2715572077009004E-3</v>
      </c>
      <c r="I304">
        <v>-1.6500659147592773E-3</v>
      </c>
      <c r="J304">
        <v>-1.670753846721592E-3</v>
      </c>
      <c r="K304">
        <v>-1.6914417786839068E-3</v>
      </c>
      <c r="L304">
        <v>-1.7121297106462213E-3</v>
      </c>
      <c r="M304">
        <v>-1.732817642608536E-3</v>
      </c>
      <c r="N304">
        <v>-1.7535055745708508E-3</v>
      </c>
    </row>
    <row r="305" spans="1:14" x14ac:dyDescent="0.35">
      <c r="A305">
        <v>51</v>
      </c>
      <c r="B305" t="s">
        <v>29</v>
      </c>
      <c r="C305" s="23">
        <v>42811</v>
      </c>
      <c r="D305">
        <v>-1.4659442405985899E-2</v>
      </c>
      <c r="E305">
        <v>-0.69438654</v>
      </c>
      <c r="F305">
        <v>1.017931951764525E-2</v>
      </c>
      <c r="G305">
        <f t="shared" si="0"/>
        <v>6.9593911258229044E-2</v>
      </c>
      <c r="H305">
        <v>4.2011665235467E-3</v>
      </c>
      <c r="I305">
        <v>1.016487596841862E-2</v>
      </c>
      <c r="J305">
        <v>1.0150432419191989E-2</v>
      </c>
      <c r="K305">
        <v>1.013598886996536E-2</v>
      </c>
      <c r="L305">
        <v>1.012154532073873E-2</v>
      </c>
      <c r="M305">
        <v>1.0107101771512099E-2</v>
      </c>
      <c r="N305">
        <v>1.0092658222285469E-2</v>
      </c>
    </row>
    <row r="306" spans="1:14" x14ac:dyDescent="0.35">
      <c r="A306">
        <v>52</v>
      </c>
      <c r="B306" t="s">
        <v>29</v>
      </c>
      <c r="C306" s="23">
        <v>42814</v>
      </c>
      <c r="D306">
        <v>-2.56637733225391E-2</v>
      </c>
      <c r="E306">
        <v>0.12725334999999999</v>
      </c>
      <c r="F306">
        <v>-3.2658012212138242E-3</v>
      </c>
      <c r="G306">
        <f t="shared" si="0"/>
        <v>6.632811003701522E-2</v>
      </c>
      <c r="H306">
        <v>4.3494501141146998E-3</v>
      </c>
      <c r="I306">
        <v>-3.3577134742465292E-3</v>
      </c>
      <c r="J306">
        <v>-3.4496257272792342E-3</v>
      </c>
      <c r="K306">
        <v>-3.5415379803119397E-3</v>
      </c>
      <c r="L306">
        <v>-3.6334502333446447E-3</v>
      </c>
      <c r="M306">
        <v>-3.7253624863773497E-3</v>
      </c>
      <c r="N306">
        <v>-3.8172747394100547E-3</v>
      </c>
    </row>
    <row r="307" spans="1:14" x14ac:dyDescent="0.35">
      <c r="A307">
        <v>53</v>
      </c>
      <c r="B307" t="s">
        <v>29</v>
      </c>
      <c r="C307" s="23">
        <v>42815</v>
      </c>
      <c r="D307">
        <v>2.0836310763869999E-4</v>
      </c>
      <c r="E307">
        <v>0.29485509999999998</v>
      </c>
      <c r="F307">
        <v>6.1436922437830803E-5</v>
      </c>
      <c r="G307">
        <f t="shared" si="0"/>
        <v>6.6389546959453052E-2</v>
      </c>
      <c r="H307">
        <v>4.8403517554397001E-3</v>
      </c>
      <c r="I307">
        <v>4.647959191956115E-5</v>
      </c>
      <c r="J307">
        <v>3.1522261401291489E-5</v>
      </c>
      <c r="K307">
        <v>1.6564930883021829E-5</v>
      </c>
      <c r="L307">
        <v>1.6076003647521751E-6</v>
      </c>
      <c r="M307">
        <v>-1.3349730153517479E-5</v>
      </c>
      <c r="N307">
        <v>-2.8307060671787146E-5</v>
      </c>
    </row>
    <row r="308" spans="1:14" x14ac:dyDescent="0.35">
      <c r="A308">
        <v>54</v>
      </c>
      <c r="B308" t="s">
        <v>29</v>
      </c>
      <c r="C308" s="23">
        <v>42816</v>
      </c>
      <c r="D308">
        <v>-2.1183075131297E-3</v>
      </c>
      <c r="E308">
        <v>-0.54991990000000002</v>
      </c>
      <c r="F308">
        <v>1.1648994627340885E-3</v>
      </c>
      <c r="G308">
        <f t="shared" si="0"/>
        <v>6.7554446422187137E-2</v>
      </c>
      <c r="H308">
        <v>4.7606076616642998E-3</v>
      </c>
      <c r="I308">
        <v>1.0815437965889982E-3</v>
      </c>
      <c r="J308">
        <v>9.9818813044390818E-4</v>
      </c>
      <c r="K308">
        <v>9.1483246429881801E-4</v>
      </c>
      <c r="L308">
        <v>8.3147679815372784E-4</v>
      </c>
      <c r="M308">
        <v>7.4812113200863767E-4</v>
      </c>
      <c r="N308">
        <v>6.647654658635475E-4</v>
      </c>
    </row>
    <row r="309" spans="1:14" x14ac:dyDescent="0.35">
      <c r="A309">
        <v>55</v>
      </c>
      <c r="B309" t="s">
        <v>29</v>
      </c>
      <c r="C309" s="23">
        <v>42817</v>
      </c>
      <c r="D309">
        <v>4.0905210540322003E-3</v>
      </c>
      <c r="E309">
        <v>5.9057989999999998E-2</v>
      </c>
      <c r="F309">
        <v>2.4157794424893114E-4</v>
      </c>
      <c r="G309">
        <f t="shared" si="0"/>
        <v>6.7796024366436072E-2</v>
      </c>
      <c r="H309">
        <v>4.6891066285833999E-3</v>
      </c>
      <c r="I309">
        <v>1.8105195808900947E-4</v>
      </c>
      <c r="J309">
        <v>1.2052597192908781E-4</v>
      </c>
      <c r="K309">
        <v>5.9999985769166144E-5</v>
      </c>
      <c r="L309">
        <v>-5.2600039075553101E-7</v>
      </c>
      <c r="M309">
        <v>-6.1051986550677206E-5</v>
      </c>
      <c r="N309">
        <v>-1.2157797271059885E-4</v>
      </c>
    </row>
    <row r="310" spans="1:14" x14ac:dyDescent="0.35">
      <c r="A310">
        <v>56</v>
      </c>
      <c r="B310" t="s">
        <v>29</v>
      </c>
      <c r="C310" s="23">
        <v>42818</v>
      </c>
      <c r="D310">
        <v>-5.4497292477646E-3</v>
      </c>
      <c r="E310">
        <v>-0.55989957000000001</v>
      </c>
      <c r="F310">
        <v>3.0513010545798924E-3</v>
      </c>
      <c r="G310">
        <f t="shared" si="0"/>
        <v>7.0847325421015961E-2</v>
      </c>
      <c r="H310">
        <v>4.6216764144672001E-3</v>
      </c>
      <c r="I310">
        <v>2.9881142990051579E-3</v>
      </c>
      <c r="J310">
        <v>2.9249275434304238E-3</v>
      </c>
      <c r="K310">
        <v>2.8617407878556893E-3</v>
      </c>
      <c r="L310">
        <v>2.7985540322809552E-3</v>
      </c>
      <c r="M310">
        <v>2.7353672767062207E-3</v>
      </c>
      <c r="N310">
        <v>2.6721805211314866E-3</v>
      </c>
    </row>
    <row r="311" spans="1:14" x14ac:dyDescent="0.35">
      <c r="A311">
        <v>57</v>
      </c>
      <c r="B311" t="s">
        <v>29</v>
      </c>
      <c r="C311" s="23">
        <v>42821</v>
      </c>
      <c r="D311">
        <v>1.14736402980234E-2</v>
      </c>
      <c r="E311">
        <v>0.17415238999999999</v>
      </c>
      <c r="F311">
        <v>1.9981618703635014E-3</v>
      </c>
      <c r="G311">
        <f t="shared" si="0"/>
        <v>7.2845487291379463E-2</v>
      </c>
      <c r="H311">
        <v>4.5782102801932003E-3</v>
      </c>
      <c r="I311">
        <v>1.9229536318869738E-3</v>
      </c>
      <c r="J311">
        <v>1.847745393410446E-3</v>
      </c>
      <c r="K311">
        <v>1.7725371549339184E-3</v>
      </c>
      <c r="L311">
        <v>1.6973289164573908E-3</v>
      </c>
      <c r="M311">
        <v>1.6221206779808632E-3</v>
      </c>
      <c r="N311">
        <v>1.5469124395043354E-3</v>
      </c>
    </row>
    <row r="312" spans="1:14" x14ac:dyDescent="0.35">
      <c r="A312">
        <v>58</v>
      </c>
      <c r="B312" t="s">
        <v>29</v>
      </c>
      <c r="C312" s="23">
        <v>42822</v>
      </c>
      <c r="D312">
        <v>4.8034741408251001E-3</v>
      </c>
      <c r="E312">
        <v>-0.729271</v>
      </c>
      <c r="F312">
        <v>-3.503034364518666E-3</v>
      </c>
      <c r="G312">
        <f t="shared" si="0"/>
        <v>6.9342452926860795E-2</v>
      </c>
      <c r="H312">
        <v>4.6010106446657999E-3</v>
      </c>
      <c r="I312">
        <v>-3.5958916177948699E-3</v>
      </c>
      <c r="J312">
        <v>-3.6887488710710737E-3</v>
      </c>
      <c r="K312">
        <v>-3.781606124347278E-3</v>
      </c>
      <c r="L312">
        <v>-3.8744633776234818E-3</v>
      </c>
      <c r="M312">
        <v>-3.9673206308996857E-3</v>
      </c>
      <c r="N312">
        <v>-4.0601778841758895E-3</v>
      </c>
    </row>
    <row r="313" spans="1:14" x14ac:dyDescent="0.35">
      <c r="A313">
        <v>59</v>
      </c>
      <c r="B313" t="s">
        <v>29</v>
      </c>
      <c r="C313" s="23">
        <v>42823</v>
      </c>
      <c r="D313">
        <v>6.6263382991023998E-3</v>
      </c>
      <c r="E313">
        <v>-0.14143559999999999</v>
      </c>
      <c r="F313">
        <v>-9.3720008918152676E-4</v>
      </c>
      <c r="G313">
        <f t="shared" si="0"/>
        <v>6.8405252837679273E-2</v>
      </c>
      <c r="H313">
        <v>4.5375253576834997E-3</v>
      </c>
      <c r="I313">
        <v>-9.9735887504800351E-4</v>
      </c>
      <c r="J313">
        <v>-1.0575176609144801E-3</v>
      </c>
      <c r="K313">
        <v>-1.1176764467809568E-3</v>
      </c>
      <c r="L313">
        <v>-1.1778352326474333E-3</v>
      </c>
      <c r="M313">
        <v>-1.2379940185139101E-3</v>
      </c>
      <c r="N313">
        <v>-1.2981528043803866E-3</v>
      </c>
    </row>
    <row r="314" spans="1:14" x14ac:dyDescent="0.35">
      <c r="A314">
        <v>60</v>
      </c>
      <c r="B314" t="s">
        <v>29</v>
      </c>
      <c r="C314" s="23">
        <v>42824</v>
      </c>
      <c r="D314">
        <v>-4.6747153091398E-3</v>
      </c>
      <c r="E314">
        <v>-0.47705328000000002</v>
      </c>
      <c r="F314">
        <v>2.2300882930057849E-3</v>
      </c>
      <c r="G314">
        <f t="shared" si="0"/>
        <v>7.0635341130685064E-2</v>
      </c>
      <c r="H314">
        <v>4.4880305686626001E-3</v>
      </c>
      <c r="I314">
        <v>2.1945953625349532E-3</v>
      </c>
      <c r="J314">
        <v>2.1591024320641214E-3</v>
      </c>
      <c r="K314">
        <v>2.1236095015932897E-3</v>
      </c>
      <c r="L314">
        <v>2.088116571122458E-3</v>
      </c>
      <c r="M314">
        <v>2.0526236406516263E-3</v>
      </c>
      <c r="N314">
        <v>2.0171307101807946E-3</v>
      </c>
    </row>
    <row r="315" spans="1:14" x14ac:dyDescent="0.35">
      <c r="A315">
        <v>61</v>
      </c>
      <c r="B315" t="s">
        <v>29</v>
      </c>
      <c r="C315" s="23">
        <v>42825</v>
      </c>
      <c r="D315">
        <v>-2.9297203797416E-3</v>
      </c>
      <c r="E315">
        <v>8.5675660000000001E-2</v>
      </c>
      <c r="F315">
        <v>-2.5100571776152827E-4</v>
      </c>
      <c r="G315">
        <f t="shared" si="0"/>
        <v>7.0384335412923535E-2</v>
      </c>
      <c r="H315">
        <v>4.4429785220101003E-3</v>
      </c>
      <c r="I315">
        <v>-3.1033572895374309E-4</v>
      </c>
      <c r="J315">
        <v>-3.6966574014595796E-4</v>
      </c>
      <c r="K315">
        <v>-4.2899575133817282E-4</v>
      </c>
      <c r="L315">
        <v>-4.8832576253038764E-4</v>
      </c>
      <c r="M315">
        <v>-5.4765577372260245E-4</v>
      </c>
      <c r="N315">
        <v>-6.0698578491481738E-4</v>
      </c>
    </row>
    <row r="316" spans="1:14" x14ac:dyDescent="0.35">
      <c r="A316">
        <v>62</v>
      </c>
      <c r="B316" t="s">
        <v>29</v>
      </c>
      <c r="C316" s="23">
        <v>42828</v>
      </c>
      <c r="D316">
        <v>4.575512872986E-4</v>
      </c>
      <c r="E316">
        <v>-0.14665175999999999</v>
      </c>
      <c r="F316">
        <v>-6.7100701455330593E-5</v>
      </c>
      <c r="G316">
        <f t="shared" si="0"/>
        <v>7.031723471146821E-2</v>
      </c>
      <c r="H316">
        <v>4.3827421982931001E-3</v>
      </c>
      <c r="I316">
        <v>-9.2020169797921197E-5</v>
      </c>
      <c r="J316">
        <v>-1.1693963814051179E-4</v>
      </c>
      <c r="K316">
        <v>-1.4185910648310238E-4</v>
      </c>
      <c r="L316">
        <v>-1.6677857482569298E-4</v>
      </c>
      <c r="M316">
        <v>-1.9169804316828356E-4</v>
      </c>
      <c r="N316">
        <v>-2.1661751151087419E-4</v>
      </c>
    </row>
    <row r="317" spans="1:14" x14ac:dyDescent="0.35">
      <c r="A317">
        <v>63</v>
      </c>
      <c r="B317" t="s">
        <v>29</v>
      </c>
      <c r="C317" s="23">
        <v>42829</v>
      </c>
      <c r="D317">
        <v>-9.3023907846481995E-3</v>
      </c>
      <c r="E317">
        <v>-0.29014030000000002</v>
      </c>
      <c r="F317">
        <v>2.6989984621765334E-3</v>
      </c>
      <c r="G317">
        <f t="shared" si="0"/>
        <v>7.3016233173644737E-2</v>
      </c>
      <c r="H317">
        <v>4.3105130545654001E-3</v>
      </c>
      <c r="I317">
        <v>2.6830064375054216E-3</v>
      </c>
      <c r="J317">
        <v>2.6670144128343102E-3</v>
      </c>
      <c r="K317">
        <v>2.6510223881631985E-3</v>
      </c>
      <c r="L317">
        <v>2.6350303634920871E-3</v>
      </c>
      <c r="M317">
        <v>2.6190383388209754E-3</v>
      </c>
      <c r="N317">
        <v>2.6030463141498636E-3</v>
      </c>
    </row>
    <row r="318" spans="1:14" x14ac:dyDescent="0.35">
      <c r="A318">
        <v>64</v>
      </c>
      <c r="B318" t="s">
        <v>29</v>
      </c>
      <c r="C318" s="23">
        <v>42830</v>
      </c>
      <c r="D318">
        <v>6.7548352528254002E-3</v>
      </c>
      <c r="E318">
        <v>0.118398055</v>
      </c>
      <c r="F318">
        <v>7.9975935871309236E-4</v>
      </c>
      <c r="G318">
        <f t="shared" si="0"/>
        <v>7.3815992532357835E-2</v>
      </c>
      <c r="H318">
        <v>4.3220886999256998E-3</v>
      </c>
      <c r="I318">
        <v>7.5501609531549428E-4</v>
      </c>
      <c r="J318">
        <v>7.102728319178963E-4</v>
      </c>
      <c r="K318">
        <v>6.6552956852029821E-4</v>
      </c>
      <c r="L318">
        <v>6.2078630512270013E-4</v>
      </c>
      <c r="M318">
        <v>5.7604304172510215E-4</v>
      </c>
      <c r="N318">
        <v>5.3129977832750406E-4</v>
      </c>
    </row>
    <row r="319" spans="1:14" x14ac:dyDescent="0.35">
      <c r="A319">
        <v>65</v>
      </c>
      <c r="B319" t="s">
        <v>29</v>
      </c>
      <c r="C319" s="23">
        <v>42831</v>
      </c>
      <c r="D319">
        <v>-1.4068708532297E-3</v>
      </c>
      <c r="E319">
        <v>-0.66658300000000004</v>
      </c>
      <c r="F319">
        <v>9.3779619622856374E-4</v>
      </c>
      <c r="G319">
        <f t="shared" ref="G319:G382" si="1">G318+F319</f>
        <v>7.4753788728586401E-2</v>
      </c>
      <c r="H319">
        <v>4.2802356748259003E-3</v>
      </c>
      <c r="I319">
        <v>8.5127595344835659E-4</v>
      </c>
      <c r="J319">
        <v>7.6475571066814932E-4</v>
      </c>
      <c r="K319">
        <v>6.7823546788794216E-4</v>
      </c>
      <c r="L319">
        <v>5.9171522510773501E-4</v>
      </c>
      <c r="M319">
        <v>5.0519498232752785E-4</v>
      </c>
      <c r="N319">
        <v>4.1867473954732058E-4</v>
      </c>
    </row>
    <row r="320" spans="1:14" x14ac:dyDescent="0.35">
      <c r="A320">
        <v>66</v>
      </c>
      <c r="B320" t="s">
        <v>29</v>
      </c>
      <c r="C320" s="23">
        <v>42832</v>
      </c>
      <c r="D320">
        <v>2.383456555927E-4</v>
      </c>
      <c r="E320">
        <v>5.0301369999999998E-2</v>
      </c>
      <c r="F320">
        <v>1.198911283816225E-5</v>
      </c>
      <c r="G320">
        <f t="shared" si="1"/>
        <v>7.4765777841424561E-2</v>
      </c>
      <c r="H320">
        <v>4.2134736260643997E-3</v>
      </c>
      <c r="I320">
        <v>-6.7229095427061384E-5</v>
      </c>
      <c r="J320">
        <v>-1.4644730369228501E-4</v>
      </c>
      <c r="K320">
        <v>-2.2566551195750864E-4</v>
      </c>
      <c r="L320">
        <v>-3.0488372022273224E-4</v>
      </c>
      <c r="M320">
        <v>-3.8410192848795582E-4</v>
      </c>
      <c r="N320">
        <v>-4.633201367531795E-4</v>
      </c>
    </row>
    <row r="321" spans="1:14" x14ac:dyDescent="0.35">
      <c r="A321">
        <v>67</v>
      </c>
      <c r="B321" t="s">
        <v>29</v>
      </c>
      <c r="C321" s="23">
        <v>42835</v>
      </c>
      <c r="D321">
        <v>-1.4538747495E-3</v>
      </c>
      <c r="E321">
        <v>-0.34370956000000003</v>
      </c>
      <c r="F321">
        <v>4.9971064789932251E-4</v>
      </c>
      <c r="G321">
        <f t="shared" si="1"/>
        <v>7.5265488489323878E-2</v>
      </c>
      <c r="H321">
        <v>4.1440560588991999E-3</v>
      </c>
      <c r="I321">
        <v>4.5488472561374196E-4</v>
      </c>
      <c r="J321">
        <v>4.1005880332816141E-4</v>
      </c>
      <c r="K321">
        <v>3.6523288104258085E-4</v>
      </c>
      <c r="L321">
        <v>3.204069587570003E-4</v>
      </c>
      <c r="M321">
        <v>2.7558103647141975E-4</v>
      </c>
      <c r="N321">
        <v>2.3075511418583914E-4</v>
      </c>
    </row>
    <row r="322" spans="1:14" x14ac:dyDescent="0.35">
      <c r="A322">
        <v>68</v>
      </c>
      <c r="B322" t="s">
        <v>29</v>
      </c>
      <c r="C322" s="23">
        <v>42836</v>
      </c>
      <c r="D322">
        <v>-1.00988324961006E-2</v>
      </c>
      <c r="E322">
        <v>-4.6983709999999998E-2</v>
      </c>
      <c r="F322">
        <v>4.7448063169075325E-4</v>
      </c>
      <c r="G322">
        <f t="shared" si="1"/>
        <v>7.5739969121014633E-2</v>
      </c>
      <c r="H322">
        <v>4.0793508225929996E-3</v>
      </c>
      <c r="I322">
        <v>4.4073647064687797E-4</v>
      </c>
      <c r="J322">
        <v>4.0699230960300264E-4</v>
      </c>
      <c r="K322">
        <v>3.7324814855912731E-4</v>
      </c>
      <c r="L322">
        <v>3.3950398751525203E-4</v>
      </c>
      <c r="M322">
        <v>3.0575982647137675E-4</v>
      </c>
      <c r="N322">
        <v>2.7201566542750142E-4</v>
      </c>
    </row>
    <row r="323" spans="1:14" x14ac:dyDescent="0.35">
      <c r="A323">
        <v>69</v>
      </c>
      <c r="B323" t="s">
        <v>29</v>
      </c>
      <c r="C323" s="23">
        <v>42837</v>
      </c>
      <c r="D323">
        <v>-1.3050073191917399E-2</v>
      </c>
      <c r="E323">
        <v>0.14607376</v>
      </c>
      <c r="F323">
        <v>-1.9062732411764313E-3</v>
      </c>
      <c r="G323">
        <f t="shared" si="1"/>
        <v>7.3833695879838207E-2</v>
      </c>
      <c r="H323">
        <v>4.0986316315722998E-3</v>
      </c>
      <c r="I323">
        <v>-1.9285528717979607E-3</v>
      </c>
      <c r="J323">
        <v>-1.9508325024194899E-3</v>
      </c>
      <c r="K323">
        <v>-1.9731121330410191E-3</v>
      </c>
      <c r="L323">
        <v>-1.9953917636625486E-3</v>
      </c>
      <c r="M323">
        <v>-2.017671394284078E-3</v>
      </c>
      <c r="N323">
        <v>-2.0399510249056074E-3</v>
      </c>
    </row>
    <row r="324" spans="1:14" x14ac:dyDescent="0.35">
      <c r="A324">
        <v>70</v>
      </c>
      <c r="B324" t="s">
        <v>29</v>
      </c>
      <c r="C324" s="23">
        <v>42838</v>
      </c>
      <c r="D324">
        <v>1.7061686473305901E-2</v>
      </c>
      <c r="E324">
        <v>0.37907123999999998</v>
      </c>
      <c r="F324">
        <v>6.4675945738239251E-3</v>
      </c>
      <c r="G324">
        <f t="shared" si="1"/>
        <v>8.0301290453662133E-2</v>
      </c>
      <c r="H324">
        <v>4.1640639502031999E-3</v>
      </c>
      <c r="I324">
        <v>6.4414232148831919E-3</v>
      </c>
      <c r="J324">
        <v>6.4152518559424596E-3</v>
      </c>
      <c r="K324">
        <v>6.3890804970017263E-3</v>
      </c>
      <c r="L324">
        <v>6.362909138060994E-3</v>
      </c>
      <c r="M324">
        <v>6.3367377791202608E-3</v>
      </c>
      <c r="N324">
        <v>6.3105664201795284E-3</v>
      </c>
    </row>
    <row r="325" spans="1:14" x14ac:dyDescent="0.35">
      <c r="A325">
        <v>71</v>
      </c>
      <c r="B325" t="s">
        <v>29</v>
      </c>
      <c r="C325" s="23">
        <v>42842</v>
      </c>
      <c r="D325">
        <v>-7.2388725737213997E-3</v>
      </c>
      <c r="E325">
        <v>-0.62652105000000002</v>
      </c>
      <c r="F325">
        <v>4.535306052436453E-3</v>
      </c>
      <c r="G325">
        <f t="shared" si="1"/>
        <v>8.483659650609858E-2</v>
      </c>
      <c r="H325">
        <v>4.3139877975685997E-3</v>
      </c>
      <c r="I325">
        <v>4.4236817530472457E-3</v>
      </c>
      <c r="J325">
        <v>4.3120574536580384E-3</v>
      </c>
      <c r="K325">
        <v>4.200433154268832E-3</v>
      </c>
      <c r="L325">
        <v>4.0888088548796248E-3</v>
      </c>
      <c r="M325">
        <v>3.9771845554904175E-3</v>
      </c>
      <c r="N325">
        <v>3.8655602561012102E-3</v>
      </c>
    </row>
    <row r="326" spans="1:14" x14ac:dyDescent="0.35">
      <c r="A326">
        <v>72</v>
      </c>
      <c r="B326" t="s">
        <v>29</v>
      </c>
      <c r="C326" s="23">
        <v>42843</v>
      </c>
      <c r="D326">
        <v>-3.2987518555120002E-3</v>
      </c>
      <c r="E326">
        <v>0.49568588000000002</v>
      </c>
      <c r="F326">
        <v>-1.635144701278967E-3</v>
      </c>
      <c r="G326">
        <f t="shared" si="1"/>
        <v>8.3201451804819609E-2</v>
      </c>
      <c r="H326">
        <v>4.2894757510575999E-3</v>
      </c>
      <c r="I326">
        <v>-1.7583558086438085E-3</v>
      </c>
      <c r="J326">
        <v>-1.8815669160086499E-3</v>
      </c>
      <c r="K326">
        <v>-2.0047780233734911E-3</v>
      </c>
      <c r="L326">
        <v>-2.1279891307383328E-3</v>
      </c>
      <c r="M326">
        <v>-2.251200238103174E-3</v>
      </c>
      <c r="N326">
        <v>-2.3744113454680152E-3</v>
      </c>
    </row>
    <row r="327" spans="1:14" x14ac:dyDescent="0.35">
      <c r="A327">
        <v>73</v>
      </c>
      <c r="B327" t="s">
        <v>29</v>
      </c>
      <c r="C327" s="23">
        <v>42844</v>
      </c>
      <c r="D327">
        <v>1.7475688021049401E-2</v>
      </c>
      <c r="E327">
        <v>0.3754033</v>
      </c>
      <c r="F327">
        <v>6.5604312120171671E-3</v>
      </c>
      <c r="G327">
        <f t="shared" si="1"/>
        <v>8.9761883016836783E-2</v>
      </c>
      <c r="H327">
        <v>4.2282946486299003E-3</v>
      </c>
      <c r="I327">
        <v>6.5477812188253883E-3</v>
      </c>
      <c r="J327">
        <v>6.5351312256336095E-3</v>
      </c>
      <c r="K327">
        <v>6.5224812324418307E-3</v>
      </c>
      <c r="L327">
        <v>6.5098312392500518E-3</v>
      </c>
      <c r="M327">
        <v>6.4971812460582739E-3</v>
      </c>
      <c r="N327">
        <v>6.4845312528664951E-3</v>
      </c>
    </row>
    <row r="328" spans="1:14" x14ac:dyDescent="0.35">
      <c r="A328">
        <v>74</v>
      </c>
      <c r="B328" t="s">
        <v>29</v>
      </c>
      <c r="C328" s="23">
        <v>42845</v>
      </c>
      <c r="D328">
        <v>-4.1214456297232003E-3</v>
      </c>
      <c r="E328">
        <v>-0.55755370000000004</v>
      </c>
      <c r="F328">
        <v>2.2979272954530196E-3</v>
      </c>
      <c r="G328">
        <f t="shared" si="1"/>
        <v>9.2059810312289797E-2</v>
      </c>
      <c r="H328">
        <v>4.3864846107648002E-3</v>
      </c>
      <c r="I328">
        <v>2.1959284728776049E-3</v>
      </c>
      <c r="J328">
        <v>2.0939296503021906E-3</v>
      </c>
      <c r="K328">
        <v>1.9919308277267758E-3</v>
      </c>
      <c r="L328">
        <v>1.8899320051513611E-3</v>
      </c>
      <c r="M328">
        <v>1.7879331825759466E-3</v>
      </c>
      <c r="N328">
        <v>1.685934360000532E-3</v>
      </c>
    </row>
    <row r="329" spans="1:14" x14ac:dyDescent="0.35">
      <c r="A329">
        <v>75</v>
      </c>
      <c r="B329" t="s">
        <v>29</v>
      </c>
      <c r="C329" s="23">
        <v>42846</v>
      </c>
      <c r="D329">
        <v>2.0905139453569799E-2</v>
      </c>
      <c r="E329">
        <v>0.51045763</v>
      </c>
      <c r="F329">
        <v>1.0671188043264154E-2</v>
      </c>
      <c r="G329">
        <f t="shared" si="1"/>
        <v>0.10273099835555395</v>
      </c>
      <c r="H329">
        <v>4.3322632320217996E-3</v>
      </c>
      <c r="I329">
        <v>1.0555467509080579E-2</v>
      </c>
      <c r="J329">
        <v>1.0439746974897005E-2</v>
      </c>
      <c r="K329">
        <v>1.0324026440713429E-2</v>
      </c>
      <c r="L329">
        <v>1.0208305906529854E-2</v>
      </c>
      <c r="M329">
        <v>1.009258537234628E-2</v>
      </c>
      <c r="N329">
        <v>9.9768648381627044E-3</v>
      </c>
    </row>
    <row r="330" spans="1:14" x14ac:dyDescent="0.35">
      <c r="A330">
        <v>76</v>
      </c>
      <c r="B330" t="s">
        <v>29</v>
      </c>
      <c r="C330" s="23">
        <v>42849</v>
      </c>
      <c r="D330">
        <v>1.3057800670044599E-2</v>
      </c>
      <c r="E330">
        <v>-0.56589769999999995</v>
      </c>
      <c r="F330">
        <v>-7.3893794076400638E-3</v>
      </c>
      <c r="G330">
        <f t="shared" si="1"/>
        <v>9.5341618947913889E-2</v>
      </c>
      <c r="H330">
        <v>4.5799830104754002E-3</v>
      </c>
      <c r="I330">
        <v>-7.5034235401357187E-3</v>
      </c>
      <c r="J330">
        <v>-7.6174676726313744E-3</v>
      </c>
      <c r="K330">
        <v>-7.7315118051270292E-3</v>
      </c>
      <c r="L330">
        <v>-7.8455559376226849E-3</v>
      </c>
      <c r="M330">
        <v>-7.9596000701183389E-3</v>
      </c>
      <c r="N330">
        <v>-8.0736442026139946E-3</v>
      </c>
    </row>
    <row r="331" spans="1:14" x14ac:dyDescent="0.35">
      <c r="A331">
        <v>77</v>
      </c>
      <c r="B331" t="s">
        <v>29</v>
      </c>
      <c r="C331" s="23">
        <v>42850</v>
      </c>
      <c r="D331">
        <v>-2.3567949671640001E-3</v>
      </c>
      <c r="E331">
        <v>-0.34601771999999997</v>
      </c>
      <c r="F331">
        <v>8.1549281707465611E-4</v>
      </c>
      <c r="G331">
        <f t="shared" si="1"/>
        <v>9.6157111764988548E-2</v>
      </c>
      <c r="H331">
        <v>4.6228893331851E-3</v>
      </c>
      <c r="I331">
        <v>7.9247945269680345E-4</v>
      </c>
      <c r="J331">
        <v>7.6946608831895079E-4</v>
      </c>
      <c r="K331">
        <v>7.4645272394109814E-4</v>
      </c>
      <c r="L331">
        <v>7.2343935956324548E-4</v>
      </c>
      <c r="M331">
        <v>7.0042599518539282E-4</v>
      </c>
      <c r="N331">
        <v>6.7741263080754017E-4</v>
      </c>
    </row>
    <row r="332" spans="1:14" x14ac:dyDescent="0.35">
      <c r="A332">
        <v>78</v>
      </c>
      <c r="B332" t="s">
        <v>29</v>
      </c>
      <c r="C332" s="23">
        <v>42851</v>
      </c>
      <c r="D332">
        <v>3.2626353143699999E-3</v>
      </c>
      <c r="E332">
        <v>0.21930126999999999</v>
      </c>
      <c r="F332">
        <v>7.1550006295840194E-4</v>
      </c>
      <c r="G332">
        <f t="shared" si="1"/>
        <v>9.6872611827946944E-2</v>
      </c>
      <c r="H332">
        <v>4.5589663655891998E-3</v>
      </c>
      <c r="I332">
        <v>6.5741065942234896E-4</v>
      </c>
      <c r="J332">
        <v>5.9932125588629597E-4</v>
      </c>
      <c r="K332">
        <v>5.4123185235024299E-4</v>
      </c>
      <c r="L332">
        <v>4.8314244881419007E-4</v>
      </c>
      <c r="M332">
        <v>4.2505304527813709E-4</v>
      </c>
      <c r="N332">
        <v>3.669636417420841E-4</v>
      </c>
    </row>
    <row r="333" spans="1:14" x14ac:dyDescent="0.35">
      <c r="A333">
        <v>79</v>
      </c>
      <c r="B333" t="s">
        <v>29</v>
      </c>
      <c r="C333" s="23">
        <v>42852</v>
      </c>
      <c r="D333">
        <v>-4.8547526511770996E-3</v>
      </c>
      <c r="E333">
        <v>-0.41048166000000003</v>
      </c>
      <c r="F333">
        <v>1.9927869347090158E-3</v>
      </c>
      <c r="G333">
        <f t="shared" si="1"/>
        <v>9.8865398762655959E-2</v>
      </c>
      <c r="H333">
        <v>4.4865873886118998E-3</v>
      </c>
      <c r="I333">
        <v>1.92683490540363E-3</v>
      </c>
      <c r="J333">
        <v>1.860882876098244E-3</v>
      </c>
      <c r="K333">
        <v>1.7949308467928582E-3</v>
      </c>
      <c r="L333">
        <v>1.7289788174874722E-3</v>
      </c>
      <c r="M333">
        <v>1.6630267881820864E-3</v>
      </c>
      <c r="N333">
        <v>1.5970747588767006E-3</v>
      </c>
    </row>
    <row r="334" spans="1:14" x14ac:dyDescent="0.35">
      <c r="A334">
        <v>80</v>
      </c>
      <c r="B334" t="s">
        <v>29</v>
      </c>
      <c r="C334" s="23">
        <v>42853</v>
      </c>
      <c r="D334">
        <v>5.8042862190832998E-3</v>
      </c>
      <c r="E334">
        <v>0.37764350000000002</v>
      </c>
      <c r="F334">
        <v>2.1919509383874175E-3</v>
      </c>
      <c r="G334">
        <f t="shared" si="1"/>
        <v>0.10105734970104338</v>
      </c>
      <c r="H334">
        <v>4.4451594037127999E-3</v>
      </c>
      <c r="I334">
        <v>2.1085875826561051E-3</v>
      </c>
      <c r="J334">
        <v>2.0252242269247927E-3</v>
      </c>
      <c r="K334">
        <v>1.9418608711934801E-3</v>
      </c>
      <c r="L334">
        <v>1.8584975154621675E-3</v>
      </c>
      <c r="M334">
        <v>1.7751341597308551E-3</v>
      </c>
      <c r="N334">
        <v>1.6917708039995427E-3</v>
      </c>
    </row>
    <row r="335" spans="1:14" x14ac:dyDescent="0.35">
      <c r="A335">
        <v>81</v>
      </c>
      <c r="B335" t="s">
        <v>29</v>
      </c>
      <c r="C335" s="23">
        <v>42856</v>
      </c>
      <c r="D335">
        <v>-1.1275496191439E-3</v>
      </c>
      <c r="E335">
        <v>-0.49657854000000001</v>
      </c>
      <c r="F335">
        <v>5.5991694858876259E-4</v>
      </c>
      <c r="G335">
        <f t="shared" si="1"/>
        <v>0.10161726664963214</v>
      </c>
      <c r="H335">
        <v>4.3884678399247999E-3</v>
      </c>
      <c r="I335">
        <v>4.6631808122858762E-4</v>
      </c>
      <c r="J335">
        <v>3.7271921386841265E-4</v>
      </c>
      <c r="K335">
        <v>2.7912034650823768E-4</v>
      </c>
      <c r="L335">
        <v>1.8552147914806271E-4</v>
      </c>
      <c r="M335">
        <v>9.1922611787887743E-5</v>
      </c>
      <c r="N335">
        <v>-1.676255572287226E-6</v>
      </c>
    </row>
    <row r="336" spans="1:14" x14ac:dyDescent="0.35">
      <c r="A336">
        <v>82</v>
      </c>
      <c r="B336" t="s">
        <v>29</v>
      </c>
      <c r="C336" s="23">
        <v>42857</v>
      </c>
      <c r="D336">
        <v>-2.2914026855113999E-3</v>
      </c>
      <c r="E336">
        <v>0.22316504000000001</v>
      </c>
      <c r="F336">
        <v>-5.1136096107906137E-4</v>
      </c>
      <c r="G336">
        <f t="shared" si="1"/>
        <v>0.10110590568855307</v>
      </c>
      <c r="H336">
        <v>4.3212027827074003E-3</v>
      </c>
      <c r="I336">
        <v>-5.8922142389946427E-4</v>
      </c>
      <c r="J336">
        <v>-6.6708188671986727E-4</v>
      </c>
      <c r="K336">
        <v>-7.4494234954027017E-4</v>
      </c>
      <c r="L336">
        <v>-8.2280281236067317E-4</v>
      </c>
      <c r="M336">
        <v>-9.0066327518107596E-4</v>
      </c>
      <c r="N336">
        <v>-9.7852373800147896E-4</v>
      </c>
    </row>
    <row r="337" spans="1:14" x14ac:dyDescent="0.35">
      <c r="A337">
        <v>83</v>
      </c>
      <c r="B337" t="s">
        <v>29</v>
      </c>
      <c r="C337" s="23">
        <v>42858</v>
      </c>
      <c r="D337">
        <v>2.0938920518241001E-3</v>
      </c>
      <c r="E337">
        <v>-0.23316914</v>
      </c>
      <c r="F337">
        <v>-4.8823100569249394E-4</v>
      </c>
      <c r="G337">
        <f t="shared" si="1"/>
        <v>0.10061767468286058</v>
      </c>
      <c r="H337">
        <v>4.2603925512988E-3</v>
      </c>
      <c r="I337">
        <v>-5.3848785376467184E-4</v>
      </c>
      <c r="J337">
        <v>-5.8874470183684969E-4</v>
      </c>
      <c r="K337">
        <v>-6.3900154990902765E-4</v>
      </c>
      <c r="L337">
        <v>-6.892583979812056E-4</v>
      </c>
      <c r="M337">
        <v>-7.3951524605338345E-4</v>
      </c>
      <c r="N337">
        <v>-7.8977209412556129E-4</v>
      </c>
    </row>
    <row r="338" spans="1:14" x14ac:dyDescent="0.35">
      <c r="A338">
        <v>84</v>
      </c>
      <c r="B338" t="s">
        <v>29</v>
      </c>
      <c r="C338" s="23">
        <v>42859</v>
      </c>
      <c r="D338">
        <v>1.1579278725461901E-2</v>
      </c>
      <c r="E338">
        <v>-0.27379385000000001</v>
      </c>
      <c r="F338">
        <v>-3.1703352604205105E-3</v>
      </c>
      <c r="G338">
        <f t="shared" si="1"/>
        <v>9.7447339422440063E-2</v>
      </c>
      <c r="H338">
        <v>4.1905029284269998E-3</v>
      </c>
      <c r="I338">
        <v>-3.1753467177798806E-3</v>
      </c>
      <c r="J338">
        <v>-3.1803581751392506E-3</v>
      </c>
      <c r="K338">
        <v>-3.1853696324986211E-3</v>
      </c>
      <c r="L338">
        <v>-3.1903810898579912E-3</v>
      </c>
      <c r="M338">
        <v>-3.1953925472173613E-3</v>
      </c>
      <c r="N338">
        <v>-3.2004040045767314E-3</v>
      </c>
    </row>
    <row r="339" spans="1:14" x14ac:dyDescent="0.35">
      <c r="A339">
        <v>85</v>
      </c>
      <c r="B339" t="s">
        <v>29</v>
      </c>
      <c r="C339" s="23">
        <v>42860</v>
      </c>
      <c r="D339">
        <v>-2.5793722723986999E-3</v>
      </c>
      <c r="E339">
        <v>-0.57102569999999997</v>
      </c>
      <c r="F339">
        <v>1.472887932671548E-3</v>
      </c>
      <c r="G339">
        <f t="shared" si="1"/>
        <v>9.8920227355111606E-2</v>
      </c>
      <c r="H339">
        <v>4.2015134278003E-3</v>
      </c>
      <c r="I339">
        <v>1.4395454254023613E-3</v>
      </c>
      <c r="J339">
        <v>1.4062029181331746E-3</v>
      </c>
      <c r="K339">
        <v>1.3728604108639878E-3</v>
      </c>
      <c r="L339">
        <v>1.3395179035948011E-3</v>
      </c>
      <c r="M339">
        <v>1.3061753963256144E-3</v>
      </c>
      <c r="N339">
        <v>1.2728328890564277E-3</v>
      </c>
    </row>
    <row r="340" spans="1:14" x14ac:dyDescent="0.35">
      <c r="A340">
        <v>86</v>
      </c>
      <c r="B340" t="s">
        <v>29</v>
      </c>
      <c r="C340" s="23">
        <v>42863</v>
      </c>
      <c r="D340">
        <v>-1.6653765633956E-3</v>
      </c>
      <c r="E340">
        <v>-1.6008975000000002E-2</v>
      </c>
      <c r="F340">
        <v>2.6660971742820039E-5</v>
      </c>
      <c r="G340">
        <f t="shared" si="1"/>
        <v>9.8946888326854429E-2</v>
      </c>
      <c r="H340">
        <v>4.1458260015734003E-3</v>
      </c>
      <c r="I340">
        <v>-3.5725878247735422E-5</v>
      </c>
      <c r="J340">
        <v>-9.8112728238290876E-5</v>
      </c>
      <c r="K340">
        <v>-1.6049957822884635E-4</v>
      </c>
      <c r="L340">
        <v>-2.228864282194018E-4</v>
      </c>
      <c r="M340">
        <v>-2.852732782099573E-4</v>
      </c>
      <c r="N340">
        <v>-3.4766012820051278E-4</v>
      </c>
    </row>
    <row r="341" spans="1:14" x14ac:dyDescent="0.35">
      <c r="A341">
        <v>87</v>
      </c>
      <c r="B341" t="s">
        <v>29</v>
      </c>
      <c r="C341" s="23">
        <v>42864</v>
      </c>
      <c r="D341">
        <v>1.9330122594145001E-3</v>
      </c>
      <c r="E341">
        <v>-0.44814932000000002</v>
      </c>
      <c r="F341">
        <v>-8.6627813630314363E-4</v>
      </c>
      <c r="G341">
        <f t="shared" si="1"/>
        <v>9.8080610190551282E-2</v>
      </c>
      <c r="H341">
        <v>4.0850587646518999E-3</v>
      </c>
      <c r="I341">
        <v>-9.1628427006366323E-4</v>
      </c>
      <c r="J341">
        <v>-9.6629040382418283E-4</v>
      </c>
      <c r="K341">
        <v>-1.0162965375847023E-3</v>
      </c>
      <c r="L341">
        <v>-1.0663026713452219E-3</v>
      </c>
      <c r="M341">
        <v>-1.1163088051057415E-3</v>
      </c>
      <c r="N341">
        <v>-1.1663149388662611E-3</v>
      </c>
    </row>
    <row r="342" spans="1:14" x14ac:dyDescent="0.35">
      <c r="A342">
        <v>88</v>
      </c>
      <c r="B342" t="s">
        <v>29</v>
      </c>
      <c r="C342" s="23">
        <v>42865</v>
      </c>
      <c r="D342">
        <v>-4.1730197277297003E-3</v>
      </c>
      <c r="E342">
        <v>-0.38179287000000001</v>
      </c>
      <c r="F342">
        <v>1.5932291915371399E-3</v>
      </c>
      <c r="G342">
        <f t="shared" si="1"/>
        <v>9.9673839382088417E-2</v>
      </c>
      <c r="H342">
        <v>4.0177104262145999E-3</v>
      </c>
      <c r="I342">
        <v>1.5862949480886651E-3</v>
      </c>
      <c r="J342">
        <v>1.5793607046401905E-3</v>
      </c>
      <c r="K342">
        <v>1.5724264611917157E-3</v>
      </c>
      <c r="L342">
        <v>1.5654922177432411E-3</v>
      </c>
      <c r="M342">
        <v>1.5585579742947663E-3</v>
      </c>
      <c r="N342">
        <v>1.5516237308462917E-3</v>
      </c>
    </row>
    <row r="343" spans="1:14" x14ac:dyDescent="0.35">
      <c r="A343">
        <v>89</v>
      </c>
      <c r="B343" t="s">
        <v>29</v>
      </c>
      <c r="C343" s="23">
        <v>42866</v>
      </c>
      <c r="D343">
        <v>-2.2370326685527998E-3</v>
      </c>
      <c r="E343">
        <v>-0.13091808999999999</v>
      </c>
      <c r="F343">
        <v>2.9286803433589817E-4</v>
      </c>
      <c r="G343">
        <f t="shared" si="1"/>
        <v>9.9966707416424314E-2</v>
      </c>
      <c r="H343">
        <v>3.9748578718012996E-3</v>
      </c>
      <c r="I343">
        <v>2.6353282693008162E-4</v>
      </c>
      <c r="J343">
        <v>2.3419761952426501E-4</v>
      </c>
      <c r="K343">
        <v>2.0486241211844844E-4</v>
      </c>
      <c r="L343">
        <v>1.7552720471263186E-4</v>
      </c>
      <c r="M343">
        <v>1.4619199730681528E-4</v>
      </c>
      <c r="N343">
        <v>1.168567899009987E-4</v>
      </c>
    </row>
    <row r="344" spans="1:14" x14ac:dyDescent="0.35">
      <c r="A344">
        <v>90</v>
      </c>
      <c r="B344" t="s">
        <v>29</v>
      </c>
      <c r="C344" s="23">
        <v>42867</v>
      </c>
      <c r="D344">
        <v>9.8428655071054992E-3</v>
      </c>
      <c r="E344">
        <v>-0.41939789999999999</v>
      </c>
      <c r="F344">
        <v>-4.1280770308224036E-3</v>
      </c>
      <c r="G344">
        <f t="shared" si="1"/>
        <v>9.5838630385601906E-2</v>
      </c>
      <c r="H344">
        <v>3.9183511489053998E-3</v>
      </c>
      <c r="I344">
        <v>-4.1630849204615421E-3</v>
      </c>
      <c r="J344">
        <v>-4.1980928101006806E-3</v>
      </c>
      <c r="K344">
        <v>-4.2331006997398191E-3</v>
      </c>
      <c r="L344">
        <v>-4.2681085893789576E-3</v>
      </c>
      <c r="M344">
        <v>-4.3031164790180961E-3</v>
      </c>
      <c r="N344">
        <v>-4.3381243686572346E-3</v>
      </c>
    </row>
    <row r="345" spans="1:14" x14ac:dyDescent="0.35">
      <c r="A345">
        <v>91</v>
      </c>
      <c r="B345" t="s">
        <v>29</v>
      </c>
      <c r="C345" s="23">
        <v>42870</v>
      </c>
      <c r="D345">
        <v>-1.5126033263036999E-3</v>
      </c>
      <c r="E345">
        <v>-0.58856019999999998</v>
      </c>
      <c r="F345">
        <v>8.9025815191625995E-4</v>
      </c>
      <c r="G345">
        <f t="shared" si="1"/>
        <v>9.6728888537518168E-2</v>
      </c>
      <c r="H345">
        <v>3.9067666688738E-3</v>
      </c>
      <c r="I345">
        <v>8.6965095389186537E-4</v>
      </c>
      <c r="J345">
        <v>8.4904375586747078E-4</v>
      </c>
      <c r="K345">
        <v>8.284365578430762E-4</v>
      </c>
      <c r="L345">
        <v>8.0782935981868161E-4</v>
      </c>
      <c r="M345">
        <v>7.8722216179428703E-4</v>
      </c>
      <c r="N345">
        <v>7.6661496376989244E-4</v>
      </c>
    </row>
    <row r="346" spans="1:14" x14ac:dyDescent="0.35">
      <c r="A346">
        <v>92</v>
      </c>
      <c r="B346" t="s">
        <v>29</v>
      </c>
      <c r="C346" s="23">
        <v>42871</v>
      </c>
      <c r="D346">
        <v>-4.0458082260408097E-2</v>
      </c>
      <c r="E346">
        <v>-0.31840318000000001</v>
      </c>
      <c r="F346">
        <v>1.2881982226993856E-2</v>
      </c>
      <c r="G346">
        <f t="shared" si="1"/>
        <v>0.10961087076451202</v>
      </c>
      <c r="H346">
        <v>3.8487061796545E-3</v>
      </c>
      <c r="I346">
        <v>1.2849892302323187E-2</v>
      </c>
      <c r="J346">
        <v>1.281780237765252E-2</v>
      </c>
      <c r="K346">
        <v>1.2785712452981851E-2</v>
      </c>
      <c r="L346">
        <v>1.2753622528311182E-2</v>
      </c>
      <c r="M346">
        <v>1.2721532603640515E-2</v>
      </c>
      <c r="N346">
        <v>1.2689442678969846E-2</v>
      </c>
    </row>
    <row r="347" spans="1:14" x14ac:dyDescent="0.35">
      <c r="A347">
        <v>93</v>
      </c>
      <c r="B347" t="s">
        <v>29</v>
      </c>
      <c r="C347" s="23">
        <v>42872</v>
      </c>
      <c r="D347">
        <v>4.9385985797327E-3</v>
      </c>
      <c r="E347">
        <v>0.63281286000000003</v>
      </c>
      <c r="F347">
        <v>3.1252086799175836E-3</v>
      </c>
      <c r="G347">
        <f t="shared" si="1"/>
        <v>0.11273607944442961</v>
      </c>
      <c r="H347">
        <v>4.8695273617219001E-3</v>
      </c>
      <c r="I347">
        <v>3.0247251309532554E-3</v>
      </c>
      <c r="J347">
        <v>2.9242415819889268E-3</v>
      </c>
      <c r="K347">
        <v>2.8237580330245987E-3</v>
      </c>
      <c r="L347">
        <v>2.7232744840602705E-3</v>
      </c>
      <c r="M347">
        <v>2.6227909350959424E-3</v>
      </c>
      <c r="N347">
        <v>2.5223073861316138E-3</v>
      </c>
    </row>
    <row r="348" spans="1:14" x14ac:dyDescent="0.35">
      <c r="A348">
        <v>94</v>
      </c>
      <c r="B348" t="s">
        <v>29</v>
      </c>
      <c r="C348" s="23">
        <v>42873</v>
      </c>
      <c r="D348">
        <v>1.49597285872278E-2</v>
      </c>
      <c r="E348">
        <v>-0.49903446000000001</v>
      </c>
      <c r="F348">
        <v>-7.4654201424874849E-3</v>
      </c>
      <c r="G348">
        <f t="shared" si="1"/>
        <v>0.10527065930194213</v>
      </c>
      <c r="H348">
        <v>4.8104330303669002E-3</v>
      </c>
      <c r="I348">
        <v>-7.57583003121163E-3</v>
      </c>
      <c r="J348">
        <v>-7.6862399199357761E-3</v>
      </c>
      <c r="K348">
        <v>-7.7966498086599213E-3</v>
      </c>
      <c r="L348">
        <v>-7.9070596973840664E-3</v>
      </c>
      <c r="M348">
        <v>-8.0174695861082116E-3</v>
      </c>
      <c r="N348">
        <v>-8.1278794748323585E-3</v>
      </c>
    </row>
    <row r="349" spans="1:14" x14ac:dyDescent="0.35">
      <c r="A349">
        <v>95</v>
      </c>
      <c r="B349" t="s">
        <v>29</v>
      </c>
      <c r="C349" s="23">
        <v>42874</v>
      </c>
      <c r="D349">
        <v>9.0734673060744002E-3</v>
      </c>
      <c r="E349">
        <v>-0.47195621999999998</v>
      </c>
      <c r="F349">
        <v>-4.2822793615521033E-3</v>
      </c>
      <c r="G349">
        <f t="shared" si="1"/>
        <v>0.10098837994039002</v>
      </c>
      <c r="H349">
        <v>4.9194850664576999E-3</v>
      </c>
      <c r="I349">
        <v>-4.2859663705390409E-3</v>
      </c>
      <c r="J349">
        <v>-4.2896533795259784E-3</v>
      </c>
      <c r="K349">
        <v>-4.2933403885129151E-3</v>
      </c>
      <c r="L349">
        <v>-4.2970273974998526E-3</v>
      </c>
      <c r="M349">
        <v>-4.3007144064867902E-3</v>
      </c>
      <c r="N349">
        <v>-4.3044014154737277E-3</v>
      </c>
    </row>
    <row r="350" spans="1:14" x14ac:dyDescent="0.35">
      <c r="A350">
        <v>96</v>
      </c>
      <c r="B350" t="s">
        <v>29</v>
      </c>
      <c r="C350" s="23">
        <v>42877</v>
      </c>
      <c r="D350">
        <v>4.2298369555514E-3</v>
      </c>
      <c r="E350">
        <v>-0.42364895000000002</v>
      </c>
      <c r="F350">
        <v>-1.7919659994319027E-3</v>
      </c>
      <c r="G350">
        <f t="shared" si="1"/>
        <v>9.9196413940958114E-2</v>
      </c>
      <c r="H350">
        <v>4.9015037575014997E-3</v>
      </c>
      <c r="I350">
        <v>-1.7964560565254042E-3</v>
      </c>
      <c r="J350">
        <v>-1.8009461136189056E-3</v>
      </c>
      <c r="K350">
        <v>-1.8054361707124072E-3</v>
      </c>
      <c r="L350">
        <v>-1.8099262278059086E-3</v>
      </c>
      <c r="M350">
        <v>-1.8144162848994102E-3</v>
      </c>
      <c r="N350">
        <v>-1.8189063419929115E-3</v>
      </c>
    </row>
    <row r="351" spans="1:14" x14ac:dyDescent="0.35">
      <c r="A351">
        <v>97</v>
      </c>
      <c r="B351" t="s">
        <v>29</v>
      </c>
      <c r="C351" s="23">
        <v>42878</v>
      </c>
      <c r="D351">
        <v>3.2631849691073999E-3</v>
      </c>
      <c r="E351">
        <v>-0.21522417999999999</v>
      </c>
      <c r="F351">
        <v>-7.0231629821739016E-4</v>
      </c>
      <c r="G351">
        <f t="shared" si="1"/>
        <v>9.8494097642740724E-2</v>
      </c>
      <c r="H351">
        <v>4.8301443436244004E-3</v>
      </c>
      <c r="I351">
        <v>-7.2209985903680829E-4</v>
      </c>
      <c r="J351">
        <v>-7.4188341985622632E-4</v>
      </c>
      <c r="K351">
        <v>-7.6166698067564446E-4</v>
      </c>
      <c r="L351">
        <v>-7.814505414950626E-4</v>
      </c>
      <c r="M351">
        <v>-8.0123410231448073E-4</v>
      </c>
      <c r="N351">
        <v>-8.2101766313389876E-4</v>
      </c>
    </row>
    <row r="352" spans="1:14" x14ac:dyDescent="0.35">
      <c r="A352">
        <v>98</v>
      </c>
      <c r="B352" t="s">
        <v>29</v>
      </c>
      <c r="C352" s="23">
        <v>42879</v>
      </c>
      <c r="D352">
        <v>9.5149526920808997E-3</v>
      </c>
      <c r="E352">
        <v>-0.25490819999999997</v>
      </c>
      <c r="F352">
        <v>-2.4254395026318894E-3</v>
      </c>
      <c r="G352">
        <f t="shared" si="1"/>
        <v>9.6068658140108829E-2</v>
      </c>
      <c r="H352">
        <v>4.7545475226506003E-3</v>
      </c>
      <c r="I352">
        <v>-2.429717596311613E-3</v>
      </c>
      <c r="J352">
        <v>-2.4339956899913366E-3</v>
      </c>
      <c r="K352">
        <v>-2.4382737836710603E-3</v>
      </c>
      <c r="L352">
        <v>-2.4425518773507839E-3</v>
      </c>
      <c r="M352">
        <v>-2.4468299710305071E-3</v>
      </c>
      <c r="N352">
        <v>-2.4511080647102307E-3</v>
      </c>
    </row>
    <row r="353" spans="1:14" x14ac:dyDescent="0.35">
      <c r="A353">
        <v>99</v>
      </c>
      <c r="B353" t="s">
        <v>29</v>
      </c>
      <c r="C353" s="23">
        <v>42880</v>
      </c>
      <c r="D353">
        <v>2.066482341579E-4</v>
      </c>
      <c r="E353">
        <v>-0.49764222000000002</v>
      </c>
      <c r="F353">
        <v>-1.0283688581253583E-4</v>
      </c>
      <c r="G353">
        <f t="shared" si="1"/>
        <v>9.5965821254296299E-2</v>
      </c>
      <c r="H353">
        <v>4.7364395148858001E-3</v>
      </c>
      <c r="I353">
        <v>-1.2714622983910699E-4</v>
      </c>
      <c r="J353">
        <v>-1.5145557386567817E-4</v>
      </c>
      <c r="K353">
        <v>-1.7576491789224934E-4</v>
      </c>
      <c r="L353">
        <v>-2.0007426191882052E-4</v>
      </c>
      <c r="M353">
        <v>-2.2438360594539166E-4</v>
      </c>
      <c r="N353">
        <v>-2.4869294997196287E-4</v>
      </c>
    </row>
    <row r="354" spans="1:14" x14ac:dyDescent="0.35">
      <c r="A354">
        <v>100</v>
      </c>
      <c r="B354" t="s">
        <v>29</v>
      </c>
      <c r="C354" s="23">
        <v>42881</v>
      </c>
      <c r="D354">
        <v>-2.5204770137181999E-3</v>
      </c>
      <c r="E354">
        <v>-7.2924550000000005E-2</v>
      </c>
      <c r="F354">
        <v>1.8380464419074017E-4</v>
      </c>
      <c r="G354">
        <f t="shared" si="1"/>
        <v>9.6149625898487037E-2</v>
      </c>
      <c r="H354">
        <v>4.6594774631547996E-3</v>
      </c>
      <c r="I354">
        <v>1.4155958348836679E-4</v>
      </c>
      <c r="J354">
        <v>9.9314522785993415E-5</v>
      </c>
      <c r="K354">
        <v>5.7069462083620017E-5</v>
      </c>
      <c r="L354">
        <v>1.4824401381246659E-5</v>
      </c>
      <c r="M354">
        <v>-2.7420659321126725E-5</v>
      </c>
      <c r="N354">
        <v>-6.9665720023500137E-5</v>
      </c>
    </row>
    <row r="355" spans="1:14" x14ac:dyDescent="0.35">
      <c r="A355">
        <v>101</v>
      </c>
      <c r="B355" t="s">
        <v>29</v>
      </c>
      <c r="C355" s="23">
        <v>42885</v>
      </c>
      <c r="D355">
        <v>2.132164855645E-4</v>
      </c>
      <c r="E355">
        <v>-0.23382859</v>
      </c>
      <c r="F355">
        <v>-4.9856110039354153E-5</v>
      </c>
      <c r="G355">
        <f t="shared" si="1"/>
        <v>9.6099769788447684E-2</v>
      </c>
      <c r="H355">
        <v>4.5957674119512003E-3</v>
      </c>
      <c r="I355">
        <v>-6.6499926473086686E-5</v>
      </c>
      <c r="J355">
        <v>-8.3143742906819219E-5</v>
      </c>
      <c r="K355">
        <v>-9.9787559340551766E-5</v>
      </c>
      <c r="L355">
        <v>-1.1643137577428429E-4</v>
      </c>
      <c r="M355">
        <v>-1.3307519220801683E-4</v>
      </c>
      <c r="N355">
        <v>-1.4971900864174935E-4</v>
      </c>
    </row>
    <row r="356" spans="1:14" x14ac:dyDescent="0.35">
      <c r="A356">
        <v>102</v>
      </c>
      <c r="B356" t="s">
        <v>29</v>
      </c>
      <c r="C356" s="23">
        <v>42886</v>
      </c>
      <c r="D356">
        <v>1.6037915344918E-2</v>
      </c>
      <c r="E356">
        <v>-0.32068476000000001</v>
      </c>
      <c r="F356">
        <v>-5.143115046259133E-3</v>
      </c>
      <c r="G356">
        <f t="shared" si="1"/>
        <v>9.0956654742188545E-2</v>
      </c>
      <c r="H356">
        <v>4.5208238966853997E-3</v>
      </c>
      <c r="I356">
        <v>-5.1525905740441597E-3</v>
      </c>
      <c r="J356">
        <v>-5.1620661018291865E-3</v>
      </c>
      <c r="K356">
        <v>-5.1715416296142132E-3</v>
      </c>
      <c r="L356">
        <v>-5.1810171573992399E-3</v>
      </c>
      <c r="M356">
        <v>-5.1904926851842666E-3</v>
      </c>
      <c r="N356">
        <v>-5.1999682129692934E-3</v>
      </c>
    </row>
    <row r="357" spans="1:14" x14ac:dyDescent="0.35">
      <c r="A357">
        <v>103</v>
      </c>
      <c r="B357" t="s">
        <v>29</v>
      </c>
      <c r="C357" s="23">
        <v>42887</v>
      </c>
      <c r="D357">
        <v>6.9408802816263004E-3</v>
      </c>
      <c r="E357">
        <v>-0.55924815000000005</v>
      </c>
      <c r="F357">
        <v>-3.8816744526716787E-3</v>
      </c>
      <c r="G357">
        <f t="shared" si="1"/>
        <v>8.7074980289516865E-2</v>
      </c>
      <c r="H357">
        <v>4.6228891538517003E-3</v>
      </c>
      <c r="I357">
        <v>-3.9053155191088335E-3</v>
      </c>
      <c r="J357">
        <v>-3.9289565855459884E-3</v>
      </c>
      <c r="K357">
        <v>-3.9525976519831424E-3</v>
      </c>
      <c r="L357">
        <v>-3.9762387184202972E-3</v>
      </c>
      <c r="M357">
        <v>-3.9998797848574521E-3</v>
      </c>
      <c r="N357">
        <v>-4.0235208512946069E-3</v>
      </c>
    </row>
    <row r="358" spans="1:14" x14ac:dyDescent="0.35">
      <c r="A358">
        <v>104</v>
      </c>
      <c r="B358" t="s">
        <v>29</v>
      </c>
      <c r="C358" s="23">
        <v>42888</v>
      </c>
      <c r="D358">
        <v>-2.7569674588685E-3</v>
      </c>
      <c r="E358">
        <v>-0.5179125</v>
      </c>
      <c r="F358">
        <v>1.427867928497675E-3</v>
      </c>
      <c r="G358">
        <f t="shared" si="1"/>
        <v>8.8502848218014546E-2</v>
      </c>
      <c r="H358">
        <v>4.5693407344133E-3</v>
      </c>
      <c r="I358">
        <v>1.4242637489171614E-3</v>
      </c>
      <c r="J358">
        <v>1.4206595693366478E-3</v>
      </c>
      <c r="K358">
        <v>1.4170553897561342E-3</v>
      </c>
      <c r="L358">
        <v>1.4134512101756206E-3</v>
      </c>
      <c r="M358">
        <v>1.4098470305951071E-3</v>
      </c>
      <c r="N358">
        <v>1.4062428510145935E-3</v>
      </c>
    </row>
    <row r="359" spans="1:14" x14ac:dyDescent="0.35">
      <c r="A359">
        <v>105</v>
      </c>
      <c r="B359" t="s">
        <v>29</v>
      </c>
      <c r="C359" s="23">
        <v>42891</v>
      </c>
      <c r="D359">
        <v>-3.2256591997924999E-3</v>
      </c>
      <c r="E359">
        <v>-0.27567342</v>
      </c>
      <c r="F359">
        <v>8.892285009005252E-4</v>
      </c>
      <c r="G359">
        <f t="shared" si="1"/>
        <v>8.9392076718915067E-2</v>
      </c>
      <c r="H359">
        <v>4.5122587574881997E-3</v>
      </c>
      <c r="I359">
        <v>8.6454231892136896E-4</v>
      </c>
      <c r="J359">
        <v>8.3985613694221261E-4</v>
      </c>
      <c r="K359">
        <v>8.1516995496305636E-4</v>
      </c>
      <c r="L359">
        <v>7.9048377298390011E-4</v>
      </c>
      <c r="M359">
        <v>7.6579759100474387E-4</v>
      </c>
      <c r="N359">
        <v>7.4111140902558752E-4</v>
      </c>
    </row>
    <row r="360" spans="1:14" x14ac:dyDescent="0.35">
      <c r="A360">
        <v>106</v>
      </c>
      <c r="B360" t="s">
        <v>29</v>
      </c>
      <c r="C360" s="23">
        <v>42892</v>
      </c>
      <c r="D360">
        <v>1.0898395093771999E-3</v>
      </c>
      <c r="E360">
        <v>-0.30672319999999997</v>
      </c>
      <c r="F360">
        <v>-3.3427906968796014E-4</v>
      </c>
      <c r="G360">
        <f t="shared" si="1"/>
        <v>8.9057797649227111E-2</v>
      </c>
      <c r="H360">
        <v>4.4585963806923002E-3</v>
      </c>
      <c r="I360">
        <v>-3.3791666754715856E-4</v>
      </c>
      <c r="J360">
        <v>-3.4155426540635698E-4</v>
      </c>
      <c r="K360">
        <v>-3.451918632655554E-4</v>
      </c>
      <c r="L360">
        <v>-3.4882946112475382E-4</v>
      </c>
      <c r="M360">
        <v>-3.5246705898395224E-4</v>
      </c>
      <c r="N360">
        <v>-3.5610465684315066E-4</v>
      </c>
    </row>
    <row r="361" spans="1:14" x14ac:dyDescent="0.35">
      <c r="A361">
        <v>107</v>
      </c>
      <c r="B361" t="s">
        <v>29</v>
      </c>
      <c r="C361" s="23">
        <v>42893</v>
      </c>
      <c r="D361">
        <v>4.4300821278999997E-4</v>
      </c>
      <c r="E361">
        <v>-0.46346280000000001</v>
      </c>
      <c r="F361">
        <v>-2.053178266285194E-4</v>
      </c>
      <c r="G361">
        <f t="shared" si="1"/>
        <v>8.8852479822598585E-2</v>
      </c>
      <c r="H361">
        <v>4.3851620284425996E-3</v>
      </c>
      <c r="I361">
        <v>-2.2274916920676969E-4</v>
      </c>
      <c r="J361">
        <v>-2.4018051178501996E-4</v>
      </c>
      <c r="K361">
        <v>-2.5761185436327027E-4</v>
      </c>
      <c r="L361">
        <v>-2.7504319694152053E-4</v>
      </c>
      <c r="M361">
        <v>-2.924745395197708E-4</v>
      </c>
      <c r="N361">
        <v>-3.0990588209802111E-4</v>
      </c>
    </row>
    <row r="362" spans="1:14" x14ac:dyDescent="0.35">
      <c r="A362">
        <v>108</v>
      </c>
      <c r="B362" t="s">
        <v>29</v>
      </c>
      <c r="C362" s="23">
        <v>42894</v>
      </c>
      <c r="D362">
        <v>-1.8009411191495001E-3</v>
      </c>
      <c r="E362">
        <v>-0.40665533999999998</v>
      </c>
      <c r="F362">
        <v>7.3236232562525665E-4</v>
      </c>
      <c r="G362">
        <f t="shared" si="1"/>
        <v>8.9584842148223848E-2</v>
      </c>
      <c r="H362">
        <v>4.3138855753281002E-3</v>
      </c>
      <c r="I362">
        <v>7.2696581251965116E-4</v>
      </c>
      <c r="J362">
        <v>7.2156929941404578E-4</v>
      </c>
      <c r="K362">
        <v>7.1617278630844029E-4</v>
      </c>
      <c r="L362">
        <v>7.1077627320283491E-4</v>
      </c>
      <c r="M362">
        <v>7.0537976009722942E-4</v>
      </c>
      <c r="N362">
        <v>6.9998324699162393E-4</v>
      </c>
    </row>
    <row r="363" spans="1:14" x14ac:dyDescent="0.35">
      <c r="A363">
        <v>109</v>
      </c>
      <c r="B363" t="s">
        <v>29</v>
      </c>
      <c r="C363" s="23">
        <v>42895</v>
      </c>
      <c r="D363">
        <v>-1.8286424060420001E-3</v>
      </c>
      <c r="E363">
        <v>-0.29934904000000001</v>
      </c>
      <c r="F363">
        <v>5.4740234837346051E-4</v>
      </c>
      <c r="G363">
        <f t="shared" si="1"/>
        <v>9.0132244496597305E-2</v>
      </c>
      <c r="H363">
        <v>4.2520324683800997E-3</v>
      </c>
      <c r="I363">
        <v>5.3612710075113732E-4</v>
      </c>
      <c r="J363">
        <v>5.2485185312881402E-4</v>
      </c>
      <c r="K363">
        <v>5.1357660550649083E-4</v>
      </c>
      <c r="L363">
        <v>5.0230135788416753E-4</v>
      </c>
      <c r="M363">
        <v>4.9102611026184434E-4</v>
      </c>
      <c r="N363">
        <v>4.7975086263952105E-4</v>
      </c>
    </row>
    <row r="364" spans="1:14" x14ac:dyDescent="0.35">
      <c r="A364">
        <v>110</v>
      </c>
      <c r="B364" t="s">
        <v>29</v>
      </c>
      <c r="C364" s="23">
        <v>42898</v>
      </c>
      <c r="D364">
        <v>1.0677292810052299E-2</v>
      </c>
      <c r="E364">
        <v>-0.36195925000000001</v>
      </c>
      <c r="F364">
        <v>-3.8647448845434834E-3</v>
      </c>
      <c r="G364">
        <f t="shared" si="1"/>
        <v>8.6267499612053822E-2</v>
      </c>
      <c r="H364">
        <v>4.1907289129604003E-3</v>
      </c>
      <c r="I364">
        <v>-3.8722900143838526E-3</v>
      </c>
      <c r="J364">
        <v>-3.8798351442242219E-3</v>
      </c>
      <c r="K364">
        <v>-3.8873802740645906E-3</v>
      </c>
      <c r="L364">
        <v>-3.8949254039049599E-3</v>
      </c>
      <c r="M364">
        <v>-3.9024705337453291E-3</v>
      </c>
      <c r="N364">
        <v>-3.9100156635856979E-3</v>
      </c>
    </row>
    <row r="365" spans="1:14" x14ac:dyDescent="0.35">
      <c r="A365">
        <v>111</v>
      </c>
      <c r="B365" t="s">
        <v>29</v>
      </c>
      <c r="C365" s="23">
        <v>42899</v>
      </c>
      <c r="D365">
        <v>-2.5440321673758002E-3</v>
      </c>
      <c r="E365">
        <v>-0.59193074999999995</v>
      </c>
      <c r="F365">
        <v>1.5058908613086166E-3</v>
      </c>
      <c r="G365">
        <f t="shared" si="1"/>
        <v>8.7773390473362439E-2</v>
      </c>
      <c r="H365">
        <v>4.1861159909930999E-3</v>
      </c>
      <c r="I365">
        <v>1.4798907334233203E-3</v>
      </c>
      <c r="J365">
        <v>1.453890605538024E-3</v>
      </c>
      <c r="K365">
        <v>1.4278904776527277E-3</v>
      </c>
      <c r="L365">
        <v>1.4018903497674314E-3</v>
      </c>
      <c r="M365">
        <v>1.3758902218821351E-3</v>
      </c>
      <c r="N365">
        <v>1.3498900939968388E-3</v>
      </c>
    </row>
    <row r="366" spans="1:14" x14ac:dyDescent="0.35">
      <c r="A366">
        <v>112</v>
      </c>
      <c r="B366" t="s">
        <v>29</v>
      </c>
      <c r="C366" s="23">
        <v>42900</v>
      </c>
      <c r="D366">
        <v>-2.8153334004355E-3</v>
      </c>
      <c r="E366">
        <v>-0.13675988</v>
      </c>
      <c r="F366">
        <v>3.850246501343985E-4</v>
      </c>
      <c r="G366">
        <f t="shared" si="1"/>
        <v>8.8158415123496842E-2</v>
      </c>
      <c r="H366">
        <v>4.1312581310737999E-3</v>
      </c>
      <c r="I366">
        <v>3.338578777023147E-4</v>
      </c>
      <c r="J366">
        <v>2.8269110527023085E-4</v>
      </c>
      <c r="K366">
        <v>2.3152433283814706E-4</v>
      </c>
      <c r="L366">
        <v>1.8035756040606326E-4</v>
      </c>
      <c r="M366">
        <v>1.2919078797397947E-4</v>
      </c>
      <c r="N366">
        <v>7.8024015541895621E-5</v>
      </c>
    </row>
    <row r="367" spans="1:14" x14ac:dyDescent="0.35">
      <c r="A367">
        <v>113</v>
      </c>
      <c r="B367" t="s">
        <v>29</v>
      </c>
      <c r="C367" s="23">
        <v>42901</v>
      </c>
      <c r="D367">
        <v>6.0917941380379999E-4</v>
      </c>
      <c r="E367">
        <v>-0.38238242</v>
      </c>
      <c r="F367">
        <v>-2.329395001005048E-4</v>
      </c>
      <c r="G367">
        <f t="shared" si="1"/>
        <v>8.7925475623396337E-2</v>
      </c>
      <c r="H367">
        <v>4.0781253000875999E-3</v>
      </c>
      <c r="I367">
        <v>-2.6159893225096386E-4</v>
      </c>
      <c r="J367">
        <v>-2.9025836440142293E-4</v>
      </c>
      <c r="K367">
        <v>-3.1891779655188201E-4</v>
      </c>
      <c r="L367">
        <v>-3.4757722870234104E-4</v>
      </c>
      <c r="M367">
        <v>-3.7623666085280006E-4</v>
      </c>
      <c r="N367">
        <v>-4.0489609300325914E-4</v>
      </c>
    </row>
    <row r="368" spans="1:14" x14ac:dyDescent="0.35">
      <c r="A368">
        <v>114</v>
      </c>
      <c r="B368" t="s">
        <v>29</v>
      </c>
      <c r="C368" s="23">
        <v>42902</v>
      </c>
      <c r="D368">
        <v>1.2199332695604199E-2</v>
      </c>
      <c r="E368">
        <v>-0.57176640000000001</v>
      </c>
      <c r="F368">
        <v>-6.9751682510270016E-3</v>
      </c>
      <c r="G368">
        <f t="shared" si="1"/>
        <v>8.0950307372369329E-2</v>
      </c>
      <c r="H368">
        <v>4.0113508951875997E-3</v>
      </c>
      <c r="I368">
        <v>-6.9982112551517719E-3</v>
      </c>
      <c r="J368">
        <v>-7.0212542592765432E-3</v>
      </c>
      <c r="K368">
        <v>-7.0442972634013135E-3</v>
      </c>
      <c r="L368">
        <v>-7.0673402675260847E-3</v>
      </c>
      <c r="M368">
        <v>-7.090383271650855E-3</v>
      </c>
      <c r="N368">
        <v>-7.1134262757756262E-3</v>
      </c>
    </row>
    <row r="369" spans="1:14" x14ac:dyDescent="0.35">
      <c r="A369">
        <v>115</v>
      </c>
      <c r="B369" t="s">
        <v>29</v>
      </c>
      <c r="C369" s="23">
        <v>42905</v>
      </c>
      <c r="D369">
        <v>-9.5845230960480993E-3</v>
      </c>
      <c r="E369">
        <v>-0.65461820000000004</v>
      </c>
      <c r="F369">
        <v>6.2742032918809455E-3</v>
      </c>
      <c r="G369">
        <f t="shared" si="1"/>
        <v>8.7224510664250271E-2</v>
      </c>
      <c r="H369">
        <v>4.0280771491578004E-3</v>
      </c>
      <c r="I369">
        <v>6.2647651828534063E-3</v>
      </c>
      <c r="J369">
        <v>6.2553270738258671E-3</v>
      </c>
      <c r="K369">
        <v>6.2458889647983278E-3</v>
      </c>
      <c r="L369">
        <v>6.2364508557707886E-3</v>
      </c>
      <c r="M369">
        <v>6.2270127467432494E-3</v>
      </c>
      <c r="N369">
        <v>6.2175746377157101E-3</v>
      </c>
    </row>
    <row r="370" spans="1:14" x14ac:dyDescent="0.35">
      <c r="A370">
        <v>116</v>
      </c>
      <c r="B370" t="s">
        <v>29</v>
      </c>
      <c r="C370" s="23">
        <v>42906</v>
      </c>
      <c r="D370">
        <v>-3.8217548935322002E-3</v>
      </c>
      <c r="E370">
        <v>0.12440518</v>
      </c>
      <c r="F370">
        <v>-4.7544611652137027E-4</v>
      </c>
      <c r="G370">
        <f t="shared" si="1"/>
        <v>8.6749064547728905E-2</v>
      </c>
      <c r="H370">
        <v>4.0573598313078003E-3</v>
      </c>
      <c r="I370">
        <v>-5.6671293340761881E-4</v>
      </c>
      <c r="J370">
        <v>-6.5797975029386734E-4</v>
      </c>
      <c r="K370">
        <v>-7.4924656718011588E-4</v>
      </c>
      <c r="L370">
        <v>-8.4051338406636441E-4</v>
      </c>
      <c r="M370">
        <v>-9.3178020095261295E-4</v>
      </c>
      <c r="N370">
        <v>-1.0230470178388615E-3</v>
      </c>
    </row>
    <row r="371" spans="1:14" x14ac:dyDescent="0.35">
      <c r="A371">
        <v>117</v>
      </c>
      <c r="B371" t="s">
        <v>29</v>
      </c>
      <c r="C371" s="23">
        <v>42907</v>
      </c>
      <c r="D371">
        <v>-1.6940399594868E-3</v>
      </c>
      <c r="E371">
        <v>-0.54797499999999999</v>
      </c>
      <c r="F371">
        <v>9.2829155310047257E-4</v>
      </c>
      <c r="G371">
        <f t="shared" si="1"/>
        <v>8.7677356100829371E-2</v>
      </c>
      <c r="H371">
        <v>4.0111974118776997E-3</v>
      </c>
      <c r="I371">
        <v>8.4926251810304011E-4</v>
      </c>
      <c r="J371">
        <v>7.7023348310560754E-4</v>
      </c>
      <c r="K371">
        <v>6.9120444810817508E-4</v>
      </c>
      <c r="L371">
        <v>6.1217541311074262E-4</v>
      </c>
      <c r="M371">
        <v>5.3314637811331016E-4</v>
      </c>
      <c r="N371">
        <v>4.5411734311587765E-4</v>
      </c>
    </row>
    <row r="372" spans="1:14" x14ac:dyDescent="0.35">
      <c r="A372">
        <v>118</v>
      </c>
      <c r="B372" t="s">
        <v>29</v>
      </c>
      <c r="C372" s="23">
        <v>42908</v>
      </c>
      <c r="D372">
        <v>3.1958265592059E-3</v>
      </c>
      <c r="E372">
        <v>-0.21249533000000001</v>
      </c>
      <c r="F372">
        <v>-6.7909820972047866E-4</v>
      </c>
      <c r="G372">
        <f t="shared" si="1"/>
        <v>8.6998257891108891E-2</v>
      </c>
      <c r="H372">
        <v>3.9515931454752002E-3</v>
      </c>
      <c r="I372">
        <v>-7.1823488648464643E-4</v>
      </c>
      <c r="J372">
        <v>-7.5737156324881419E-4</v>
      </c>
      <c r="K372">
        <v>-7.9650824001298184E-4</v>
      </c>
      <c r="L372">
        <v>-8.3564491677714961E-4</v>
      </c>
      <c r="M372">
        <v>-8.7478159354131737E-4</v>
      </c>
      <c r="N372">
        <v>-9.1391827030548514E-4</v>
      </c>
    </row>
    <row r="373" spans="1:14" x14ac:dyDescent="0.35">
      <c r="A373">
        <v>119</v>
      </c>
      <c r="B373" t="s">
        <v>29</v>
      </c>
      <c r="C373" s="23">
        <v>42909</v>
      </c>
      <c r="D373">
        <v>9.9781420893320003E-4</v>
      </c>
      <c r="E373">
        <v>-0.59207904</v>
      </c>
      <c r="F373">
        <v>-5.9078488230448892E-4</v>
      </c>
      <c r="G373">
        <f t="shared" si="1"/>
        <v>8.64074730088044E-2</v>
      </c>
      <c r="H373">
        <v>3.8890393647635999E-3</v>
      </c>
      <c r="I373">
        <v>-6.3730683534659748E-4</v>
      </c>
      <c r="J373">
        <v>-6.8382878838870592E-4</v>
      </c>
      <c r="K373">
        <v>-7.3035074143081437E-4</v>
      </c>
      <c r="L373">
        <v>-7.7687269447292292E-4</v>
      </c>
      <c r="M373">
        <v>-8.2339464751503136E-4</v>
      </c>
      <c r="N373">
        <v>-8.6991660055713992E-4</v>
      </c>
    </row>
    <row r="374" spans="1:14" x14ac:dyDescent="0.35">
      <c r="A374">
        <v>120</v>
      </c>
      <c r="B374" t="s">
        <v>29</v>
      </c>
      <c r="C374" s="23">
        <v>42912</v>
      </c>
      <c r="D374">
        <v>-1.5719297487459399E-2</v>
      </c>
      <c r="E374">
        <v>-0.19679696999999999</v>
      </c>
      <c r="F374">
        <v>3.0935100937280959E-3</v>
      </c>
      <c r="G374">
        <f t="shared" si="1"/>
        <v>8.9500983102532503E-2</v>
      </c>
      <c r="H374">
        <v>3.8248311691059002E-3</v>
      </c>
      <c r="I374">
        <v>3.0458910350187733E-3</v>
      </c>
      <c r="J374">
        <v>2.9982719763094507E-3</v>
      </c>
      <c r="K374">
        <v>2.9506529176001285E-3</v>
      </c>
      <c r="L374">
        <v>2.9030338588908059E-3</v>
      </c>
      <c r="M374">
        <v>2.8554148001814833E-3</v>
      </c>
      <c r="N374">
        <v>2.8077957414721607E-3</v>
      </c>
    </row>
    <row r="375" spans="1:14" x14ac:dyDescent="0.35">
      <c r="A375">
        <v>121</v>
      </c>
      <c r="B375" t="s">
        <v>29</v>
      </c>
      <c r="C375" s="23">
        <v>42913</v>
      </c>
      <c r="D375">
        <v>1.7741246279726799E-2</v>
      </c>
      <c r="E375">
        <v>0.31073010000000001</v>
      </c>
      <c r="F375">
        <v>5.5127392249121566E-3</v>
      </c>
      <c r="G375">
        <f t="shared" si="1"/>
        <v>9.5013722327444664E-2</v>
      </c>
      <c r="H375">
        <v>3.9607212832049998E-3</v>
      </c>
      <c r="I375">
        <v>5.4513647053044843E-3</v>
      </c>
      <c r="J375">
        <v>5.389990185696812E-3</v>
      </c>
      <c r="K375">
        <v>5.3286156660891388E-3</v>
      </c>
      <c r="L375">
        <v>5.2672411464814665E-3</v>
      </c>
      <c r="M375">
        <v>5.2058666268737942E-3</v>
      </c>
      <c r="N375">
        <v>5.1444921072661218E-3</v>
      </c>
    </row>
    <row r="376" spans="1:14" x14ac:dyDescent="0.35">
      <c r="A376">
        <v>122</v>
      </c>
      <c r="B376" t="s">
        <v>29</v>
      </c>
      <c r="C376" s="23">
        <v>42914</v>
      </c>
      <c r="D376">
        <v>-1.74855630835309E-2</v>
      </c>
      <c r="E376">
        <v>-0.67934185000000002</v>
      </c>
      <c r="F376">
        <v>1.1878674820055694E-2</v>
      </c>
      <c r="G376">
        <f t="shared" si="1"/>
        <v>0.10689239714750036</v>
      </c>
      <c r="H376">
        <v>4.0997779448668998E-3</v>
      </c>
      <c r="I376">
        <v>1.1763322409879453E-2</v>
      </c>
      <c r="J376">
        <v>1.164796999970321E-2</v>
      </c>
      <c r="K376">
        <v>1.1532617589526969E-2</v>
      </c>
      <c r="L376">
        <v>1.1417265179350728E-2</v>
      </c>
      <c r="M376">
        <v>1.1301912769174487E-2</v>
      </c>
      <c r="N376">
        <v>1.1186560358998244E-2</v>
      </c>
    </row>
    <row r="377" spans="1:14" x14ac:dyDescent="0.35">
      <c r="A377">
        <v>123</v>
      </c>
      <c r="B377" t="s">
        <v>29</v>
      </c>
      <c r="C377" s="23">
        <v>42915</v>
      </c>
      <c r="D377">
        <v>9.1046705447500001E-4</v>
      </c>
      <c r="E377">
        <v>0.47402558</v>
      </c>
      <c r="F377">
        <v>4.3158467111628575E-4</v>
      </c>
      <c r="G377">
        <f t="shared" si="1"/>
        <v>0.10732398181861665</v>
      </c>
      <c r="H377">
        <v>4.2885589809392999E-3</v>
      </c>
      <c r="I377">
        <v>3.0107602893451792E-4</v>
      </c>
      <c r="J377">
        <v>1.7056738675275005E-4</v>
      </c>
      <c r="K377">
        <v>4.0058744570982223E-5</v>
      </c>
      <c r="L377">
        <v>-9.0449897610785654E-5</v>
      </c>
      <c r="M377">
        <v>-2.2095853979255337E-4</v>
      </c>
      <c r="N377">
        <v>-3.514671819743213E-4</v>
      </c>
    </row>
    <row r="378" spans="1:14" x14ac:dyDescent="0.35">
      <c r="A378">
        <v>124</v>
      </c>
      <c r="B378" t="s">
        <v>29</v>
      </c>
      <c r="C378" s="23">
        <v>42916</v>
      </c>
      <c r="D378">
        <v>3.7014934339394999E-3</v>
      </c>
      <c r="E378">
        <v>-0.41131127000000001</v>
      </c>
      <c r="F378">
        <v>-1.5224659607924271E-3</v>
      </c>
      <c r="G378">
        <f t="shared" si="1"/>
        <v>0.10580151585782421</v>
      </c>
      <c r="H378">
        <v>4.2177342003079004E-3</v>
      </c>
      <c r="I378">
        <v>-1.6207613376447718E-3</v>
      </c>
      <c r="J378">
        <v>-1.7190567144971165E-3</v>
      </c>
      <c r="K378">
        <v>-1.8173520913494611E-3</v>
      </c>
      <c r="L378">
        <v>-1.9156474682018058E-3</v>
      </c>
      <c r="M378">
        <v>-2.0139428450541503E-3</v>
      </c>
      <c r="N378">
        <v>-2.1122382219064951E-3</v>
      </c>
    </row>
    <row r="379" spans="1:14" x14ac:dyDescent="0.35">
      <c r="A379">
        <v>125</v>
      </c>
      <c r="B379" t="s">
        <v>29</v>
      </c>
      <c r="C379" s="23">
        <v>42919</v>
      </c>
      <c r="D379">
        <v>2.8132133926048E-3</v>
      </c>
      <c r="E379">
        <v>-2.8713537000000001E-2</v>
      </c>
      <c r="F379">
        <v>-8.0777307906753889E-5</v>
      </c>
      <c r="G379">
        <f t="shared" si="1"/>
        <v>0.10572073854991745</v>
      </c>
      <c r="H379">
        <v>4.1552563724113001E-3</v>
      </c>
      <c r="I379">
        <v>-1.2358618667231264E-4</v>
      </c>
      <c r="J379">
        <v>-1.6639506543787138E-4</v>
      </c>
      <c r="K379">
        <v>-2.0920394420343013E-4</v>
      </c>
      <c r="L379">
        <v>-2.5201282296898888E-4</v>
      </c>
      <c r="M379">
        <v>-2.9482170173454766E-4</v>
      </c>
      <c r="N379">
        <v>-3.3763058050010638E-4</v>
      </c>
    </row>
    <row r="380" spans="1:14" x14ac:dyDescent="0.35">
      <c r="A380">
        <v>126</v>
      </c>
      <c r="B380" t="s">
        <v>29</v>
      </c>
      <c r="C380" s="23">
        <v>42921</v>
      </c>
      <c r="D380">
        <v>-1.8555573355712202E-2</v>
      </c>
      <c r="E380">
        <v>-0.24980462</v>
      </c>
      <c r="F380">
        <v>4.635267876308983E-3</v>
      </c>
      <c r="G380">
        <f t="shared" si="1"/>
        <v>0.11035600642622644</v>
      </c>
      <c r="H380">
        <v>4.0898044138759004E-3</v>
      </c>
      <c r="I380">
        <v>4.6096751103305031E-3</v>
      </c>
      <c r="J380">
        <v>4.5840823443520232E-3</v>
      </c>
      <c r="K380">
        <v>4.5584895783735433E-3</v>
      </c>
      <c r="L380">
        <v>4.5328968123950633E-3</v>
      </c>
      <c r="M380">
        <v>4.5073040464165834E-3</v>
      </c>
      <c r="N380">
        <v>4.4817112804381035E-3</v>
      </c>
    </row>
    <row r="381" spans="1:14" x14ac:dyDescent="0.35">
      <c r="A381">
        <v>127</v>
      </c>
      <c r="B381" t="s">
        <v>29</v>
      </c>
      <c r="C381" s="23">
        <v>42922</v>
      </c>
      <c r="D381">
        <v>1.27873186507345E-2</v>
      </c>
      <c r="E381">
        <v>0.53903500000000004</v>
      </c>
      <c r="F381">
        <v>6.8928125935285092E-3</v>
      </c>
      <c r="G381">
        <f t="shared" si="1"/>
        <v>0.11724881901975495</v>
      </c>
      <c r="H381">
        <v>4.2952939083800998E-3</v>
      </c>
      <c r="I381">
        <v>6.8046645777752046E-3</v>
      </c>
      <c r="J381">
        <v>6.7165165620218991E-3</v>
      </c>
      <c r="K381">
        <v>6.6283685462685945E-3</v>
      </c>
      <c r="L381">
        <v>6.5402205305152891E-3</v>
      </c>
      <c r="M381">
        <v>6.4520725147619844E-3</v>
      </c>
      <c r="N381">
        <v>6.3639244990086798E-3</v>
      </c>
    </row>
    <row r="382" spans="1:14" x14ac:dyDescent="0.35">
      <c r="A382">
        <v>128</v>
      </c>
      <c r="B382" t="s">
        <v>29</v>
      </c>
      <c r="C382" s="23">
        <v>42923</v>
      </c>
      <c r="D382">
        <v>1.7943213034249E-3</v>
      </c>
      <c r="E382">
        <v>-0.5639459</v>
      </c>
      <c r="F382">
        <v>-1.0119001234602388E-3</v>
      </c>
      <c r="G382">
        <f t="shared" si="1"/>
        <v>0.11623691889629471</v>
      </c>
      <c r="H382">
        <v>4.3476741311741004E-3</v>
      </c>
      <c r="I382">
        <v>-1.1324738281022152E-3</v>
      </c>
      <c r="J382">
        <v>-1.2530475327441916E-3</v>
      </c>
      <c r="K382">
        <v>-1.373621237386168E-3</v>
      </c>
      <c r="L382">
        <v>-1.4941949420281444E-3</v>
      </c>
      <c r="M382">
        <v>-1.614768646670121E-3</v>
      </c>
      <c r="N382">
        <v>-1.7353423513120974E-3</v>
      </c>
    </row>
    <row r="383" spans="1:14" x14ac:dyDescent="0.35">
      <c r="A383">
        <v>129</v>
      </c>
      <c r="B383" t="s">
        <v>29</v>
      </c>
      <c r="C383" s="23">
        <v>42926</v>
      </c>
      <c r="D383">
        <v>0</v>
      </c>
      <c r="E383">
        <v>0.33703125</v>
      </c>
      <c r="F383">
        <v>0</v>
      </c>
      <c r="G383">
        <f t="shared" ref="G383:G446" si="2">G382+F383</f>
        <v>0.11623691889629471</v>
      </c>
      <c r="H383">
        <v>4.2769548598602996E-3</v>
      </c>
      <c r="I383">
        <v>-9.851350230536871E-5</v>
      </c>
      <c r="J383">
        <v>-1.9702700461073742E-4</v>
      </c>
      <c r="K383">
        <v>-2.9554050691610616E-4</v>
      </c>
      <c r="L383">
        <v>-3.9405400922147484E-4</v>
      </c>
      <c r="M383">
        <v>-4.9256751152684352E-4</v>
      </c>
      <c r="N383">
        <v>-5.9108101383221231E-4</v>
      </c>
    </row>
    <row r="384" spans="1:14" x14ac:dyDescent="0.35">
      <c r="A384">
        <v>130</v>
      </c>
      <c r="B384" t="s">
        <v>29</v>
      </c>
      <c r="C384" s="23">
        <v>42927</v>
      </c>
      <c r="D384">
        <v>1.4360548315901001E-2</v>
      </c>
      <c r="E384">
        <v>-0.10307767</v>
      </c>
      <c r="F384">
        <v>-1.4802518951057737E-3</v>
      </c>
      <c r="G384">
        <f t="shared" si="2"/>
        <v>0.11475666700118894</v>
      </c>
      <c r="H384">
        <v>4.2065831307011E-3</v>
      </c>
      <c r="I384">
        <v>-1.5290591958249263E-3</v>
      </c>
      <c r="J384">
        <v>-1.5778664965440787E-3</v>
      </c>
      <c r="K384">
        <v>-1.6266737972632313E-3</v>
      </c>
      <c r="L384">
        <v>-1.6754810979823836E-3</v>
      </c>
      <c r="M384">
        <v>-1.7242883987015362E-3</v>
      </c>
      <c r="N384">
        <v>-1.7730956994206888E-3</v>
      </c>
    </row>
    <row r="385" spans="1:14" x14ac:dyDescent="0.35">
      <c r="A385">
        <v>131</v>
      </c>
      <c r="B385" t="s">
        <v>29</v>
      </c>
      <c r="C385" s="23">
        <v>42928</v>
      </c>
      <c r="D385">
        <v>4.9763193650576003E-3</v>
      </c>
      <c r="E385">
        <v>-0.55625349999999996</v>
      </c>
      <c r="F385">
        <v>-2.7680950282617254E-3</v>
      </c>
      <c r="G385">
        <f t="shared" si="2"/>
        <v>0.11198857197292722</v>
      </c>
      <c r="H385">
        <v>4.2801166710608003E-3</v>
      </c>
      <c r="I385">
        <v>-2.8179194060091927E-3</v>
      </c>
      <c r="J385">
        <v>-2.8677437837566597E-3</v>
      </c>
      <c r="K385">
        <v>-2.9175681615041271E-3</v>
      </c>
      <c r="L385">
        <v>-2.967392539251594E-3</v>
      </c>
      <c r="M385">
        <v>-3.0172169169990614E-3</v>
      </c>
      <c r="N385">
        <v>-3.0670412947465284E-3</v>
      </c>
    </row>
    <row r="386" spans="1:14" x14ac:dyDescent="0.35">
      <c r="A386">
        <v>132</v>
      </c>
      <c r="B386" t="s">
        <v>29</v>
      </c>
      <c r="C386" s="23">
        <v>42929</v>
      </c>
      <c r="D386">
        <v>9.6107939562571007E-3</v>
      </c>
      <c r="E386">
        <v>6.0624782000000002E-2</v>
      </c>
      <c r="F386">
        <v>5.8265228840667389E-4</v>
      </c>
      <c r="G386">
        <f t="shared" si="2"/>
        <v>0.1125712242613339</v>
      </c>
      <c r="H386">
        <v>4.2213693638754003E-3</v>
      </c>
      <c r="I386">
        <v>5.1446578287659144E-4</v>
      </c>
      <c r="J386">
        <v>4.4627927734650904E-4</v>
      </c>
      <c r="K386">
        <v>3.7809277181642665E-4</v>
      </c>
      <c r="L386">
        <v>3.099062662863442E-4</v>
      </c>
      <c r="M386">
        <v>2.417197607562618E-4</v>
      </c>
      <c r="N386">
        <v>1.7353325522617935E-4</v>
      </c>
    </row>
    <row r="387" spans="1:14" x14ac:dyDescent="0.35">
      <c r="A387">
        <v>133</v>
      </c>
      <c r="B387" t="s">
        <v>29</v>
      </c>
      <c r="C387" s="23">
        <v>42930</v>
      </c>
      <c r="D387">
        <v>2.2868623280892998E-3</v>
      </c>
      <c r="E387">
        <v>-0.65276396000000003</v>
      </c>
      <c r="F387">
        <v>-1.492781315537352E-3</v>
      </c>
      <c r="G387">
        <f t="shared" si="2"/>
        <v>0.11107844294579654</v>
      </c>
      <c r="H387">
        <v>4.2059355604532004E-3</v>
      </c>
      <c r="I387">
        <v>-1.5728918620074521E-3</v>
      </c>
      <c r="J387">
        <v>-1.6530024084775521E-3</v>
      </c>
      <c r="K387">
        <v>-1.733112954947652E-3</v>
      </c>
      <c r="L387">
        <v>-1.813223501417752E-3</v>
      </c>
      <c r="M387">
        <v>-1.8933340478878521E-3</v>
      </c>
      <c r="N387">
        <v>-1.9734445943579522E-3</v>
      </c>
    </row>
    <row r="388" spans="1:14" x14ac:dyDescent="0.35">
      <c r="A388">
        <v>134</v>
      </c>
      <c r="B388" t="s">
        <v>29</v>
      </c>
      <c r="C388" s="23">
        <v>42933</v>
      </c>
      <c r="D388">
        <v>-6.9679819778420003E-4</v>
      </c>
      <c r="E388">
        <v>-0.15282746</v>
      </c>
      <c r="F388">
        <v>1.0648989632630326E-4</v>
      </c>
      <c r="G388">
        <f t="shared" si="2"/>
        <v>0.11118493284212284</v>
      </c>
      <c r="H388">
        <v>4.1368999784962002E-3</v>
      </c>
      <c r="I388">
        <v>5.0618169618167556E-5</v>
      </c>
      <c r="J388">
        <v>-5.253557089968149E-6</v>
      </c>
      <c r="K388">
        <v>-6.1125283798103882E-5</v>
      </c>
      <c r="L388">
        <v>-1.1699701050623956E-4</v>
      </c>
      <c r="M388">
        <v>-1.7286873721437528E-4</v>
      </c>
      <c r="N388">
        <v>-2.2874046392251104E-4</v>
      </c>
    </row>
    <row r="389" spans="1:14" x14ac:dyDescent="0.35">
      <c r="A389">
        <v>135</v>
      </c>
      <c r="B389" t="s">
        <v>29</v>
      </c>
      <c r="C389" s="23">
        <v>42934</v>
      </c>
      <c r="D389">
        <v>1.2981161472996E-2</v>
      </c>
      <c r="E389">
        <v>-0.45268821999999997</v>
      </c>
      <c r="F389">
        <v>-5.8764188439166974E-3</v>
      </c>
      <c r="G389">
        <f t="shared" si="2"/>
        <v>0.10530851399820615</v>
      </c>
      <c r="H389">
        <v>4.0723249949170997E-3</v>
      </c>
      <c r="I389">
        <v>-5.9114843092307242E-3</v>
      </c>
      <c r="J389">
        <v>-5.9465497745447519E-3</v>
      </c>
      <c r="K389">
        <v>-5.9816152398587787E-3</v>
      </c>
      <c r="L389">
        <v>-6.0166807051728064E-3</v>
      </c>
      <c r="M389">
        <v>-6.0517461704868332E-3</v>
      </c>
      <c r="N389">
        <v>-6.0868116358008609E-3</v>
      </c>
    </row>
    <row r="390" spans="1:14" x14ac:dyDescent="0.35">
      <c r="A390">
        <v>136</v>
      </c>
      <c r="B390" t="s">
        <v>29</v>
      </c>
      <c r="C390" s="23">
        <v>42935</v>
      </c>
      <c r="D390">
        <v>-2.329803511693E-4</v>
      </c>
      <c r="E390">
        <v>-0.73511490000000002</v>
      </c>
      <c r="F390">
        <v>1.7126732113448016E-4</v>
      </c>
      <c r="G390">
        <f t="shared" si="2"/>
        <v>0.10547978131934063</v>
      </c>
      <c r="H390">
        <v>4.1025235902261998E-3</v>
      </c>
      <c r="I390">
        <v>1.3912903989432573E-4</v>
      </c>
      <c r="J390">
        <v>1.0699075865417129E-4</v>
      </c>
      <c r="K390">
        <v>7.4852477414016856E-5</v>
      </c>
      <c r="L390">
        <v>4.2714196173862431E-5</v>
      </c>
      <c r="M390">
        <v>1.0575914933708006E-5</v>
      </c>
      <c r="N390">
        <v>-2.1562366306446446E-5</v>
      </c>
    </row>
    <row r="391" spans="1:14" x14ac:dyDescent="0.35">
      <c r="A391">
        <v>137</v>
      </c>
      <c r="B391" t="s">
        <v>29</v>
      </c>
      <c r="C391" s="23">
        <v>42936</v>
      </c>
      <c r="D391">
        <v>-1.6570925764302E-3</v>
      </c>
      <c r="E391">
        <v>-0.33937052000000001</v>
      </c>
      <c r="F391">
        <v>5.6236836756624615E-4</v>
      </c>
      <c r="G391">
        <f t="shared" si="2"/>
        <v>0.10604214968690688</v>
      </c>
      <c r="H391">
        <v>4.0379932003985E-3</v>
      </c>
      <c r="I391">
        <v>5.1741815272616696E-4</v>
      </c>
      <c r="J391">
        <v>4.7246793788608776E-4</v>
      </c>
      <c r="K391">
        <v>4.2751772304600857E-4</v>
      </c>
      <c r="L391">
        <v>3.8256750820592943E-4</v>
      </c>
      <c r="M391">
        <v>3.3761729336585029E-4</v>
      </c>
      <c r="N391">
        <v>2.9266707852577104E-4</v>
      </c>
    </row>
    <row r="392" spans="1:14" x14ac:dyDescent="0.35">
      <c r="A392">
        <v>138</v>
      </c>
      <c r="B392" t="s">
        <v>29</v>
      </c>
      <c r="C392" s="23">
        <v>42937</v>
      </c>
      <c r="D392">
        <v>-9.6134566548169997E-4</v>
      </c>
      <c r="E392">
        <v>-0.6034619</v>
      </c>
      <c r="F392">
        <v>5.801355022433545E-4</v>
      </c>
      <c r="G392">
        <f t="shared" si="2"/>
        <v>0.10662228518915023</v>
      </c>
      <c r="H392">
        <v>3.9801769993208997E-3</v>
      </c>
      <c r="I392">
        <v>5.4821049295993268E-4</v>
      </c>
      <c r="J392">
        <v>5.1628548367651085E-4</v>
      </c>
      <c r="K392">
        <v>4.8436047439308902E-4</v>
      </c>
      <c r="L392">
        <v>4.524354651096672E-4</v>
      </c>
      <c r="M392">
        <v>4.2051045582624537E-4</v>
      </c>
      <c r="N392">
        <v>3.8858544654282354E-4</v>
      </c>
    </row>
    <row r="393" spans="1:14" x14ac:dyDescent="0.35">
      <c r="A393">
        <v>139</v>
      </c>
      <c r="B393" t="s">
        <v>29</v>
      </c>
      <c r="C393" s="23">
        <v>42940</v>
      </c>
      <c r="D393">
        <v>5.371208936976E-3</v>
      </c>
      <c r="E393">
        <v>-0.56953699999999996</v>
      </c>
      <c r="F393">
        <v>-3.05910213822098E-3</v>
      </c>
      <c r="G393">
        <f t="shared" si="2"/>
        <v>0.10356318305092925</v>
      </c>
      <c r="H393">
        <v>3.9196609305414002E-3</v>
      </c>
      <c r="I393">
        <v>-3.0620853410936572E-3</v>
      </c>
      <c r="J393">
        <v>-3.0650685439663344E-3</v>
      </c>
      <c r="K393">
        <v>-3.0680517468390121E-3</v>
      </c>
      <c r="L393">
        <v>-3.0710349497116893E-3</v>
      </c>
      <c r="M393">
        <v>-3.0740181525843666E-3</v>
      </c>
      <c r="N393">
        <v>-3.0770013554570438E-3</v>
      </c>
    </row>
    <row r="394" spans="1:14" x14ac:dyDescent="0.35">
      <c r="A394">
        <v>140</v>
      </c>
      <c r="B394" t="s">
        <v>29</v>
      </c>
      <c r="C394" s="23">
        <v>42941</v>
      </c>
      <c r="D394">
        <v>-7.4119267825260003E-4</v>
      </c>
      <c r="E394">
        <v>-0.73031974</v>
      </c>
      <c r="F394">
        <v>5.413076428765855E-4</v>
      </c>
      <c r="G394">
        <f t="shared" si="2"/>
        <v>0.10410449069380584</v>
      </c>
      <c r="H394">
        <v>3.8647502700615002E-3</v>
      </c>
      <c r="I394">
        <v>5.206769983184872E-4</v>
      </c>
      <c r="J394">
        <v>5.0004635376038891E-4</v>
      </c>
      <c r="K394">
        <v>4.7941570920229055E-4</v>
      </c>
      <c r="L394">
        <v>4.5878506464419225E-4</v>
      </c>
      <c r="M394">
        <v>4.3815442008609396E-4</v>
      </c>
      <c r="N394">
        <v>4.175237755279956E-4</v>
      </c>
    </row>
    <row r="395" spans="1:14" x14ac:dyDescent="0.35">
      <c r="A395">
        <v>141</v>
      </c>
      <c r="B395" t="s">
        <v>29</v>
      </c>
      <c r="C395" s="23">
        <v>42942</v>
      </c>
      <c r="D395">
        <v>-1.2549403790403E-3</v>
      </c>
      <c r="E395">
        <v>-0.48259004999999999</v>
      </c>
      <c r="F395">
        <v>6.0562173964717519E-4</v>
      </c>
      <c r="G395">
        <f t="shared" si="2"/>
        <v>0.10471011243345302</v>
      </c>
      <c r="H395">
        <v>3.8054839141612E-3</v>
      </c>
      <c r="I395">
        <v>5.7625622080875803E-4</v>
      </c>
      <c r="J395">
        <v>5.4689070197034076E-4</v>
      </c>
      <c r="K395">
        <v>5.175251831319236E-4</v>
      </c>
      <c r="L395">
        <v>4.8815966429350638E-4</v>
      </c>
      <c r="M395">
        <v>4.5879414545508916E-4</v>
      </c>
      <c r="N395">
        <v>4.2942862661667194E-4</v>
      </c>
    </row>
    <row r="396" spans="1:14" x14ac:dyDescent="0.35">
      <c r="A396">
        <v>142</v>
      </c>
      <c r="B396" t="s">
        <v>29</v>
      </c>
      <c r="C396" s="23">
        <v>42943</v>
      </c>
      <c r="D396">
        <v>-1.7843365497593E-3</v>
      </c>
      <c r="E396">
        <v>-0.68514540000000002</v>
      </c>
      <c r="F396">
        <v>1.222529940065312E-3</v>
      </c>
      <c r="G396">
        <f t="shared" si="2"/>
        <v>0.10593264237351833</v>
      </c>
      <c r="H396">
        <v>3.7488995116233999E-3</v>
      </c>
      <c r="I396">
        <v>1.1960985518172965E-3</v>
      </c>
      <c r="J396">
        <v>1.1696671635692808E-3</v>
      </c>
      <c r="K396">
        <v>1.1432357753212653E-3</v>
      </c>
      <c r="L396">
        <v>1.1168043870732499E-3</v>
      </c>
      <c r="M396">
        <v>1.0903729988252344E-3</v>
      </c>
      <c r="N396">
        <v>1.0639416105772187E-3</v>
      </c>
    </row>
    <row r="397" spans="1:14" x14ac:dyDescent="0.35">
      <c r="A397">
        <v>143</v>
      </c>
      <c r="B397" t="s">
        <v>29</v>
      </c>
      <c r="C397" s="23">
        <v>42944</v>
      </c>
      <c r="D397">
        <v>-2.3291454386059002E-3</v>
      </c>
      <c r="E397">
        <v>-0.45666479999999998</v>
      </c>
      <c r="F397">
        <v>1.0636387373916612E-3</v>
      </c>
      <c r="G397">
        <f t="shared" si="2"/>
        <v>0.10699628111091</v>
      </c>
      <c r="H397">
        <v>3.6951833368046999E-3</v>
      </c>
      <c r="I397">
        <v>1.0356810492891915E-3</v>
      </c>
      <c r="J397">
        <v>1.0077233611867221E-3</v>
      </c>
      <c r="K397">
        <v>9.7976567308425246E-4</v>
      </c>
      <c r="L397">
        <v>9.5180798498178303E-4</v>
      </c>
      <c r="M397">
        <v>9.2385029687931338E-4</v>
      </c>
      <c r="N397">
        <v>8.9589260877684395E-4</v>
      </c>
    </row>
    <row r="398" spans="1:14" x14ac:dyDescent="0.35">
      <c r="A398">
        <v>144</v>
      </c>
      <c r="B398" t="s">
        <v>29</v>
      </c>
      <c r="C398" s="23">
        <v>42947</v>
      </c>
      <c r="D398">
        <v>4.4647399124686004E-3</v>
      </c>
      <c r="E398">
        <v>-0.6828071</v>
      </c>
      <c r="F398">
        <v>-3.0485560578557922E-3</v>
      </c>
      <c r="G398">
        <f t="shared" si="2"/>
        <v>0.1039477250530542</v>
      </c>
      <c r="H398">
        <v>3.6445054049753E-3</v>
      </c>
      <c r="I398">
        <v>-3.0786839246443399E-3</v>
      </c>
      <c r="J398">
        <v>-3.1088117914328875E-3</v>
      </c>
      <c r="K398">
        <v>-3.1389396582214351E-3</v>
      </c>
      <c r="L398">
        <v>-3.1690675250099828E-3</v>
      </c>
      <c r="M398">
        <v>-3.1991953917985304E-3</v>
      </c>
      <c r="N398">
        <v>-3.2293232585870781E-3</v>
      </c>
    </row>
    <row r="399" spans="1:14" x14ac:dyDescent="0.35">
      <c r="A399">
        <v>145</v>
      </c>
      <c r="B399" t="s">
        <v>29</v>
      </c>
      <c r="C399" s="23">
        <v>42948</v>
      </c>
      <c r="D399">
        <v>1.3307248236621E-3</v>
      </c>
      <c r="E399">
        <v>-0.73473679999999997</v>
      </c>
      <c r="F399">
        <v>-9.7773249887593235E-4</v>
      </c>
      <c r="G399">
        <f t="shared" si="2"/>
        <v>0.10296999255417827</v>
      </c>
      <c r="H399">
        <v>3.5902141786215E-3</v>
      </c>
      <c r="I399">
        <v>-9.8590474266694737E-4</v>
      </c>
      <c r="J399">
        <v>-9.9407698645796218E-4</v>
      </c>
      <c r="K399">
        <v>-1.0022492302489772E-3</v>
      </c>
      <c r="L399">
        <v>-1.010421474039992E-3</v>
      </c>
      <c r="M399">
        <v>-1.018593717831007E-3</v>
      </c>
      <c r="N399">
        <v>-1.0267659616220218E-3</v>
      </c>
    </row>
    <row r="400" spans="1:14" x14ac:dyDescent="0.35">
      <c r="A400">
        <v>146</v>
      </c>
      <c r="B400" t="s">
        <v>29</v>
      </c>
      <c r="C400" s="23">
        <v>42949</v>
      </c>
      <c r="D400">
        <v>-1.8933446330161E-3</v>
      </c>
      <c r="E400">
        <v>-0.662574</v>
      </c>
      <c r="F400">
        <v>1.2544809140126718E-3</v>
      </c>
      <c r="G400">
        <f t="shared" si="2"/>
        <v>0.10422447346819094</v>
      </c>
      <c r="H400">
        <v>3.5309165191589999E-3</v>
      </c>
      <c r="I400">
        <v>1.2464489068808411E-3</v>
      </c>
      <c r="J400">
        <v>1.2384168997490103E-3</v>
      </c>
      <c r="K400">
        <v>1.2303848926171798E-3</v>
      </c>
      <c r="L400">
        <v>1.222352885485349E-3</v>
      </c>
      <c r="M400">
        <v>1.2143208783535182E-3</v>
      </c>
      <c r="N400">
        <v>1.2062888712216875E-3</v>
      </c>
    </row>
    <row r="401" spans="1:14" x14ac:dyDescent="0.35">
      <c r="A401">
        <v>147</v>
      </c>
      <c r="B401" t="s">
        <v>29</v>
      </c>
      <c r="C401" s="23">
        <v>42950</v>
      </c>
      <c r="D401">
        <v>2.7458631213310002E-4</v>
      </c>
      <c r="E401">
        <v>-0.59467804000000002</v>
      </c>
      <c r="F401">
        <v>-1.6329045109612038E-4</v>
      </c>
      <c r="G401">
        <f t="shared" si="2"/>
        <v>0.10406118301709483</v>
      </c>
      <c r="H401">
        <v>3.4805475413645002E-3</v>
      </c>
      <c r="I401">
        <v>-1.7122377484796836E-4</v>
      </c>
      <c r="J401">
        <v>-1.7915709859981635E-4</v>
      </c>
      <c r="K401">
        <v>-1.8709042235166436E-4</v>
      </c>
      <c r="L401">
        <v>-1.9502374610351234E-4</v>
      </c>
      <c r="M401">
        <v>-2.0295706985536032E-4</v>
      </c>
      <c r="N401">
        <v>-2.108903936072083E-4</v>
      </c>
    </row>
    <row r="402" spans="1:14" x14ac:dyDescent="0.35">
      <c r="A402">
        <v>148</v>
      </c>
      <c r="B402" t="s">
        <v>29</v>
      </c>
      <c r="C402" s="23">
        <v>42951</v>
      </c>
      <c r="D402">
        <v>6.1400137954339996E-3</v>
      </c>
      <c r="E402">
        <v>-0.73250150000000003</v>
      </c>
      <c r="F402">
        <v>-4.4975693569614698E-3</v>
      </c>
      <c r="G402">
        <f t="shared" si="2"/>
        <v>9.956361366013336E-2</v>
      </c>
      <c r="H402">
        <v>3.4240166260739E-3</v>
      </c>
      <c r="I402">
        <v>-4.5179193734488574E-3</v>
      </c>
      <c r="J402">
        <v>-4.538269389936244E-3</v>
      </c>
      <c r="K402">
        <v>-4.5586194064236316E-3</v>
      </c>
      <c r="L402">
        <v>-4.5789694229110191E-3</v>
      </c>
      <c r="M402">
        <v>-4.5993194393984058E-3</v>
      </c>
      <c r="N402">
        <v>-4.6196694558857934E-3</v>
      </c>
    </row>
    <row r="403" spans="1:14" x14ac:dyDescent="0.35">
      <c r="A403">
        <v>149</v>
      </c>
      <c r="B403" t="s">
        <v>29</v>
      </c>
      <c r="C403" s="23">
        <v>42954</v>
      </c>
      <c r="D403">
        <v>-5.3584981476242997E-3</v>
      </c>
      <c r="E403">
        <v>-0.74754863999999999</v>
      </c>
      <c r="F403">
        <v>4.0057380014897719E-3</v>
      </c>
      <c r="G403">
        <f t="shared" si="2"/>
        <v>0.10356935166162314</v>
      </c>
      <c r="H403">
        <v>3.3808651615038999E-3</v>
      </c>
      <c r="I403">
        <v>4.0023452190682002E-3</v>
      </c>
      <c r="J403">
        <v>3.9989524366466295E-3</v>
      </c>
      <c r="K403">
        <v>3.9955596542250579E-3</v>
      </c>
      <c r="L403">
        <v>3.9921668718034872E-3</v>
      </c>
      <c r="M403">
        <v>3.9887740893819155E-3</v>
      </c>
      <c r="N403">
        <v>3.9853813069603448E-3</v>
      </c>
    </row>
    <row r="404" spans="1:14" x14ac:dyDescent="0.35">
      <c r="A404">
        <v>150</v>
      </c>
      <c r="B404" t="s">
        <v>29</v>
      </c>
      <c r="C404" s="23">
        <v>42955</v>
      </c>
      <c r="D404">
        <v>2.8469321858789998E-4</v>
      </c>
      <c r="E404">
        <v>-0.38251898000000001</v>
      </c>
      <c r="F404">
        <v>-1.0890055871224237E-4</v>
      </c>
      <c r="G404">
        <f t="shared" si="2"/>
        <v>0.1034604511029109</v>
      </c>
      <c r="H404">
        <v>3.3556268787229E-3</v>
      </c>
      <c r="I404">
        <v>-1.5950922275684089E-4</v>
      </c>
      <c r="J404">
        <v>-2.1011788680143942E-4</v>
      </c>
      <c r="K404">
        <v>-2.6072655084603792E-4</v>
      </c>
      <c r="L404">
        <v>-3.1133521489063647E-4</v>
      </c>
      <c r="M404">
        <v>-3.6194387893523496E-4</v>
      </c>
      <c r="N404">
        <v>-4.1255254297983352E-4</v>
      </c>
    </row>
    <row r="405" spans="1:14" x14ac:dyDescent="0.35">
      <c r="A405">
        <v>151</v>
      </c>
      <c r="B405" t="s">
        <v>29</v>
      </c>
      <c r="C405" s="23">
        <v>42956</v>
      </c>
      <c r="D405">
        <v>-4.1091100498640003E-2</v>
      </c>
      <c r="E405">
        <v>-0.73595876000000005</v>
      </c>
      <c r="F405">
        <v>3.0241355165229866E-2</v>
      </c>
      <c r="G405">
        <f t="shared" si="2"/>
        <v>0.13370180626814077</v>
      </c>
      <c r="H405">
        <v>3.3010146572509998E-3</v>
      </c>
      <c r="I405">
        <v>3.0189878315634595E-2</v>
      </c>
      <c r="J405">
        <v>3.013840146603932E-2</v>
      </c>
      <c r="K405">
        <v>3.008692461644405E-2</v>
      </c>
      <c r="L405">
        <v>3.0035447766848779E-2</v>
      </c>
      <c r="M405">
        <v>2.9983970917253504E-2</v>
      </c>
      <c r="N405">
        <v>2.9932494067658234E-2</v>
      </c>
    </row>
    <row r="406" spans="1:14" x14ac:dyDescent="0.35">
      <c r="A406">
        <v>152</v>
      </c>
      <c r="B406" t="s">
        <v>29</v>
      </c>
      <c r="C406" s="23">
        <v>42957</v>
      </c>
      <c r="D406">
        <v>2.306050862037E-3</v>
      </c>
      <c r="E406">
        <v>0.88550289999999998</v>
      </c>
      <c r="F406">
        <v>2.0420146678869133E-3</v>
      </c>
      <c r="G406">
        <f t="shared" si="2"/>
        <v>0.13574382093602769</v>
      </c>
      <c r="H406">
        <v>4.2025945322236996E-3</v>
      </c>
      <c r="I406">
        <v>1.8371328275894763E-3</v>
      </c>
      <c r="J406">
        <v>1.6322509872920394E-3</v>
      </c>
      <c r="K406">
        <v>1.4273691469946022E-3</v>
      </c>
      <c r="L406">
        <v>1.2224873066971652E-3</v>
      </c>
      <c r="M406">
        <v>1.0176054663997283E-3</v>
      </c>
      <c r="N406">
        <v>8.1272362610229111E-4</v>
      </c>
    </row>
    <row r="407" spans="1:14" x14ac:dyDescent="0.35">
      <c r="A407">
        <v>153</v>
      </c>
      <c r="B407" t="s">
        <v>29</v>
      </c>
      <c r="C407" s="23">
        <v>42958</v>
      </c>
      <c r="D407">
        <v>2.1997600221708099E-2</v>
      </c>
      <c r="E407">
        <v>-0.16738528</v>
      </c>
      <c r="F407">
        <v>-3.6820744753488163E-3</v>
      </c>
      <c r="G407">
        <f t="shared" si="2"/>
        <v>0.13206174646067886</v>
      </c>
      <c r="H407">
        <v>4.1370780995574003E-3</v>
      </c>
      <c r="I407">
        <v>-3.8007381442441333E-3</v>
      </c>
      <c r="J407">
        <v>-3.9194018131394502E-3</v>
      </c>
      <c r="K407">
        <v>-4.0380654820347675E-3</v>
      </c>
      <c r="L407">
        <v>-4.1567291509300849E-3</v>
      </c>
      <c r="M407">
        <v>-4.2753928198254014E-3</v>
      </c>
      <c r="N407">
        <v>-4.3940564887207188E-3</v>
      </c>
    </row>
    <row r="408" spans="1:14" x14ac:dyDescent="0.35">
      <c r="A408">
        <v>154</v>
      </c>
      <c r="B408" t="s">
        <v>29</v>
      </c>
      <c r="C408" s="23">
        <v>42961</v>
      </c>
      <c r="D408">
        <v>2.1707520469260001E-4</v>
      </c>
      <c r="E408">
        <v>-0.66523224000000003</v>
      </c>
      <c r="F408">
        <v>-1.4440542491656017E-4</v>
      </c>
      <c r="G408">
        <f t="shared" si="2"/>
        <v>0.1319173410357623</v>
      </c>
      <c r="H408">
        <v>4.4174151012536002E-3</v>
      </c>
      <c r="I408">
        <v>-1.9643853148319492E-4</v>
      </c>
      <c r="J408">
        <v>-2.4847163804982966E-4</v>
      </c>
      <c r="K408">
        <v>-3.0050474461646446E-4</v>
      </c>
      <c r="L408">
        <v>-3.5253785118309915E-4</v>
      </c>
      <c r="M408">
        <v>-4.0457095774973389E-4</v>
      </c>
      <c r="N408">
        <v>-4.5660406431636869E-4</v>
      </c>
    </row>
    <row r="409" spans="1:14" x14ac:dyDescent="0.35">
      <c r="A409">
        <v>155</v>
      </c>
      <c r="B409" t="s">
        <v>29</v>
      </c>
      <c r="C409" s="23">
        <v>42962</v>
      </c>
      <c r="D409">
        <v>3.3103230257552001E-3</v>
      </c>
      <c r="E409">
        <v>0.25748929999999998</v>
      </c>
      <c r="F409">
        <v>8.5237273819695517E-4</v>
      </c>
      <c r="G409">
        <f t="shared" si="2"/>
        <v>0.13276971377395927</v>
      </c>
      <c r="H409">
        <v>4.3446544846994003E-3</v>
      </c>
      <c r="I409">
        <v>7.5322373395789015E-4</v>
      </c>
      <c r="J409">
        <v>6.5407472971882512E-4</v>
      </c>
      <c r="K409">
        <v>5.549257254797602E-4</v>
      </c>
      <c r="L409">
        <v>4.5577672124069512E-4</v>
      </c>
      <c r="M409">
        <v>3.5662771700163015E-4</v>
      </c>
      <c r="N409">
        <v>2.5747871276256512E-4</v>
      </c>
    </row>
    <row r="410" spans="1:14" x14ac:dyDescent="0.35">
      <c r="A410">
        <v>156</v>
      </c>
      <c r="B410" t="s">
        <v>29</v>
      </c>
      <c r="C410" s="23">
        <v>42963</v>
      </c>
      <c r="D410">
        <v>-3.40158467750677E-2</v>
      </c>
      <c r="E410">
        <v>-0.44593381999999998</v>
      </c>
      <c r="F410">
        <v>1.5168816452704591E-2</v>
      </c>
      <c r="G410">
        <f t="shared" si="2"/>
        <v>0.14793853022666387</v>
      </c>
      <c r="H410">
        <v>4.2779542659761999E-3</v>
      </c>
      <c r="I410">
        <v>1.509156724839142E-2</v>
      </c>
      <c r="J410">
        <v>1.5014318044078252E-2</v>
      </c>
      <c r="K410">
        <v>1.4937068839765082E-2</v>
      </c>
      <c r="L410">
        <v>1.4859819635451911E-2</v>
      </c>
      <c r="M410">
        <v>1.4782570431138741E-2</v>
      </c>
      <c r="N410">
        <v>1.4705321226825573E-2</v>
      </c>
    </row>
    <row r="411" spans="1:14" x14ac:dyDescent="0.35">
      <c r="A411">
        <v>157</v>
      </c>
      <c r="B411" t="s">
        <v>29</v>
      </c>
      <c r="C411" s="23">
        <v>42964</v>
      </c>
      <c r="D411">
        <v>-2.1078615268637002E-3</v>
      </c>
      <c r="E411">
        <v>0.91136320000000004</v>
      </c>
      <c r="F411">
        <v>-1.9210273935064766E-3</v>
      </c>
      <c r="G411">
        <f t="shared" si="2"/>
        <v>0.1460175028331574</v>
      </c>
      <c r="H411">
        <v>5.0741663629513996E-3</v>
      </c>
      <c r="I411">
        <v>-2.0551331782859839E-3</v>
      </c>
      <c r="J411">
        <v>-2.1892389630654911E-3</v>
      </c>
      <c r="K411">
        <v>-2.3233447478449984E-3</v>
      </c>
      <c r="L411">
        <v>-2.4574505326245052E-3</v>
      </c>
      <c r="M411">
        <v>-2.5915563174040124E-3</v>
      </c>
      <c r="N411">
        <v>-2.7256621021835197E-3</v>
      </c>
    </row>
    <row r="412" spans="1:14" x14ac:dyDescent="0.35">
      <c r="A412">
        <v>158</v>
      </c>
      <c r="B412" t="s">
        <v>29</v>
      </c>
      <c r="C412" s="23">
        <v>42965</v>
      </c>
      <c r="D412">
        <v>9.7468392573670003E-4</v>
      </c>
      <c r="E412">
        <v>0.53187090000000004</v>
      </c>
      <c r="F412">
        <v>5.1840601834162055E-4</v>
      </c>
      <c r="G412">
        <f t="shared" si="2"/>
        <v>0.14653590885149903</v>
      </c>
      <c r="H412">
        <v>4.9935816974069E-3</v>
      </c>
      <c r="I412">
        <v>4.8387066588531115E-4</v>
      </c>
      <c r="J412">
        <v>4.493353134290017E-4</v>
      </c>
      <c r="K412">
        <v>4.1479996097269225E-4</v>
      </c>
      <c r="L412">
        <v>3.8026460851638285E-4</v>
      </c>
      <c r="M412">
        <v>3.4572925606007345E-4</v>
      </c>
      <c r="N412">
        <v>3.11193903603764E-4</v>
      </c>
    </row>
    <row r="413" spans="1:14" x14ac:dyDescent="0.35">
      <c r="A413">
        <v>159</v>
      </c>
      <c r="B413" t="s">
        <v>29</v>
      </c>
      <c r="C413" s="23">
        <v>42968</v>
      </c>
      <c r="D413">
        <v>1.9607115728489201E-2</v>
      </c>
      <c r="E413">
        <v>0.39595904999999998</v>
      </c>
      <c r="F413">
        <v>7.7636149065689556E-3</v>
      </c>
      <c r="G413">
        <f t="shared" si="2"/>
        <v>0.15429952375806799</v>
      </c>
      <c r="H413">
        <v>4.9125139576111998E-3</v>
      </c>
      <c r="I413">
        <v>7.7513741576180325E-3</v>
      </c>
      <c r="J413">
        <v>7.7391334086671093E-3</v>
      </c>
      <c r="K413">
        <v>7.7268926597161853E-3</v>
      </c>
      <c r="L413">
        <v>7.7146519107652621E-3</v>
      </c>
      <c r="M413">
        <v>7.702411161814339E-3</v>
      </c>
      <c r="N413">
        <v>7.6901704128634158E-3</v>
      </c>
    </row>
    <row r="414" spans="1:14" x14ac:dyDescent="0.35">
      <c r="A414">
        <v>160</v>
      </c>
      <c r="B414" t="s">
        <v>29</v>
      </c>
      <c r="C414" s="23">
        <v>42969</v>
      </c>
      <c r="D414">
        <v>-8.3748551827080003E-3</v>
      </c>
      <c r="E414">
        <v>-0.45426947000000001</v>
      </c>
      <c r="F414">
        <v>3.8044410149944753E-3</v>
      </c>
      <c r="G414">
        <f t="shared" si="2"/>
        <v>0.15810396477306246</v>
      </c>
      <c r="H414">
        <v>5.1750305834787E-3</v>
      </c>
      <c r="I414">
        <v>3.7248874529242537E-3</v>
      </c>
      <c r="J414">
        <v>3.6453338908540326E-3</v>
      </c>
      <c r="K414">
        <v>3.5657803287838111E-3</v>
      </c>
      <c r="L414">
        <v>3.48622676671359E-3</v>
      </c>
      <c r="M414">
        <v>3.4066732046433685E-3</v>
      </c>
      <c r="N414">
        <v>3.3271196425731474E-3</v>
      </c>
    </row>
    <row r="415" spans="1:14" x14ac:dyDescent="0.35">
      <c r="A415">
        <v>161</v>
      </c>
      <c r="B415" t="s">
        <v>29</v>
      </c>
      <c r="C415" s="23">
        <v>42970</v>
      </c>
      <c r="D415">
        <v>-5.6234282000890005E-4</v>
      </c>
      <c r="E415">
        <v>0.73144144</v>
      </c>
      <c r="F415">
        <v>-4.1132084102767926E-4</v>
      </c>
      <c r="G415">
        <f t="shared" si="2"/>
        <v>0.15769264393203478</v>
      </c>
      <c r="H415">
        <v>5.1617191283541003E-3</v>
      </c>
      <c r="I415">
        <v>-5.1974280383031547E-4</v>
      </c>
      <c r="J415">
        <v>-6.2816476663295174E-4</v>
      </c>
      <c r="K415">
        <v>-7.365867294355879E-4</v>
      </c>
      <c r="L415">
        <v>-8.4500869223822416E-4</v>
      </c>
      <c r="M415">
        <v>-9.5343065504086043E-4</v>
      </c>
      <c r="N415">
        <v>-1.0618526178434967E-3</v>
      </c>
    </row>
    <row r="416" spans="1:14" x14ac:dyDescent="0.35">
      <c r="A416">
        <v>162</v>
      </c>
      <c r="B416" t="s">
        <v>29</v>
      </c>
      <c r="C416" s="23">
        <v>42971</v>
      </c>
      <c r="D416">
        <v>1.3344921234396999E-3</v>
      </c>
      <c r="E416">
        <v>0.53249013000000001</v>
      </c>
      <c r="F416">
        <v>7.1060388995155654E-4</v>
      </c>
      <c r="G416">
        <f t="shared" si="2"/>
        <v>0.15840324782198634</v>
      </c>
      <c r="H416">
        <v>5.0767961401921996E-3</v>
      </c>
      <c r="I416">
        <v>6.9320903670329662E-4</v>
      </c>
      <c r="J416">
        <v>6.7581418345503659E-4</v>
      </c>
      <c r="K416">
        <v>6.5841933020677668E-4</v>
      </c>
      <c r="L416">
        <v>6.4102447695851676E-4</v>
      </c>
      <c r="M416">
        <v>6.2362962371025673E-4</v>
      </c>
      <c r="N416">
        <v>6.0623477046199681E-4</v>
      </c>
    </row>
    <row r="417" spans="1:14" x14ac:dyDescent="0.35">
      <c r="A417">
        <v>163</v>
      </c>
      <c r="B417" t="s">
        <v>29</v>
      </c>
      <c r="C417" s="23">
        <v>42972</v>
      </c>
      <c r="D417">
        <v>9.6824550854260002E-4</v>
      </c>
      <c r="E417">
        <v>0.50936210000000004</v>
      </c>
      <c r="F417">
        <v>4.9318756705232314E-4</v>
      </c>
      <c r="G417">
        <f t="shared" si="2"/>
        <v>0.15889643538903866</v>
      </c>
      <c r="H417">
        <v>4.9943725872605999E-3</v>
      </c>
      <c r="I417">
        <v>4.9181752161938611E-4</v>
      </c>
      <c r="J417">
        <v>4.9044747618644908E-4</v>
      </c>
      <c r="K417">
        <v>4.8907743075351194E-4</v>
      </c>
      <c r="L417">
        <v>4.8770738532057496E-4</v>
      </c>
      <c r="M417">
        <v>4.8633733988763788E-4</v>
      </c>
      <c r="N417">
        <v>4.8496729445470085E-4</v>
      </c>
    </row>
    <row r="418" spans="1:14" x14ac:dyDescent="0.35">
      <c r="A418">
        <v>164</v>
      </c>
      <c r="B418" t="s">
        <v>29</v>
      </c>
      <c r="C418" s="23">
        <v>42975</v>
      </c>
      <c r="D418">
        <v>2.5580907579246998E-3</v>
      </c>
      <c r="E418">
        <v>0.54919839999999998</v>
      </c>
      <c r="F418">
        <v>1.4048993233044948E-3</v>
      </c>
      <c r="G418">
        <f t="shared" si="2"/>
        <v>0.16030133471234315</v>
      </c>
      <c r="H418">
        <v>4.9124893996953002E-3</v>
      </c>
      <c r="I418">
        <v>1.4002649393876833E-3</v>
      </c>
      <c r="J418">
        <v>1.3956305554708719E-3</v>
      </c>
      <c r="K418">
        <v>1.3909961715540603E-3</v>
      </c>
      <c r="L418">
        <v>1.3863617876372488E-3</v>
      </c>
      <c r="M418">
        <v>1.3817274037204374E-3</v>
      </c>
      <c r="N418">
        <v>1.377093019803626E-3</v>
      </c>
    </row>
    <row r="419" spans="1:14" x14ac:dyDescent="0.35">
      <c r="A419">
        <v>165</v>
      </c>
      <c r="B419" t="s">
        <v>29</v>
      </c>
      <c r="C419" s="23">
        <v>42976</v>
      </c>
      <c r="D419">
        <v>6.9860105103236999E-3</v>
      </c>
      <c r="E419">
        <v>0.51716549999999994</v>
      </c>
      <c r="F419">
        <v>3.6129234931375435E-3</v>
      </c>
      <c r="G419">
        <f t="shared" si="2"/>
        <v>0.1639142582054807</v>
      </c>
      <c r="H419">
        <v>4.8365517350683002E-3</v>
      </c>
      <c r="I419">
        <v>3.6106236780240625E-3</v>
      </c>
      <c r="J419">
        <v>3.6083238629105816E-3</v>
      </c>
      <c r="K419">
        <v>3.6060240477971003E-3</v>
      </c>
      <c r="L419">
        <v>3.6037242326836193E-3</v>
      </c>
      <c r="M419">
        <v>3.6014244175701384E-3</v>
      </c>
      <c r="N419">
        <v>3.5991246024566575E-3</v>
      </c>
    </row>
    <row r="420" spans="1:14" x14ac:dyDescent="0.35">
      <c r="A420">
        <v>166</v>
      </c>
      <c r="B420" t="s">
        <v>29</v>
      </c>
      <c r="C420" s="23">
        <v>42977</v>
      </c>
      <c r="D420">
        <v>1.1430052452478599E-2</v>
      </c>
      <c r="E420">
        <v>0.27901989999999999</v>
      </c>
      <c r="F420">
        <v>3.1892120033107049E-3</v>
      </c>
      <c r="G420">
        <f t="shared" si="2"/>
        <v>0.1671034702087914</v>
      </c>
      <c r="H420">
        <v>4.7970415141275003E-3</v>
      </c>
      <c r="I420">
        <v>3.1661733845779294E-3</v>
      </c>
      <c r="J420">
        <v>3.1431347658451539E-3</v>
      </c>
      <c r="K420">
        <v>3.1200961471123784E-3</v>
      </c>
      <c r="L420">
        <v>3.0970575283796029E-3</v>
      </c>
      <c r="M420">
        <v>3.0740189096468275E-3</v>
      </c>
      <c r="N420">
        <v>3.050980290914052E-3</v>
      </c>
    </row>
    <row r="421" spans="1:14" x14ac:dyDescent="0.35">
      <c r="A421">
        <v>167</v>
      </c>
      <c r="B421" t="s">
        <v>29</v>
      </c>
      <c r="C421" s="23">
        <v>42978</v>
      </c>
      <c r="D421">
        <v>3.3712006588173002E-3</v>
      </c>
      <c r="E421">
        <v>2.1367720999999999E-2</v>
      </c>
      <c r="F421">
        <v>7.2034875987767602E-5</v>
      </c>
      <c r="G421">
        <f t="shared" si="2"/>
        <v>0.16717550508477919</v>
      </c>
      <c r="H421">
        <v>4.8227901175289002E-3</v>
      </c>
      <c r="I421">
        <v>4.6647747546821817E-5</v>
      </c>
      <c r="J421">
        <v>2.1260619105876031E-5</v>
      </c>
      <c r="K421">
        <v>-4.1265093350697607E-6</v>
      </c>
      <c r="L421">
        <v>-2.9513637776015539E-5</v>
      </c>
      <c r="M421">
        <v>-5.4900766216961304E-5</v>
      </c>
      <c r="N421">
        <v>-8.0287894657907124E-5</v>
      </c>
    </row>
    <row r="422" spans="1:14" x14ac:dyDescent="0.35">
      <c r="A422">
        <v>168</v>
      </c>
      <c r="B422" t="s">
        <v>29</v>
      </c>
      <c r="C422" s="23">
        <v>42979</v>
      </c>
      <c r="D422">
        <v>-1.1660646719621E-2</v>
      </c>
      <c r="E422">
        <v>0.48396879999999998</v>
      </c>
      <c r="F422">
        <v>-5.6433891341879329E-3</v>
      </c>
      <c r="G422">
        <f t="shared" si="2"/>
        <v>0.16153211595059125</v>
      </c>
      <c r="H422">
        <v>4.7488972622741002E-3</v>
      </c>
      <c r="I422">
        <v>-5.6894446986601524E-3</v>
      </c>
      <c r="J422">
        <v>-5.7355002631323728E-3</v>
      </c>
      <c r="K422">
        <v>-5.7815558276045923E-3</v>
      </c>
      <c r="L422">
        <v>-5.8276113920768128E-3</v>
      </c>
      <c r="M422">
        <v>-5.8736669565490323E-3</v>
      </c>
      <c r="N422">
        <v>-5.9197225210212527E-3</v>
      </c>
    </row>
    <row r="423" spans="1:14" x14ac:dyDescent="0.35">
      <c r="A423">
        <v>169</v>
      </c>
      <c r="B423" t="s">
        <v>29</v>
      </c>
      <c r="C423" s="23">
        <v>42983</v>
      </c>
      <c r="D423">
        <v>4.5959695104907002E-3</v>
      </c>
      <c r="E423">
        <v>0.6915192</v>
      </c>
      <c r="F423">
        <v>3.1782011628041958E-3</v>
      </c>
      <c r="G423">
        <f t="shared" si="2"/>
        <v>0.16471031711339545</v>
      </c>
      <c r="H423">
        <v>4.8060770072994004E-3</v>
      </c>
      <c r="I423">
        <v>3.1583710139376493E-3</v>
      </c>
      <c r="J423">
        <v>3.1385408650711029E-3</v>
      </c>
      <c r="K423">
        <v>3.1187107162045568E-3</v>
      </c>
      <c r="L423">
        <v>3.0988805673380104E-3</v>
      </c>
      <c r="M423">
        <v>3.0790504184714639E-3</v>
      </c>
      <c r="N423">
        <v>3.0592202696049175E-3</v>
      </c>
    </row>
    <row r="424" spans="1:14" x14ac:dyDescent="0.35">
      <c r="A424">
        <v>170</v>
      </c>
      <c r="B424" t="s">
        <v>29</v>
      </c>
      <c r="C424" s="23">
        <v>42984</v>
      </c>
      <c r="D424">
        <v>8.0829189696779999E-4</v>
      </c>
      <c r="E424">
        <v>7.9968910000000004E-2</v>
      </c>
      <c r="F424">
        <v>6.4638219488189776E-5</v>
      </c>
      <c r="G424">
        <f t="shared" si="2"/>
        <v>0.16477495533288364</v>
      </c>
      <c r="H424">
        <v>4.7415218554855004E-3</v>
      </c>
      <c r="I424">
        <v>4.6275344653746352E-6</v>
      </c>
      <c r="J424">
        <v>-5.5383150557440506E-5</v>
      </c>
      <c r="K424">
        <v>-1.1539383558025566E-4</v>
      </c>
      <c r="L424">
        <v>-1.7540452060307079E-4</v>
      </c>
      <c r="M424">
        <v>-2.3541520562588589E-4</v>
      </c>
      <c r="N424">
        <v>-2.954258906487011E-4</v>
      </c>
    </row>
    <row r="425" spans="1:14" x14ac:dyDescent="0.35">
      <c r="A425">
        <v>171</v>
      </c>
      <c r="B425" t="s">
        <v>29</v>
      </c>
      <c r="C425" s="23">
        <v>42985</v>
      </c>
      <c r="D425">
        <v>-3.2861576475129001E-3</v>
      </c>
      <c r="E425">
        <v>0.58496219999999999</v>
      </c>
      <c r="F425">
        <v>-1.9222779715373851E-3</v>
      </c>
      <c r="G425">
        <f t="shared" si="2"/>
        <v>0.16285267736134626</v>
      </c>
      <c r="H425">
        <v>4.6631723382093001E-3</v>
      </c>
      <c r="I425">
        <v>-1.9735759301407422E-3</v>
      </c>
      <c r="J425">
        <v>-2.0248738887440995E-3</v>
      </c>
      <c r="K425">
        <v>-2.0761718473474569E-3</v>
      </c>
      <c r="L425">
        <v>-2.1274698059508138E-3</v>
      </c>
      <c r="M425">
        <v>-2.1787677645541711E-3</v>
      </c>
      <c r="N425">
        <v>-2.2300657231575285E-3</v>
      </c>
    </row>
    <row r="426" spans="1:14" x14ac:dyDescent="0.35">
      <c r="A426">
        <v>172</v>
      </c>
      <c r="B426" t="s">
        <v>29</v>
      </c>
      <c r="C426" s="23">
        <v>42986</v>
      </c>
      <c r="D426">
        <v>2.0857516215621201E-2</v>
      </c>
      <c r="E426">
        <v>0.55350213999999998</v>
      </c>
      <c r="F426">
        <v>1.1544679911101282E-2</v>
      </c>
      <c r="G426">
        <f t="shared" si="2"/>
        <v>0.17439735727244754</v>
      </c>
      <c r="H426">
        <v>4.5993045528515001E-3</v>
      </c>
      <c r="I426">
        <v>1.1542271223934033E-2</v>
      </c>
      <c r="J426">
        <v>1.1539862536766783E-2</v>
      </c>
      <c r="K426">
        <v>1.1537453849599534E-2</v>
      </c>
      <c r="L426">
        <v>1.1535045162432287E-2</v>
      </c>
      <c r="M426">
        <v>1.1532636475265038E-2</v>
      </c>
      <c r="N426">
        <v>1.1530227788097789E-2</v>
      </c>
    </row>
    <row r="427" spans="1:14" x14ac:dyDescent="0.35">
      <c r="A427">
        <v>173</v>
      </c>
      <c r="B427" t="s">
        <v>29</v>
      </c>
      <c r="C427" s="23">
        <v>42989</v>
      </c>
      <c r="D427">
        <v>6.6437585378980998E-3</v>
      </c>
      <c r="E427">
        <v>-0.32426673</v>
      </c>
      <c r="F427">
        <v>-2.1543498675475874E-3</v>
      </c>
      <c r="G427">
        <f t="shared" si="2"/>
        <v>0.17224300740489995</v>
      </c>
      <c r="H427">
        <v>4.8599632471870002E-3</v>
      </c>
      <c r="I427">
        <v>-2.242730625661962E-3</v>
      </c>
      <c r="J427">
        <v>-2.3311113837763361E-3</v>
      </c>
      <c r="K427">
        <v>-2.4194921418907106E-3</v>
      </c>
      <c r="L427">
        <v>-2.5078729000050847E-3</v>
      </c>
      <c r="M427">
        <v>-2.5962536581194593E-3</v>
      </c>
      <c r="N427">
        <v>-2.6846344162338334E-3</v>
      </c>
    </row>
    <row r="428" spans="1:14" x14ac:dyDescent="0.35">
      <c r="A428">
        <v>174</v>
      </c>
      <c r="B428" t="s">
        <v>29</v>
      </c>
      <c r="C428" s="23">
        <v>42990</v>
      </c>
      <c r="D428">
        <v>3.9379263124900003E-4</v>
      </c>
      <c r="E428">
        <v>7.6740957000000004E-4</v>
      </c>
      <c r="F428">
        <v>3.022002332853323E-7</v>
      </c>
      <c r="G428">
        <f t="shared" si="2"/>
        <v>0.17224330960513323</v>
      </c>
      <c r="H428">
        <v>4.8067200255233001E-3</v>
      </c>
      <c r="I428">
        <v>-3.1296438500956567E-5</v>
      </c>
      <c r="J428">
        <v>-6.2895077235198475E-5</v>
      </c>
      <c r="K428">
        <v>-9.4493715969440369E-5</v>
      </c>
      <c r="L428">
        <v>-1.2609235470368226E-4</v>
      </c>
      <c r="M428">
        <v>-1.5769099343792414E-4</v>
      </c>
      <c r="N428">
        <v>-1.8928963217216605E-4</v>
      </c>
    </row>
    <row r="429" spans="1:14" x14ac:dyDescent="0.35">
      <c r="A429">
        <v>175</v>
      </c>
      <c r="B429" t="s">
        <v>29</v>
      </c>
      <c r="C429" s="23">
        <v>42991</v>
      </c>
      <c r="D429">
        <v>0</v>
      </c>
      <c r="E429">
        <v>0.27071183999999998</v>
      </c>
      <c r="F429">
        <v>0</v>
      </c>
      <c r="G429">
        <f t="shared" si="2"/>
        <v>0.17224330960513323</v>
      </c>
      <c r="H429">
        <v>4.7280243758880004E-3</v>
      </c>
      <c r="I429">
        <v>-2.697589689459364E-5</v>
      </c>
      <c r="J429">
        <v>-5.395179378918728E-5</v>
      </c>
      <c r="K429">
        <v>-8.0927690683780913E-5</v>
      </c>
      <c r="L429">
        <v>-1.0790358757837456E-4</v>
      </c>
      <c r="M429">
        <v>-1.3487948447296819E-4</v>
      </c>
      <c r="N429">
        <v>-1.6185538136756183E-4</v>
      </c>
    </row>
    <row r="430" spans="1:14" x14ac:dyDescent="0.35">
      <c r="A430">
        <v>176</v>
      </c>
      <c r="B430" t="s">
        <v>29</v>
      </c>
      <c r="C430" s="23">
        <v>42992</v>
      </c>
      <c r="D430">
        <v>2.685300437602E-4</v>
      </c>
      <c r="E430">
        <v>5.9996430000000003E-2</v>
      </c>
      <c r="F430">
        <v>1.6110843927917691E-5</v>
      </c>
      <c r="G430">
        <f t="shared" si="2"/>
        <v>0.17225942044906115</v>
      </c>
      <c r="H430">
        <v>4.6513655880258001E-3</v>
      </c>
      <c r="I430">
        <v>-4.8464330027442565E-6</v>
      </c>
      <c r="J430">
        <v>-2.5803709933406204E-5</v>
      </c>
      <c r="K430">
        <v>-4.6760986864068159E-5</v>
      </c>
      <c r="L430">
        <v>-6.7718263794730097E-5</v>
      </c>
      <c r="M430">
        <v>-8.8675540725392048E-5</v>
      </c>
      <c r="N430">
        <v>-1.0963281765605401E-4</v>
      </c>
    </row>
    <row r="431" spans="1:14" x14ac:dyDescent="0.35">
      <c r="A431">
        <v>177</v>
      </c>
      <c r="B431" t="s">
        <v>29</v>
      </c>
      <c r="C431" s="23">
        <v>42993</v>
      </c>
      <c r="D431">
        <v>4.8966320830625999E-3</v>
      </c>
      <c r="E431">
        <v>0.15477573999999999</v>
      </c>
      <c r="F431">
        <v>7.578798478770942E-4</v>
      </c>
      <c r="G431">
        <f t="shared" si="2"/>
        <v>0.17301730029693824</v>
      </c>
      <c r="H431">
        <v>4.5753702899432001E-3</v>
      </c>
      <c r="I431">
        <v>7.4799165740365326E-4</v>
      </c>
      <c r="J431">
        <v>7.3810346693021231E-4</v>
      </c>
      <c r="K431">
        <v>7.2821527645677126E-4</v>
      </c>
      <c r="L431">
        <v>7.1832708598333031E-4</v>
      </c>
      <c r="M431">
        <v>7.0843889550988937E-4</v>
      </c>
      <c r="N431">
        <v>6.9855070503644842E-4</v>
      </c>
    </row>
    <row r="432" spans="1:14" x14ac:dyDescent="0.35">
      <c r="A432">
        <v>178</v>
      </c>
      <c r="B432" t="s">
        <v>29</v>
      </c>
      <c r="C432" s="23">
        <v>42996</v>
      </c>
      <c r="D432">
        <v>1.674005468478E-3</v>
      </c>
      <c r="E432">
        <v>-0.30314487000000001</v>
      </c>
      <c r="F432">
        <v>-5.0746617378472742E-4</v>
      </c>
      <c r="G432">
        <f t="shared" si="2"/>
        <v>0.17250983412315352</v>
      </c>
      <c r="H432">
        <v>4.5107280236868002E-3</v>
      </c>
      <c r="I432">
        <v>-5.5519993808538501E-4</v>
      </c>
      <c r="J432">
        <v>-6.029337023860425E-4</v>
      </c>
      <c r="K432">
        <v>-6.5066746668670009E-4</v>
      </c>
      <c r="L432">
        <v>-6.9840123098735757E-4</v>
      </c>
      <c r="M432">
        <v>-7.4613499528801517E-4</v>
      </c>
      <c r="N432">
        <v>-7.9386875958867265E-4</v>
      </c>
    </row>
    <row r="433" spans="1:14" x14ac:dyDescent="0.35">
      <c r="A433">
        <v>179</v>
      </c>
      <c r="B433" t="s">
        <v>29</v>
      </c>
      <c r="C433" s="23">
        <v>42997</v>
      </c>
      <c r="D433">
        <v>4.2519045210710001E-4</v>
      </c>
      <c r="E433">
        <v>-0.21810909000000001</v>
      </c>
      <c r="F433">
        <v>-9.2737900951289894E-5</v>
      </c>
      <c r="G433">
        <f t="shared" si="2"/>
        <v>0.17241709622220222</v>
      </c>
      <c r="H433">
        <v>4.4362202926359002E-3</v>
      </c>
      <c r="I433">
        <v>-1.0126089936275646E-4</v>
      </c>
      <c r="J433">
        <v>-1.0978389777422302E-4</v>
      </c>
      <c r="K433">
        <v>-1.1830689618568958E-4</v>
      </c>
      <c r="L433">
        <v>-1.2682989459715616E-4</v>
      </c>
      <c r="M433">
        <v>-1.3535289300862271E-4</v>
      </c>
      <c r="N433">
        <v>-1.4387589142008929E-4</v>
      </c>
    </row>
    <row r="434" spans="1:14" x14ac:dyDescent="0.35">
      <c r="A434">
        <v>180</v>
      </c>
      <c r="B434" t="s">
        <v>29</v>
      </c>
      <c r="C434" s="23">
        <v>42998</v>
      </c>
      <c r="D434">
        <v>-3.6734123551156002E-3</v>
      </c>
      <c r="E434">
        <v>-0.25860741999999998</v>
      </c>
      <c r="F434">
        <v>9.4997168199983202E-4</v>
      </c>
      <c r="G434">
        <f t="shared" si="2"/>
        <v>0.17336706790420206</v>
      </c>
      <c r="H434">
        <v>4.3637430039379999E-3</v>
      </c>
      <c r="I434">
        <v>9.4520118995984235E-4</v>
      </c>
      <c r="J434">
        <v>9.4043069791985268E-4</v>
      </c>
      <c r="K434">
        <v>9.356602058798629E-4</v>
      </c>
      <c r="L434">
        <v>9.3088971383987324E-4</v>
      </c>
      <c r="M434">
        <v>9.2611922179988357E-4</v>
      </c>
      <c r="N434">
        <v>9.213487297598939E-4</v>
      </c>
    </row>
    <row r="435" spans="1:14" x14ac:dyDescent="0.35">
      <c r="A435">
        <v>181</v>
      </c>
      <c r="B435" t="s">
        <v>29</v>
      </c>
      <c r="C435" s="23">
        <v>42999</v>
      </c>
      <c r="D435">
        <v>-1.3141326834146001E-3</v>
      </c>
      <c r="E435">
        <v>0.10271962</v>
      </c>
      <c r="F435">
        <v>-1.34987209699335E-4</v>
      </c>
      <c r="G435">
        <f t="shared" si="2"/>
        <v>0.17323208069450272</v>
      </c>
      <c r="H435">
        <v>4.3125022964398E-3</v>
      </c>
      <c r="I435">
        <v>-1.7423966186041058E-4</v>
      </c>
      <c r="J435">
        <v>-2.1349211402148615E-4</v>
      </c>
      <c r="K435">
        <v>-2.5274456618256172E-4</v>
      </c>
      <c r="L435">
        <v>-2.9199701834363727E-4</v>
      </c>
      <c r="M435">
        <v>-3.3124947050471281E-4</v>
      </c>
      <c r="N435">
        <v>-3.7050192266578847E-4</v>
      </c>
    </row>
    <row r="436" spans="1:14" x14ac:dyDescent="0.35">
      <c r="A436">
        <v>182</v>
      </c>
      <c r="B436" t="s">
        <v>29</v>
      </c>
      <c r="C436" s="23">
        <v>43000</v>
      </c>
      <c r="D436">
        <v>-2.2255621660045E-3</v>
      </c>
      <c r="E436">
        <v>-0.28268917999999998</v>
      </c>
      <c r="F436">
        <v>6.2914235253875065E-4</v>
      </c>
      <c r="G436">
        <f t="shared" si="2"/>
        <v>0.17386122304704146</v>
      </c>
      <c r="H436">
        <v>4.2465684266203996E-3</v>
      </c>
      <c r="I436">
        <v>5.8643809248402814E-4</v>
      </c>
      <c r="J436">
        <v>5.4373383242930552E-4</v>
      </c>
      <c r="K436">
        <v>5.0102957237458301E-4</v>
      </c>
      <c r="L436">
        <v>4.583253123198605E-4</v>
      </c>
      <c r="M436">
        <v>4.1562105226513793E-4</v>
      </c>
      <c r="N436">
        <v>3.7291679221041537E-4</v>
      </c>
    </row>
    <row r="437" spans="1:14" x14ac:dyDescent="0.35">
      <c r="A437">
        <v>183</v>
      </c>
      <c r="B437" t="s">
        <v>29</v>
      </c>
      <c r="C437" s="23">
        <v>43003</v>
      </c>
      <c r="D437">
        <v>-1.3561385029222E-3</v>
      </c>
      <c r="E437">
        <v>-9.9323649999999999E-2</v>
      </c>
      <c r="F437">
        <v>1.3469662965657811E-4</v>
      </c>
      <c r="G437">
        <f t="shared" si="2"/>
        <v>0.17399591967669803</v>
      </c>
      <c r="H437">
        <v>4.1856186645112996E-3</v>
      </c>
      <c r="I437">
        <v>1.144570536290743E-4</v>
      </c>
      <c r="J437">
        <v>9.4217477601570498E-5</v>
      </c>
      <c r="K437">
        <v>7.3977901574066705E-5</v>
      </c>
      <c r="L437">
        <v>5.3738325546562899E-5</v>
      </c>
      <c r="M437">
        <v>3.3498749519059092E-5</v>
      </c>
      <c r="N437">
        <v>1.3259173491555286E-5</v>
      </c>
    </row>
    <row r="438" spans="1:14" x14ac:dyDescent="0.35">
      <c r="A438">
        <v>184</v>
      </c>
      <c r="B438" t="s">
        <v>29</v>
      </c>
      <c r="C438" s="23">
        <v>43004</v>
      </c>
      <c r="D438">
        <v>8.2690836391876004E-3</v>
      </c>
      <c r="E438">
        <v>-0.19107546</v>
      </c>
      <c r="F438">
        <v>-1.5800189528814286E-3</v>
      </c>
      <c r="G438">
        <f t="shared" si="2"/>
        <v>0.1724159007238166</v>
      </c>
      <c r="H438">
        <v>4.1211511112481999E-3</v>
      </c>
      <c r="I438">
        <v>-1.5907129107647531E-3</v>
      </c>
      <c r="J438">
        <v>-1.6014068686480774E-3</v>
      </c>
      <c r="K438">
        <v>-1.6121008265314019E-3</v>
      </c>
      <c r="L438">
        <v>-1.6227947844147264E-3</v>
      </c>
      <c r="M438">
        <v>-1.6334887422980507E-3</v>
      </c>
      <c r="N438">
        <v>-1.6441827001813752E-3</v>
      </c>
    </row>
    <row r="439" spans="1:14" x14ac:dyDescent="0.35">
      <c r="A439">
        <v>185</v>
      </c>
      <c r="B439" t="s">
        <v>29</v>
      </c>
      <c r="C439" s="23">
        <v>43005</v>
      </c>
      <c r="D439">
        <v>2.9963830360025998E-3</v>
      </c>
      <c r="E439">
        <v>-0.43850517</v>
      </c>
      <c r="F439">
        <v>-1.3139294607660403E-3</v>
      </c>
      <c r="G439">
        <f t="shared" si="2"/>
        <v>0.17110197126305057</v>
      </c>
      <c r="H439">
        <v>4.0921918299320001E-3</v>
      </c>
      <c r="I439">
        <v>-1.342650970132782E-3</v>
      </c>
      <c r="J439">
        <v>-1.3713724794995239E-3</v>
      </c>
      <c r="K439">
        <v>-1.4000939888662656E-3</v>
      </c>
      <c r="L439">
        <v>-1.4288154982330075E-3</v>
      </c>
      <c r="M439">
        <v>-1.4575370075997492E-3</v>
      </c>
      <c r="N439">
        <v>-1.4862585169664909E-3</v>
      </c>
    </row>
    <row r="440" spans="1:14" x14ac:dyDescent="0.35">
      <c r="A440">
        <v>186</v>
      </c>
      <c r="B440" t="s">
        <v>29</v>
      </c>
      <c r="C440" s="23">
        <v>43006</v>
      </c>
      <c r="D440">
        <v>7.7198944570876001E-3</v>
      </c>
      <c r="E440">
        <v>-0.32003500000000001</v>
      </c>
      <c r="F440">
        <v>-2.4706365042215495E-3</v>
      </c>
      <c r="G440">
        <f t="shared" si="2"/>
        <v>0.16863133475882902</v>
      </c>
      <c r="H440">
        <v>4.0267005612180003E-3</v>
      </c>
      <c r="I440">
        <v>-2.4837132890064241E-3</v>
      </c>
      <c r="J440">
        <v>-2.4967900737912991E-3</v>
      </c>
      <c r="K440">
        <v>-2.5098668585761736E-3</v>
      </c>
      <c r="L440">
        <v>-2.5229436433610486E-3</v>
      </c>
      <c r="M440">
        <v>-2.5360204281459232E-3</v>
      </c>
      <c r="N440">
        <v>-2.5490972129307982E-3</v>
      </c>
    </row>
    <row r="441" spans="1:14" x14ac:dyDescent="0.35">
      <c r="A441">
        <v>187</v>
      </c>
      <c r="B441" t="s">
        <v>29</v>
      </c>
      <c r="C441" s="23">
        <v>43007</v>
      </c>
      <c r="D441">
        <v>9.6484994257259992E-3</v>
      </c>
      <c r="E441">
        <v>-0.47186038000000002</v>
      </c>
      <c r="F441">
        <v>-4.552744595617525E-3</v>
      </c>
      <c r="G441">
        <f t="shared" si="2"/>
        <v>0.1640785901632115</v>
      </c>
      <c r="H441">
        <v>3.9897385951356999E-3</v>
      </c>
      <c r="I441">
        <v>-4.5710712794017928E-3</v>
      </c>
      <c r="J441">
        <v>-4.5893979631860616E-3</v>
      </c>
      <c r="K441">
        <v>-4.6077246469703294E-3</v>
      </c>
      <c r="L441">
        <v>-4.6260513307545981E-3</v>
      </c>
      <c r="M441">
        <v>-4.644378014538866E-3</v>
      </c>
      <c r="N441">
        <v>-4.6627046983231338E-3</v>
      </c>
    </row>
    <row r="442" spans="1:14" x14ac:dyDescent="0.35">
      <c r="A442">
        <v>188</v>
      </c>
      <c r="B442" t="s">
        <v>29</v>
      </c>
      <c r="C442" s="23">
        <v>43010</v>
      </c>
      <c r="D442">
        <v>6.1226125893300998E-3</v>
      </c>
      <c r="E442">
        <v>-0.48845005000000002</v>
      </c>
      <c r="F442">
        <v>-2.9905904275563454E-3</v>
      </c>
      <c r="G442">
        <f t="shared" si="2"/>
        <v>0.16108799973565516</v>
      </c>
      <c r="H442">
        <v>3.9709209232657999E-3</v>
      </c>
      <c r="I442">
        <v>-2.9928290382738552E-3</v>
      </c>
      <c r="J442">
        <v>-2.9950676489913651E-3</v>
      </c>
      <c r="K442">
        <v>-2.997306259708875E-3</v>
      </c>
      <c r="L442">
        <v>-2.9995448704263849E-3</v>
      </c>
      <c r="M442">
        <v>-3.0017834811438947E-3</v>
      </c>
      <c r="N442">
        <v>-3.0040220918614046E-3</v>
      </c>
    </row>
    <row r="443" spans="1:14" x14ac:dyDescent="0.35">
      <c r="A443">
        <v>189</v>
      </c>
      <c r="B443" t="s">
        <v>29</v>
      </c>
      <c r="C443" s="23">
        <v>43011</v>
      </c>
      <c r="D443">
        <v>3.3323999370087E-3</v>
      </c>
      <c r="E443">
        <v>-0.48343663999999997</v>
      </c>
      <c r="F443">
        <v>-1.6110042422708953E-3</v>
      </c>
      <c r="G443">
        <f t="shared" si="2"/>
        <v>0.15947699549338426</v>
      </c>
      <c r="H443">
        <v>3.9184074310664001E-3</v>
      </c>
      <c r="I443">
        <v>-1.6111786055564863E-3</v>
      </c>
      <c r="J443">
        <v>-1.611352968842077E-3</v>
      </c>
      <c r="K443">
        <v>-1.611527332127668E-3</v>
      </c>
      <c r="L443">
        <v>-1.611701695413259E-3</v>
      </c>
      <c r="M443">
        <v>-1.6118760586988498E-3</v>
      </c>
      <c r="N443">
        <v>-1.6120504219844407E-3</v>
      </c>
    </row>
    <row r="444" spans="1:14" x14ac:dyDescent="0.35">
      <c r="A444">
        <v>190</v>
      </c>
      <c r="B444" t="s">
        <v>29</v>
      </c>
      <c r="C444" s="23">
        <v>43012</v>
      </c>
      <c r="D444">
        <v>1.32891154121564E-2</v>
      </c>
      <c r="E444">
        <v>-0.55485326000000001</v>
      </c>
      <c r="F444">
        <v>-7.3735090158232944E-3</v>
      </c>
      <c r="G444">
        <f t="shared" si="2"/>
        <v>0.15210348647756097</v>
      </c>
      <c r="H444">
        <v>3.8548328707903E-3</v>
      </c>
      <c r="I444">
        <v>-7.3832232905258477E-3</v>
      </c>
      <c r="J444">
        <v>-7.3929375652284001E-3</v>
      </c>
      <c r="K444">
        <v>-7.4026518399309535E-3</v>
      </c>
      <c r="L444">
        <v>-7.4123661146335059E-3</v>
      </c>
      <c r="M444">
        <v>-7.4220803893360592E-3</v>
      </c>
      <c r="N444">
        <v>-7.4317946640386117E-3</v>
      </c>
    </row>
    <row r="445" spans="1:14" x14ac:dyDescent="0.35">
      <c r="A445">
        <v>191</v>
      </c>
      <c r="B445" t="s">
        <v>29</v>
      </c>
      <c r="C445" s="23">
        <v>43013</v>
      </c>
      <c r="D445">
        <v>-4.7771111276837001E-3</v>
      </c>
      <c r="E445">
        <v>-0.65741324000000001</v>
      </c>
      <c r="F445">
        <v>3.1405361245810713E-3</v>
      </c>
      <c r="G445">
        <f t="shared" si="2"/>
        <v>0.15524402260214204</v>
      </c>
      <c r="H445">
        <v>3.8784256322153998E-3</v>
      </c>
      <c r="I445">
        <v>3.1284563173251379E-3</v>
      </c>
      <c r="J445">
        <v>3.116376510069204E-3</v>
      </c>
      <c r="K445">
        <v>3.1042967028132706E-3</v>
      </c>
      <c r="L445">
        <v>3.0922168955573371E-3</v>
      </c>
      <c r="M445">
        <v>3.0801370883014037E-3</v>
      </c>
      <c r="N445">
        <v>3.0680572810454698E-3</v>
      </c>
    </row>
    <row r="446" spans="1:14" x14ac:dyDescent="0.35">
      <c r="A446">
        <v>192</v>
      </c>
      <c r="B446" t="s">
        <v>29</v>
      </c>
      <c r="C446" s="23">
        <v>43014</v>
      </c>
      <c r="D446">
        <v>-1.2049765210889001E-3</v>
      </c>
      <c r="E446">
        <v>-0.51492320000000003</v>
      </c>
      <c r="F446">
        <v>6.2047038413307336E-4</v>
      </c>
      <c r="G446">
        <f t="shared" si="2"/>
        <v>0.15586449298627511</v>
      </c>
      <c r="H446">
        <v>3.8515419302076002E-3</v>
      </c>
      <c r="I446">
        <v>6.0355059928802752E-4</v>
      </c>
      <c r="J446">
        <v>5.8663081444298157E-4</v>
      </c>
      <c r="K446">
        <v>5.6971102959793574E-4</v>
      </c>
      <c r="L446">
        <v>5.5279124475288979E-4</v>
      </c>
      <c r="M446">
        <v>5.3587145990784395E-4</v>
      </c>
      <c r="N446">
        <v>5.1895167506279811E-4</v>
      </c>
    </row>
    <row r="447" spans="1:14" x14ac:dyDescent="0.35">
      <c r="A447">
        <v>193</v>
      </c>
      <c r="B447" t="s">
        <v>29</v>
      </c>
      <c r="C447" s="23">
        <v>43017</v>
      </c>
      <c r="D447">
        <v>4.6478231575292003E-3</v>
      </c>
      <c r="E447">
        <v>-0.67534625999999998</v>
      </c>
      <c r="F447">
        <v>-3.1388899647452578E-3</v>
      </c>
      <c r="G447">
        <f t="shared" ref="G447:G504" si="3">G446+F447</f>
        <v>0.15272560302152985</v>
      </c>
      <c r="H447">
        <v>3.7963004486175999E-3</v>
      </c>
      <c r="I447">
        <v>-3.1597739923093513E-3</v>
      </c>
      <c r="J447">
        <v>-3.1806580198734447E-3</v>
      </c>
      <c r="K447">
        <v>-3.2015420474375382E-3</v>
      </c>
      <c r="L447">
        <v>-3.2224260750016317E-3</v>
      </c>
      <c r="M447">
        <v>-3.2433101025657251E-3</v>
      </c>
      <c r="N447">
        <v>-3.2641941301298186E-3</v>
      </c>
    </row>
    <row r="448" spans="1:14" x14ac:dyDescent="0.35">
      <c r="A448">
        <v>194</v>
      </c>
      <c r="B448" t="s">
        <v>29</v>
      </c>
      <c r="C448" s="23">
        <v>43018</v>
      </c>
      <c r="D448">
        <v>4.4637344294367999E-3</v>
      </c>
      <c r="E448">
        <v>-0.69267350000000005</v>
      </c>
      <c r="F448">
        <v>-3.091910569737206E-3</v>
      </c>
      <c r="G448">
        <f t="shared" si="3"/>
        <v>0.14963369245179264</v>
      </c>
      <c r="H448">
        <v>3.7378383558896002E-3</v>
      </c>
      <c r="I448">
        <v>-3.0954152581089025E-3</v>
      </c>
      <c r="J448">
        <v>-3.0989199464805995E-3</v>
      </c>
      <c r="K448">
        <v>-3.1024246348522961E-3</v>
      </c>
      <c r="L448">
        <v>-3.105929323223993E-3</v>
      </c>
      <c r="M448">
        <v>-3.1094340115956896E-3</v>
      </c>
      <c r="N448">
        <v>-3.1129386999673866E-3</v>
      </c>
    </row>
    <row r="449" spans="1:14" x14ac:dyDescent="0.35">
      <c r="A449">
        <v>195</v>
      </c>
      <c r="B449" t="s">
        <v>29</v>
      </c>
      <c r="C449" s="23">
        <v>43019</v>
      </c>
      <c r="D449">
        <v>-3.5207986872930002E-3</v>
      </c>
      <c r="E449">
        <v>-0.69484520000000005</v>
      </c>
      <c r="F449">
        <v>2.4464100665705733E-3</v>
      </c>
      <c r="G449">
        <f t="shared" si="3"/>
        <v>0.15208010251836321</v>
      </c>
      <c r="H449">
        <v>3.6793154538628E-3</v>
      </c>
      <c r="I449">
        <v>2.444738597497673E-3</v>
      </c>
      <c r="J449">
        <v>2.4430671284247727E-3</v>
      </c>
      <c r="K449">
        <v>2.441395659351872E-3</v>
      </c>
      <c r="L449">
        <v>2.4397241902789717E-3</v>
      </c>
      <c r="M449">
        <v>2.4380527212060714E-3</v>
      </c>
      <c r="N449">
        <v>2.4363812521331712E-3</v>
      </c>
    </row>
    <row r="450" spans="1:14" x14ac:dyDescent="0.35">
      <c r="A450">
        <v>196</v>
      </c>
      <c r="B450" t="s">
        <v>29</v>
      </c>
      <c r="C450" s="23">
        <v>43020</v>
      </c>
      <c r="D450">
        <v>3.3073100916928E-3</v>
      </c>
      <c r="E450">
        <v>-0.58470195999999997</v>
      </c>
      <c r="F450">
        <v>-1.9337906774572254E-3</v>
      </c>
      <c r="G450">
        <f t="shared" si="3"/>
        <v>0.15014631184090599</v>
      </c>
      <c r="H450">
        <v>3.6420375345825001E-3</v>
      </c>
      <c r="I450">
        <v>-1.9471655243580637E-3</v>
      </c>
      <c r="J450">
        <v>-1.9605403712589019E-3</v>
      </c>
      <c r="K450">
        <v>-1.9739152181597404E-3</v>
      </c>
      <c r="L450">
        <v>-1.9872900650605785E-3</v>
      </c>
      <c r="M450">
        <v>-2.0006649119614166E-3</v>
      </c>
      <c r="N450">
        <v>-2.0140397588622552E-3</v>
      </c>
    </row>
    <row r="451" spans="1:14" x14ac:dyDescent="0.35">
      <c r="A451">
        <v>197</v>
      </c>
      <c r="B451" t="s">
        <v>29</v>
      </c>
      <c r="C451" s="23">
        <v>43021</v>
      </c>
      <c r="D451">
        <v>3.6161749856004999E-3</v>
      </c>
      <c r="E451">
        <v>-0.70851129999999996</v>
      </c>
      <c r="F451">
        <v>-2.5621008145249096E-3</v>
      </c>
      <c r="G451">
        <f t="shared" si="3"/>
        <v>0.14758421102638108</v>
      </c>
      <c r="H451">
        <v>3.5826246562147002E-3</v>
      </c>
      <c r="I451">
        <v>-2.5796859192950008E-3</v>
      </c>
      <c r="J451">
        <v>-2.5972710240650919E-3</v>
      </c>
      <c r="K451">
        <v>-2.614856128835183E-3</v>
      </c>
      <c r="L451">
        <v>-2.6324412336052741E-3</v>
      </c>
      <c r="M451">
        <v>-2.6500263383753648E-3</v>
      </c>
      <c r="N451">
        <v>-2.6676114431454559E-3</v>
      </c>
    </row>
    <row r="452" spans="1:14" x14ac:dyDescent="0.35">
      <c r="A452">
        <v>198</v>
      </c>
      <c r="B452" t="s">
        <v>29</v>
      </c>
      <c r="C452" s="23">
        <v>43024</v>
      </c>
      <c r="D452">
        <v>7.8658319696289997E-4</v>
      </c>
      <c r="E452">
        <v>-0.70632832999999995</v>
      </c>
      <c r="F452">
        <v>-5.5558599782367269E-4</v>
      </c>
      <c r="G452">
        <f t="shared" si="3"/>
        <v>0.1470286250285574</v>
      </c>
      <c r="H452">
        <v>3.5245547558725998E-3</v>
      </c>
      <c r="I452">
        <v>-5.5683278386287169E-4</v>
      </c>
      <c r="J452">
        <v>-5.580795699020708E-4</v>
      </c>
      <c r="K452">
        <v>-5.593263559412698E-4</v>
      </c>
      <c r="L452">
        <v>-5.6057314198046891E-4</v>
      </c>
      <c r="M452">
        <v>-5.6181992801966792E-4</v>
      </c>
      <c r="N452">
        <v>-5.6306671405886703E-4</v>
      </c>
    </row>
    <row r="453" spans="1:14" x14ac:dyDescent="0.35">
      <c r="A453">
        <v>199</v>
      </c>
      <c r="B453" t="s">
        <v>29</v>
      </c>
      <c r="C453" s="23">
        <v>43025</v>
      </c>
      <c r="D453">
        <v>3.1967716893455001E-3</v>
      </c>
      <c r="E453">
        <v>-0.68586480000000005</v>
      </c>
      <c r="F453">
        <v>-2.19255319509942E-3</v>
      </c>
      <c r="G453">
        <f t="shared" si="3"/>
        <v>0.14483607183345798</v>
      </c>
      <c r="H453">
        <v>3.4679265842017001E-3</v>
      </c>
      <c r="I453">
        <v>-2.1937949988338453E-3</v>
      </c>
      <c r="J453">
        <v>-2.195036802568271E-3</v>
      </c>
      <c r="K453">
        <v>-2.1962786063026963E-3</v>
      </c>
      <c r="L453">
        <v>-2.1975204100371216E-3</v>
      </c>
      <c r="M453">
        <v>-2.1987622137715468E-3</v>
      </c>
      <c r="N453">
        <v>-2.2000040175059726E-3</v>
      </c>
    </row>
    <row r="454" spans="1:14" x14ac:dyDescent="0.35">
      <c r="A454">
        <v>200</v>
      </c>
      <c r="B454" t="s">
        <v>29</v>
      </c>
      <c r="C454" s="23">
        <v>43026</v>
      </c>
      <c r="D454">
        <v>5.4104502887830001E-4</v>
      </c>
      <c r="E454">
        <v>-0.70924050000000005</v>
      </c>
      <c r="F454">
        <v>-3.8373104472578948E-4</v>
      </c>
      <c r="G454">
        <f t="shared" si="3"/>
        <v>0.1444523407887322</v>
      </c>
      <c r="H454">
        <v>3.4110463175158999E-3</v>
      </c>
      <c r="I454">
        <v>-3.885268849547463E-4</v>
      </c>
      <c r="J454">
        <v>-3.9332272518370306E-4</v>
      </c>
      <c r="K454">
        <v>-3.9811856541265987E-4</v>
      </c>
      <c r="L454">
        <v>-4.0291440564161664E-4</v>
      </c>
      <c r="M454">
        <v>-4.0771024587057345E-4</v>
      </c>
      <c r="N454">
        <v>-4.1250608609953027E-4</v>
      </c>
    </row>
    <row r="455" spans="1:14" x14ac:dyDescent="0.35">
      <c r="A455">
        <v>201</v>
      </c>
      <c r="B455" t="s">
        <v>29</v>
      </c>
      <c r="C455" s="23">
        <v>43027</v>
      </c>
      <c r="D455">
        <v>1.4840982620749E-2</v>
      </c>
      <c r="E455">
        <v>-0.68707110000000005</v>
      </c>
      <c r="F455">
        <v>-1.0196810031350888E-2</v>
      </c>
      <c r="G455">
        <f t="shared" si="3"/>
        <v>0.13425553075738131</v>
      </c>
      <c r="H455">
        <v>3.3568916243051001E-3</v>
      </c>
      <c r="I455">
        <v>-1.0198345428849766E-2</v>
      </c>
      <c r="J455">
        <v>-1.0199880826348642E-2</v>
      </c>
      <c r="K455">
        <v>-1.020141622384752E-2</v>
      </c>
      <c r="L455">
        <v>-1.0202951621346398E-2</v>
      </c>
      <c r="M455">
        <v>-1.0204487018845274E-2</v>
      </c>
      <c r="N455">
        <v>-1.0206022416344152E-2</v>
      </c>
    </row>
    <row r="456" spans="1:14" x14ac:dyDescent="0.35">
      <c r="A456">
        <v>202</v>
      </c>
      <c r="B456" t="s">
        <v>29</v>
      </c>
      <c r="C456" s="23">
        <v>43028</v>
      </c>
      <c r="D456">
        <v>-1.13522057715133E-2</v>
      </c>
      <c r="E456">
        <v>-0.74816439999999995</v>
      </c>
      <c r="F456">
        <v>8.4933163940849564E-3</v>
      </c>
      <c r="G456">
        <f t="shared" si="3"/>
        <v>0.14274884715146627</v>
      </c>
      <c r="H456">
        <v>3.3954042706945001E-3</v>
      </c>
      <c r="I456">
        <v>8.4859123516372974E-3</v>
      </c>
      <c r="J456">
        <v>8.4785083091896384E-3</v>
      </c>
      <c r="K456">
        <v>8.4711042667419793E-3</v>
      </c>
      <c r="L456">
        <v>8.4637002242943203E-3</v>
      </c>
      <c r="M456">
        <v>8.4562961818466596E-3</v>
      </c>
      <c r="N456">
        <v>8.4488921393990005E-3</v>
      </c>
    </row>
    <row r="457" spans="1:14" x14ac:dyDescent="0.35">
      <c r="A457">
        <v>203</v>
      </c>
      <c r="B457" t="s">
        <v>29</v>
      </c>
      <c r="C457" s="23">
        <v>43031</v>
      </c>
      <c r="D457">
        <v>3.9931498446200003E-3</v>
      </c>
      <c r="E457">
        <v>-0.27897306999999999</v>
      </c>
      <c r="F457">
        <v>-1.113981282173739E-3</v>
      </c>
      <c r="G457">
        <f t="shared" si="3"/>
        <v>0.14163486586929253</v>
      </c>
      <c r="H457">
        <v>3.4615716632810001E-3</v>
      </c>
      <c r="I457">
        <v>-1.1800091984955398E-3</v>
      </c>
      <c r="J457">
        <v>-1.2460371148173407E-3</v>
      </c>
      <c r="K457">
        <v>-1.3120650311391415E-3</v>
      </c>
      <c r="L457">
        <v>-1.3780929474609424E-3</v>
      </c>
      <c r="M457">
        <v>-1.4441208637827432E-3</v>
      </c>
      <c r="N457">
        <v>-1.5101487801045441E-3</v>
      </c>
    </row>
    <row r="458" spans="1:14" x14ac:dyDescent="0.35">
      <c r="A458">
        <v>204</v>
      </c>
      <c r="B458" t="s">
        <v>29</v>
      </c>
      <c r="C458" s="23">
        <v>43032</v>
      </c>
      <c r="D458">
        <v>-9.4548922644982006E-3</v>
      </c>
      <c r="E458">
        <v>-0.75184510000000004</v>
      </c>
      <c r="F458">
        <v>7.1086146222711435E-3</v>
      </c>
      <c r="G458">
        <f t="shared" si="3"/>
        <v>0.14874348049156366</v>
      </c>
      <c r="H458">
        <v>3.4062325487774999E-3</v>
      </c>
      <c r="I458">
        <v>7.0424071245872022E-3</v>
      </c>
      <c r="J458">
        <v>6.9761996269032608E-3</v>
      </c>
      <c r="K458">
        <v>6.9099921292193195E-3</v>
      </c>
      <c r="L458">
        <v>6.8437846315353781E-3</v>
      </c>
      <c r="M458">
        <v>6.7775771338514368E-3</v>
      </c>
      <c r="N458">
        <v>6.7113696361674954E-3</v>
      </c>
    </row>
    <row r="459" spans="1:14" x14ac:dyDescent="0.35">
      <c r="A459">
        <v>205</v>
      </c>
      <c r="B459" t="s">
        <v>29</v>
      </c>
      <c r="C459" s="23">
        <v>43033</v>
      </c>
      <c r="D459">
        <v>3.2243654930171001E-3</v>
      </c>
      <c r="E459">
        <v>-0.35905206000000001</v>
      </c>
      <c r="F459">
        <v>-1.1577150790210218E-3</v>
      </c>
      <c r="G459">
        <f t="shared" si="3"/>
        <v>0.14758576541254265</v>
      </c>
      <c r="H459">
        <v>3.4362326288003E-3</v>
      </c>
      <c r="I459">
        <v>-1.2126315564250788E-3</v>
      </c>
      <c r="J459">
        <v>-1.2675480338291357E-3</v>
      </c>
      <c r="K459">
        <v>-1.3224645112331927E-3</v>
      </c>
      <c r="L459">
        <v>-1.3773809886372494E-3</v>
      </c>
      <c r="M459">
        <v>-1.4322974660413064E-3</v>
      </c>
      <c r="N459">
        <v>-1.4872139434453633E-3</v>
      </c>
    </row>
    <row r="460" spans="1:14" x14ac:dyDescent="0.35">
      <c r="A460">
        <v>206</v>
      </c>
      <c r="B460" t="s">
        <v>29</v>
      </c>
      <c r="C460" s="23">
        <v>43034</v>
      </c>
      <c r="D460">
        <v>1.8551231341030001E-2</v>
      </c>
      <c r="E460">
        <v>-0.74744549999999998</v>
      </c>
      <c r="F460">
        <v>-1.3866034825696942E-2</v>
      </c>
      <c r="G460">
        <f t="shared" si="3"/>
        <v>0.13371973058684569</v>
      </c>
      <c r="H460">
        <v>3.3804367042128999E-3</v>
      </c>
      <c r="I460">
        <v>-1.3921132190208012E-2</v>
      </c>
      <c r="J460">
        <v>-1.3976229554719081E-2</v>
      </c>
      <c r="K460">
        <v>-1.4031326919230149E-2</v>
      </c>
      <c r="L460">
        <v>-1.4086424283741218E-2</v>
      </c>
      <c r="M460">
        <v>-1.4141521648252288E-2</v>
      </c>
      <c r="N460">
        <v>-1.4196619012763357E-2</v>
      </c>
    </row>
    <row r="461" spans="1:14" x14ac:dyDescent="0.35">
      <c r="A461">
        <v>207</v>
      </c>
      <c r="B461" t="s">
        <v>29</v>
      </c>
      <c r="C461" s="23">
        <v>43035</v>
      </c>
      <c r="D461">
        <v>-1.0763481395558799E-2</v>
      </c>
      <c r="E461">
        <v>-0.76172720000000005</v>
      </c>
      <c r="F461">
        <v>8.1988366948681918E-3</v>
      </c>
      <c r="G461">
        <f t="shared" si="3"/>
        <v>0.14191856728171387</v>
      </c>
      <c r="H461">
        <v>3.4897551258516002E-3</v>
      </c>
      <c r="I461">
        <v>8.1974978004227261E-3</v>
      </c>
      <c r="J461">
        <v>8.1961589059772588E-3</v>
      </c>
      <c r="K461">
        <v>8.1948200115317931E-3</v>
      </c>
      <c r="L461">
        <v>8.1934811170863257E-3</v>
      </c>
      <c r="M461">
        <v>8.1921422226408601E-3</v>
      </c>
      <c r="N461">
        <v>8.1908033281953944E-3</v>
      </c>
    </row>
    <row r="462" spans="1:14" x14ac:dyDescent="0.35">
      <c r="A462">
        <v>208</v>
      </c>
      <c r="B462" t="s">
        <v>29</v>
      </c>
      <c r="C462" s="23">
        <v>43038</v>
      </c>
      <c r="D462">
        <v>4.6730368374833997E-3</v>
      </c>
      <c r="E462">
        <v>-0.15463742999999999</v>
      </c>
      <c r="F462">
        <v>-7.2262638879613806E-4</v>
      </c>
      <c r="G462">
        <f t="shared" si="3"/>
        <v>0.14119594089291773</v>
      </c>
      <c r="H462">
        <v>3.5429661339853999E-3</v>
      </c>
      <c r="I462">
        <v>-8.0513081280614524E-4</v>
      </c>
      <c r="J462">
        <v>-8.8763523681615242E-4</v>
      </c>
      <c r="K462">
        <v>-9.7013966082615971E-4</v>
      </c>
      <c r="L462">
        <v>-1.0526440848361669E-3</v>
      </c>
      <c r="M462">
        <v>-1.1351485088461741E-3</v>
      </c>
      <c r="N462">
        <v>-1.2176529328561812E-3</v>
      </c>
    </row>
    <row r="463" spans="1:14" x14ac:dyDescent="0.35">
      <c r="A463">
        <v>209</v>
      </c>
      <c r="B463" t="s">
        <v>29</v>
      </c>
      <c r="C463" s="23">
        <v>43039</v>
      </c>
      <c r="D463">
        <v>2.1053786837789E-3</v>
      </c>
      <c r="E463">
        <v>-0.75534040000000002</v>
      </c>
      <c r="F463">
        <v>-1.5902775715944924E-3</v>
      </c>
      <c r="G463">
        <f t="shared" si="3"/>
        <v>0.13960566332132324</v>
      </c>
      <c r="H463">
        <v>3.4889373894962002E-3</v>
      </c>
      <c r="I463">
        <v>-1.6719412905816917E-3</v>
      </c>
      <c r="J463">
        <v>-1.7536050095688909E-3</v>
      </c>
      <c r="K463">
        <v>-1.8352687285560902E-3</v>
      </c>
      <c r="L463">
        <v>-1.9169324475432896E-3</v>
      </c>
      <c r="M463">
        <v>-1.9985961665304887E-3</v>
      </c>
      <c r="N463">
        <v>-2.0802598855176879E-3</v>
      </c>
    </row>
    <row r="464" spans="1:14" x14ac:dyDescent="0.35">
      <c r="A464">
        <v>210</v>
      </c>
      <c r="B464" t="s">
        <v>29</v>
      </c>
      <c r="C464" s="23">
        <v>43040</v>
      </c>
      <c r="D464">
        <v>2.1391019571694002E-3</v>
      </c>
      <c r="E464">
        <v>-0.65006039999999998</v>
      </c>
      <c r="F464">
        <v>-1.3905455065780128E-3</v>
      </c>
      <c r="G464">
        <f t="shared" si="3"/>
        <v>0.13821511781474521</v>
      </c>
      <c r="H464">
        <v>3.4312663596411E-3</v>
      </c>
      <c r="I464">
        <v>-1.4033224960368616E-3</v>
      </c>
      <c r="J464">
        <v>-1.4160994854957106E-3</v>
      </c>
      <c r="K464">
        <v>-1.4288764749545593E-3</v>
      </c>
      <c r="L464">
        <v>-1.4416534644134081E-3</v>
      </c>
      <c r="M464">
        <v>-1.4544304538722571E-3</v>
      </c>
      <c r="N464">
        <v>-1.4672074433311059E-3</v>
      </c>
    </row>
    <row r="465" spans="1:14" x14ac:dyDescent="0.35">
      <c r="A465">
        <v>211</v>
      </c>
      <c r="B465" t="s">
        <v>29</v>
      </c>
      <c r="C465" s="23">
        <v>43041</v>
      </c>
      <c r="D465">
        <v>6.5201000292342002E-3</v>
      </c>
      <c r="E465">
        <v>-0.68424189999999996</v>
      </c>
      <c r="F465">
        <v>-4.4613255729078699E-3</v>
      </c>
      <c r="G465">
        <f t="shared" si="3"/>
        <v>0.13375379224183734</v>
      </c>
      <c r="H465">
        <v>3.3745486663926999E-3</v>
      </c>
      <c r="I465">
        <v>-4.4676155691042311E-3</v>
      </c>
      <c r="J465">
        <v>-4.4739055653005922E-3</v>
      </c>
      <c r="K465">
        <v>-4.4801955614969533E-3</v>
      </c>
      <c r="L465">
        <v>-4.4864855576933144E-3</v>
      </c>
      <c r="M465">
        <v>-4.4927755538896755E-3</v>
      </c>
      <c r="N465">
        <v>-4.4990655500860366E-3</v>
      </c>
    </row>
    <row r="466" spans="1:14" x14ac:dyDescent="0.35">
      <c r="A466">
        <v>212</v>
      </c>
      <c r="B466" t="s">
        <v>29</v>
      </c>
      <c r="C466" s="23">
        <v>43042</v>
      </c>
      <c r="D466">
        <v>6.5915767342870002E-3</v>
      </c>
      <c r="E466">
        <v>-0.72099939999999996</v>
      </c>
      <c r="F466">
        <v>-4.7525230002576175E-3</v>
      </c>
      <c r="G466">
        <f t="shared" si="3"/>
        <v>0.12900126924157973</v>
      </c>
      <c r="H466">
        <v>3.3302018416821E-3</v>
      </c>
      <c r="I466">
        <v>-4.7590134859265276E-3</v>
      </c>
      <c r="J466">
        <v>-4.7655039715954377E-3</v>
      </c>
      <c r="K466">
        <v>-4.7719944572643478E-3</v>
      </c>
      <c r="L466">
        <v>-4.7784849429332579E-3</v>
      </c>
      <c r="M466">
        <v>-4.784975428602168E-3</v>
      </c>
      <c r="N466">
        <v>-4.7914659142710781E-3</v>
      </c>
    </row>
    <row r="467" spans="1:14" x14ac:dyDescent="0.35">
      <c r="A467">
        <v>213</v>
      </c>
      <c r="B467" t="s">
        <v>29</v>
      </c>
      <c r="C467" s="23">
        <v>43045</v>
      </c>
      <c r="D467">
        <v>-2.2216443831498001E-3</v>
      </c>
      <c r="E467">
        <v>-0.73343164000000005</v>
      </c>
      <c r="F467">
        <v>1.629424277403336E-3</v>
      </c>
      <c r="G467">
        <f t="shared" si="3"/>
        <v>0.13063069351898307</v>
      </c>
      <c r="H467">
        <v>3.2859150341274998E-3</v>
      </c>
      <c r="I467">
        <v>1.6262581285464133E-3</v>
      </c>
      <c r="J467">
        <v>1.6230919796894907E-3</v>
      </c>
      <c r="K467">
        <v>1.619925830832568E-3</v>
      </c>
      <c r="L467">
        <v>1.6167596819756454E-3</v>
      </c>
      <c r="M467">
        <v>1.6135935331187228E-3</v>
      </c>
      <c r="N467">
        <v>1.6104273842618001E-3</v>
      </c>
    </row>
    <row r="468" spans="1:14" x14ac:dyDescent="0.35">
      <c r="A468">
        <v>214</v>
      </c>
      <c r="B468" t="s">
        <v>29</v>
      </c>
      <c r="C468" s="23">
        <v>43046</v>
      </c>
      <c r="D468">
        <v>4.7836352861424999E-3</v>
      </c>
      <c r="E468">
        <v>-0.59499763999999999</v>
      </c>
      <c r="F468">
        <v>-2.846251727040412E-3</v>
      </c>
      <c r="G468">
        <f t="shared" si="3"/>
        <v>0.12778444179194265</v>
      </c>
      <c r="H468">
        <v>3.2453937853332E-3</v>
      </c>
      <c r="I468">
        <v>-2.8650878966440928E-3</v>
      </c>
      <c r="J468">
        <v>-2.8839240662477733E-3</v>
      </c>
      <c r="K468">
        <v>-2.9027602358514541E-3</v>
      </c>
      <c r="L468">
        <v>-2.9215964054551346E-3</v>
      </c>
      <c r="M468">
        <v>-2.9404325750588154E-3</v>
      </c>
      <c r="N468">
        <v>-2.9592687446624959E-3</v>
      </c>
    </row>
    <row r="469" spans="1:14" x14ac:dyDescent="0.35">
      <c r="A469">
        <v>215</v>
      </c>
      <c r="B469" t="s">
        <v>29</v>
      </c>
      <c r="C469" s="23">
        <v>43047</v>
      </c>
      <c r="D469">
        <v>-7.9900121561888998E-3</v>
      </c>
      <c r="E469">
        <v>-0.74120945000000005</v>
      </c>
      <c r="F469">
        <v>5.9222724948792627E-3</v>
      </c>
      <c r="G469">
        <f t="shared" si="3"/>
        <v>0.1337067142868219</v>
      </c>
      <c r="H469">
        <v>3.1950243740575999E-3</v>
      </c>
      <c r="I469">
        <v>5.8992862844645909E-3</v>
      </c>
      <c r="J469">
        <v>5.8763000740499182E-3</v>
      </c>
      <c r="K469">
        <v>5.8533138636352464E-3</v>
      </c>
      <c r="L469">
        <v>5.8303276532205746E-3</v>
      </c>
      <c r="M469">
        <v>5.8073414428059019E-3</v>
      </c>
      <c r="N469">
        <v>5.7843552323912301E-3</v>
      </c>
    </row>
    <row r="470" spans="1:14" x14ac:dyDescent="0.35">
      <c r="A470">
        <v>216</v>
      </c>
      <c r="B470" t="s">
        <v>29</v>
      </c>
      <c r="C470" s="23">
        <v>43048</v>
      </c>
      <c r="D470">
        <v>-5.1314665309812003E-3</v>
      </c>
      <c r="E470">
        <v>-0.2186379</v>
      </c>
      <c r="F470">
        <v>1.1219330588869666E-3</v>
      </c>
      <c r="G470">
        <f t="shared" si="3"/>
        <v>0.13482864734570887</v>
      </c>
      <c r="H470">
        <v>3.2067824081703999E-3</v>
      </c>
      <c r="I470">
        <v>1.0445406560859131E-3</v>
      </c>
      <c r="J470">
        <v>9.671482532848597E-4</v>
      </c>
      <c r="K470">
        <v>8.8975585048380631E-4</v>
      </c>
      <c r="L470">
        <v>8.1236344768275282E-4</v>
      </c>
      <c r="M470">
        <v>7.3497104488169944E-4</v>
      </c>
      <c r="N470">
        <v>6.5757864208064595E-4</v>
      </c>
    </row>
    <row r="471" spans="1:14" x14ac:dyDescent="0.35">
      <c r="A471">
        <v>217</v>
      </c>
      <c r="B471" t="s">
        <v>29</v>
      </c>
      <c r="C471" s="23">
        <v>43049</v>
      </c>
      <c r="D471">
        <v>2.8750704105750999E-3</v>
      </c>
      <c r="E471">
        <v>-0.67866769999999998</v>
      </c>
      <c r="F471">
        <v>-1.9512174922658042E-3</v>
      </c>
      <c r="G471">
        <f t="shared" si="3"/>
        <v>0.13287742985344306</v>
      </c>
      <c r="H471">
        <v>3.1852753452899E-3</v>
      </c>
      <c r="I471">
        <v>-2.01966886388264E-3</v>
      </c>
      <c r="J471">
        <v>-2.088120235499476E-3</v>
      </c>
      <c r="K471">
        <v>-2.156571607116312E-3</v>
      </c>
      <c r="L471">
        <v>-2.2250229787331476E-3</v>
      </c>
      <c r="M471">
        <v>-2.2934743503499836E-3</v>
      </c>
      <c r="N471">
        <v>-2.3619257219668196E-3</v>
      </c>
    </row>
    <row r="472" spans="1:14" x14ac:dyDescent="0.35">
      <c r="A472">
        <v>218</v>
      </c>
      <c r="B472" t="s">
        <v>29</v>
      </c>
      <c r="C472" s="23">
        <v>43052</v>
      </c>
      <c r="D472">
        <v>-4.6721931316567999E-3</v>
      </c>
      <c r="E472">
        <v>-0.69848440000000001</v>
      </c>
      <c r="F472">
        <v>3.263454113320621E-3</v>
      </c>
      <c r="G472">
        <f t="shared" si="3"/>
        <v>0.13614088396676369</v>
      </c>
      <c r="H472">
        <v>3.1330978272054999E-3</v>
      </c>
      <c r="I472">
        <v>3.2587894481085401E-3</v>
      </c>
      <c r="J472">
        <v>3.2541247828964596E-3</v>
      </c>
      <c r="K472">
        <v>3.2494601176843788E-3</v>
      </c>
      <c r="L472">
        <v>3.2447954524722979E-3</v>
      </c>
      <c r="M472">
        <v>3.240130787260217E-3</v>
      </c>
      <c r="N472">
        <v>3.2354661220481366E-3</v>
      </c>
    </row>
    <row r="473" spans="1:14" x14ac:dyDescent="0.35">
      <c r="A473">
        <v>219</v>
      </c>
      <c r="B473" t="s">
        <v>29</v>
      </c>
      <c r="C473" s="23">
        <v>43053</v>
      </c>
      <c r="D473">
        <v>-1.53354691939547E-2</v>
      </c>
      <c r="E473">
        <v>-0.46821724999999997</v>
      </c>
      <c r="F473">
        <v>7.1803312699643528E-3</v>
      </c>
      <c r="G473">
        <f t="shared" si="3"/>
        <v>0.14332121523672803</v>
      </c>
      <c r="H473">
        <v>3.1070937691088998E-3</v>
      </c>
      <c r="I473">
        <v>7.1461990376981326E-3</v>
      </c>
      <c r="J473">
        <v>7.1120668054319124E-3</v>
      </c>
      <c r="K473">
        <v>7.0779345731656921E-3</v>
      </c>
      <c r="L473">
        <v>7.0438023408994719E-3</v>
      </c>
      <c r="M473">
        <v>7.0096701086332508E-3</v>
      </c>
      <c r="N473">
        <v>6.9755378763670306E-3</v>
      </c>
    </row>
    <row r="474" spans="1:14" x14ac:dyDescent="0.35">
      <c r="A474">
        <v>220</v>
      </c>
      <c r="B474" t="s">
        <v>29</v>
      </c>
      <c r="C474" s="23">
        <v>43054</v>
      </c>
      <c r="D474">
        <v>2.28847141238601E-2</v>
      </c>
      <c r="E474">
        <v>3.6255627999999998E-2</v>
      </c>
      <c r="F474">
        <v>8.2969967919881323E-4</v>
      </c>
      <c r="G474">
        <f t="shared" si="3"/>
        <v>0.14415091491592685</v>
      </c>
      <c r="H474">
        <v>3.2194977305906002E-3</v>
      </c>
      <c r="I474">
        <v>7.5318347890227422E-4</v>
      </c>
      <c r="J474">
        <v>6.7666727860573521E-4</v>
      </c>
      <c r="K474">
        <v>6.0015107830919631E-4</v>
      </c>
      <c r="L474">
        <v>5.236348780126573E-4</v>
      </c>
      <c r="M474">
        <v>4.4711867771611834E-4</v>
      </c>
      <c r="N474">
        <v>3.7060247741957933E-4</v>
      </c>
    </row>
    <row r="475" spans="1:14" x14ac:dyDescent="0.35">
      <c r="A475">
        <v>221</v>
      </c>
      <c r="B475" t="s">
        <v>29</v>
      </c>
      <c r="C475" s="23">
        <v>43055</v>
      </c>
      <c r="D475">
        <v>-9.3182221121472005E-3</v>
      </c>
      <c r="E475">
        <v>-0.77712329999999996</v>
      </c>
      <c r="F475">
        <v>7.241407260918693E-3</v>
      </c>
      <c r="G475">
        <f t="shared" si="3"/>
        <v>0.15139232217684553</v>
      </c>
      <c r="H475">
        <v>3.4324596137463E-3</v>
      </c>
      <c r="I475">
        <v>7.129120874413265E-3</v>
      </c>
      <c r="J475">
        <v>7.016834487907837E-3</v>
      </c>
      <c r="K475">
        <v>6.904548101402409E-3</v>
      </c>
      <c r="L475">
        <v>6.792261714896981E-3</v>
      </c>
      <c r="M475">
        <v>6.679975328391553E-3</v>
      </c>
      <c r="N475">
        <v>6.567688941886125E-3</v>
      </c>
    </row>
    <row r="476" spans="1:14" x14ac:dyDescent="0.35">
      <c r="A476">
        <v>222</v>
      </c>
      <c r="B476" t="s">
        <v>29</v>
      </c>
      <c r="C476" s="23">
        <v>43056</v>
      </c>
      <c r="D476">
        <v>6.1077231495835996E-3</v>
      </c>
      <c r="E476">
        <v>5.2348512999999999E-2</v>
      </c>
      <c r="F476">
        <v>3.1973022565025543E-4</v>
      </c>
      <c r="G476">
        <f t="shared" si="3"/>
        <v>0.1517120524024958</v>
      </c>
      <c r="H476">
        <v>3.4529595071158999E-3</v>
      </c>
      <c r="I476">
        <v>2.0560163590224593E-4</v>
      </c>
      <c r="J476">
        <v>9.1473046154236449E-5</v>
      </c>
      <c r="K476">
        <v>-2.2655543593773028E-5</v>
      </c>
      <c r="L476">
        <v>-1.3678413334178253E-4</v>
      </c>
      <c r="M476">
        <v>-2.5091272308979193E-4</v>
      </c>
      <c r="N476">
        <v>-3.6504131283780148E-4</v>
      </c>
    </row>
    <row r="477" spans="1:14" x14ac:dyDescent="0.35">
      <c r="A477">
        <v>223</v>
      </c>
      <c r="B477" t="s">
        <v>29</v>
      </c>
      <c r="C477" s="23">
        <v>43059</v>
      </c>
      <c r="D477">
        <v>1.5294604407005301E-2</v>
      </c>
      <c r="E477">
        <v>-0.76027999999999996</v>
      </c>
      <c r="F477">
        <v>-1.1628182038678889E-2</v>
      </c>
      <c r="G477">
        <f t="shared" si="3"/>
        <v>0.14008387036381692</v>
      </c>
      <c r="H477">
        <v>3.4096622912461998E-3</v>
      </c>
      <c r="I477">
        <v>-1.1740691944814868E-2</v>
      </c>
      <c r="J477">
        <v>-1.1853201850950845E-2</v>
      </c>
      <c r="K477">
        <v>-1.1965711757086824E-2</v>
      </c>
      <c r="L477">
        <v>-1.2078221663222803E-2</v>
      </c>
      <c r="M477">
        <v>-1.219073156935878E-2</v>
      </c>
      <c r="N477">
        <v>-1.2303241475494759E-2</v>
      </c>
    </row>
    <row r="478" spans="1:14" x14ac:dyDescent="0.35">
      <c r="A478">
        <v>224</v>
      </c>
      <c r="B478" t="s">
        <v>29</v>
      </c>
      <c r="C478" s="23">
        <v>43060</v>
      </c>
      <c r="D478">
        <v>-1.8362881517652E-3</v>
      </c>
      <c r="E478">
        <v>-0.76495963</v>
      </c>
      <c r="F478">
        <v>1.4046863112999403E-3</v>
      </c>
      <c r="G478">
        <f t="shared" si="3"/>
        <v>0.14148855667511687</v>
      </c>
      <c r="H478">
        <v>3.4684999754950002E-3</v>
      </c>
      <c r="I478">
        <v>1.4035366845476759E-3</v>
      </c>
      <c r="J478">
        <v>1.4023870577954114E-3</v>
      </c>
      <c r="K478">
        <v>1.4012374310431472E-3</v>
      </c>
      <c r="L478">
        <v>1.4000878042908828E-3</v>
      </c>
      <c r="M478">
        <v>1.3989381775386183E-3</v>
      </c>
      <c r="N478">
        <v>1.3977885507863539E-3</v>
      </c>
    </row>
    <row r="479" spans="1:14" x14ac:dyDescent="0.35">
      <c r="A479">
        <v>225</v>
      </c>
      <c r="B479" t="s">
        <v>29</v>
      </c>
      <c r="C479" s="23">
        <v>43061</v>
      </c>
      <c r="D479">
        <v>6.9205467411310997E-3</v>
      </c>
      <c r="E479">
        <v>-0.37581608</v>
      </c>
      <c r="F479">
        <v>-2.6008527269051015E-3</v>
      </c>
      <c r="G479">
        <f t="shared" si="3"/>
        <v>0.13888770394821176</v>
      </c>
      <c r="H479">
        <v>3.4206627952346001E-3</v>
      </c>
      <c r="I479">
        <v>-2.6531433315975226E-3</v>
      </c>
      <c r="J479">
        <v>-2.7054339362899437E-3</v>
      </c>
      <c r="K479">
        <v>-2.7577245409823653E-3</v>
      </c>
      <c r="L479">
        <v>-2.8100151456747864E-3</v>
      </c>
      <c r="M479">
        <v>-2.8623057503672075E-3</v>
      </c>
      <c r="N479">
        <v>-2.9145963550596286E-3</v>
      </c>
    </row>
    <row r="480" spans="1:14" x14ac:dyDescent="0.35">
      <c r="A480">
        <v>226</v>
      </c>
      <c r="B480" t="s">
        <v>29</v>
      </c>
      <c r="C480" s="23">
        <v>43063</v>
      </c>
      <c r="D480">
        <v>8.0617346292360004E-4</v>
      </c>
      <c r="E480">
        <v>-0.76700619999999997</v>
      </c>
      <c r="F480">
        <v>-6.183400591983733E-4</v>
      </c>
      <c r="G480">
        <f t="shared" si="3"/>
        <v>0.1382693638890134</v>
      </c>
      <c r="H480">
        <v>3.3797408552375999E-3</v>
      </c>
      <c r="I480">
        <v>-6.7365320496067937E-4</v>
      </c>
      <c r="J480">
        <v>-7.2896635072298554E-4</v>
      </c>
      <c r="K480">
        <v>-7.842794964852916E-4</v>
      </c>
      <c r="L480">
        <v>-8.3959264224759767E-4</v>
      </c>
      <c r="M480">
        <v>-8.9490578800990373E-4</v>
      </c>
      <c r="N480">
        <v>-9.5021893377220991E-4</v>
      </c>
    </row>
    <row r="481" spans="1:14" x14ac:dyDescent="0.35">
      <c r="A481">
        <v>227</v>
      </c>
      <c r="B481" t="s">
        <v>29</v>
      </c>
      <c r="C481" s="23">
        <v>43066</v>
      </c>
      <c r="D481">
        <v>2.6488259794675301E-2</v>
      </c>
      <c r="E481">
        <v>-0.62612259999999997</v>
      </c>
      <c r="F481">
        <v>-1.6584897930001462E-2</v>
      </c>
      <c r="G481">
        <f t="shared" si="3"/>
        <v>0.12168446595901193</v>
      </c>
      <c r="H481">
        <v>3.3249394518674001E-3</v>
      </c>
      <c r="I481">
        <v>-1.6603149522657228E-2</v>
      </c>
      <c r="J481">
        <v>-1.6621401115312993E-2</v>
      </c>
      <c r="K481">
        <v>-1.6639652707968758E-2</v>
      </c>
      <c r="L481">
        <v>-1.6657904300624523E-2</v>
      </c>
      <c r="M481">
        <v>-1.6676155893280288E-2</v>
      </c>
      <c r="N481">
        <v>-1.6694407485936053E-2</v>
      </c>
    </row>
    <row r="482" spans="1:14" x14ac:dyDescent="0.35">
      <c r="A482">
        <v>228</v>
      </c>
      <c r="B482" t="s">
        <v>29</v>
      </c>
      <c r="C482" s="23">
        <v>43067</v>
      </c>
      <c r="D482">
        <v>-9.9545413343469992E-4</v>
      </c>
      <c r="E482">
        <v>-0.7789606</v>
      </c>
      <c r="F482">
        <v>7.7541953471243813E-4</v>
      </c>
      <c r="G482">
        <f t="shared" si="3"/>
        <v>0.12245988549372437</v>
      </c>
      <c r="H482">
        <v>3.6147229182891E-3</v>
      </c>
      <c r="I482">
        <v>7.6257551831052225E-4</v>
      </c>
      <c r="J482">
        <v>7.4973150190860648E-4</v>
      </c>
      <c r="K482">
        <v>7.368874855066906E-4</v>
      </c>
      <c r="L482">
        <v>7.2404346910477473E-4</v>
      </c>
      <c r="M482">
        <v>7.1119945270285885E-4</v>
      </c>
      <c r="N482">
        <v>6.9835543630094308E-4</v>
      </c>
    </row>
    <row r="483" spans="1:14" x14ac:dyDescent="0.35">
      <c r="A483">
        <v>229</v>
      </c>
      <c r="B483" t="s">
        <v>29</v>
      </c>
      <c r="C483" s="23">
        <v>43068</v>
      </c>
      <c r="D483">
        <v>2.3230796306381599E-2</v>
      </c>
      <c r="E483">
        <v>-0.66874164000000003</v>
      </c>
      <c r="F483">
        <v>-1.5535400900089385E-2</v>
      </c>
      <c r="G483">
        <f t="shared" si="3"/>
        <v>0.10692448459363499</v>
      </c>
      <c r="H483">
        <v>3.5638992656705998E-3</v>
      </c>
      <c r="I483">
        <v>-1.5548560385892897E-2</v>
      </c>
      <c r="J483">
        <v>-1.5561719871696409E-2</v>
      </c>
      <c r="K483">
        <v>-1.5574879357499922E-2</v>
      </c>
      <c r="L483">
        <v>-1.5588038843303434E-2</v>
      </c>
      <c r="M483">
        <v>-1.5601198329106948E-2</v>
      </c>
      <c r="N483">
        <v>-1.5614357814910461E-2</v>
      </c>
    </row>
    <row r="484" spans="1:14" x14ac:dyDescent="0.35">
      <c r="A484">
        <v>230</v>
      </c>
      <c r="B484" t="s">
        <v>29</v>
      </c>
      <c r="C484" s="23">
        <v>43069</v>
      </c>
      <c r="D484">
        <v>-3.7825717909101999E-3</v>
      </c>
      <c r="E484">
        <v>-0.77705639999999998</v>
      </c>
      <c r="F484">
        <v>2.939271603484458E-3</v>
      </c>
      <c r="G484">
        <f t="shared" si="3"/>
        <v>0.10986375619711945</v>
      </c>
      <c r="H484">
        <v>3.7735127332862999E-3</v>
      </c>
      <c r="I484">
        <v>2.9306348165179011E-3</v>
      </c>
      <c r="J484">
        <v>2.9219980295513443E-3</v>
      </c>
      <c r="K484">
        <v>2.9133612425847875E-3</v>
      </c>
      <c r="L484">
        <v>2.9047244556182307E-3</v>
      </c>
      <c r="M484">
        <v>2.8960876686516734E-3</v>
      </c>
      <c r="N484">
        <v>2.8874508816851166E-3</v>
      </c>
    </row>
    <row r="485" spans="1:14" x14ac:dyDescent="0.35">
      <c r="A485">
        <v>231</v>
      </c>
      <c r="B485" t="s">
        <v>29</v>
      </c>
      <c r="C485" s="23">
        <v>43070</v>
      </c>
      <c r="D485">
        <v>-5.4890669000612E-3</v>
      </c>
      <c r="E485">
        <v>-0.69075660000000005</v>
      </c>
      <c r="F485">
        <v>3.7916092932226029E-3</v>
      </c>
      <c r="G485">
        <f t="shared" si="3"/>
        <v>0.11365536549034205</v>
      </c>
      <c r="H485">
        <v>3.7436812008461999E-3</v>
      </c>
      <c r="I485">
        <v>3.7814934463956218E-3</v>
      </c>
      <c r="J485">
        <v>3.7713775995686402E-3</v>
      </c>
      <c r="K485">
        <v>3.7612617527416591E-3</v>
      </c>
      <c r="L485">
        <v>3.7511459059146775E-3</v>
      </c>
      <c r="M485">
        <v>3.7410300590876963E-3</v>
      </c>
      <c r="N485">
        <v>3.7309142122607148E-3</v>
      </c>
    </row>
    <row r="486" spans="1:14" x14ac:dyDescent="0.35">
      <c r="A486">
        <v>232</v>
      </c>
      <c r="B486" t="s">
        <v>29</v>
      </c>
      <c r="C486" s="23">
        <v>43073</v>
      </c>
      <c r="D486">
        <v>-9.6029372980347E-3</v>
      </c>
      <c r="E486">
        <v>-0.67829200000000001</v>
      </c>
      <c r="F486">
        <v>6.5135953196273728E-3</v>
      </c>
      <c r="G486">
        <f t="shared" si="3"/>
        <v>0.12016896080996943</v>
      </c>
      <c r="H486">
        <v>3.7296746496081998E-3</v>
      </c>
      <c r="I486">
        <v>6.5123437431850962E-3</v>
      </c>
      <c r="J486">
        <v>6.5110921667428188E-3</v>
      </c>
      <c r="K486">
        <v>6.5098405903005422E-3</v>
      </c>
      <c r="L486">
        <v>6.5085890138582656E-3</v>
      </c>
      <c r="M486">
        <v>6.5073374374159882E-3</v>
      </c>
      <c r="N486">
        <v>6.5060858609737116E-3</v>
      </c>
    </row>
    <row r="487" spans="1:14" x14ac:dyDescent="0.35">
      <c r="A487">
        <v>233</v>
      </c>
      <c r="B487" t="s">
        <v>29</v>
      </c>
      <c r="C487" s="23">
        <v>43074</v>
      </c>
      <c r="D487">
        <v>9.5390671907490002E-4</v>
      </c>
      <c r="E487">
        <v>-0.49063372999999999</v>
      </c>
      <c r="F487">
        <v>-4.680188079506176E-4</v>
      </c>
      <c r="G487">
        <f t="shared" si="3"/>
        <v>0.11970094200201881</v>
      </c>
      <c r="H487">
        <v>3.7689329185919E-3</v>
      </c>
      <c r="I487">
        <v>-4.9243775315385555E-4</v>
      </c>
      <c r="J487">
        <v>-5.1685669835709351E-4</v>
      </c>
      <c r="K487">
        <v>-5.4127564356033146E-4</v>
      </c>
      <c r="L487">
        <v>-5.6569458876356941E-4</v>
      </c>
      <c r="M487">
        <v>-5.9011353396680737E-4</v>
      </c>
      <c r="N487">
        <v>-6.1453247917004543E-4</v>
      </c>
    </row>
    <row r="488" spans="1:14" x14ac:dyDescent="0.35">
      <c r="A488">
        <v>234</v>
      </c>
      <c r="B488" t="s">
        <v>29</v>
      </c>
      <c r="C488" s="23">
        <v>43075</v>
      </c>
      <c r="D488">
        <v>9.9352467553310998E-3</v>
      </c>
      <c r="E488">
        <v>-0.75195400000000001</v>
      </c>
      <c r="F488">
        <v>-7.4708487281201349E-3</v>
      </c>
      <c r="G488">
        <f t="shared" si="3"/>
        <v>0.11223009327389867</v>
      </c>
      <c r="H488">
        <v>3.7076976662131001E-3</v>
      </c>
      <c r="I488">
        <v>-7.505163400692739E-3</v>
      </c>
      <c r="J488">
        <v>-7.5394780732653439E-3</v>
      </c>
      <c r="K488">
        <v>-7.573792745837948E-3</v>
      </c>
      <c r="L488">
        <v>-7.6081074184105521E-3</v>
      </c>
      <c r="M488">
        <v>-7.6424220909831571E-3</v>
      </c>
      <c r="N488">
        <v>-7.6767367635557611E-3</v>
      </c>
    </row>
    <row r="489" spans="1:14" x14ac:dyDescent="0.35">
      <c r="A489">
        <v>235</v>
      </c>
      <c r="B489" t="s">
        <v>29</v>
      </c>
      <c r="C489" s="23">
        <v>43076</v>
      </c>
      <c r="D489">
        <v>1.1165815695228801E-2</v>
      </c>
      <c r="E489">
        <v>-0.76955450000000003</v>
      </c>
      <c r="F489">
        <v>-8.5927036676655133E-3</v>
      </c>
      <c r="G489">
        <f t="shared" si="3"/>
        <v>0.10363738960623316</v>
      </c>
      <c r="H489">
        <v>3.6870303084243E-3</v>
      </c>
      <c r="I489">
        <v>-8.5954960893031302E-3</v>
      </c>
      <c r="J489">
        <v>-8.5982885109407454E-3</v>
      </c>
      <c r="K489">
        <v>-8.6010809325783623E-3</v>
      </c>
      <c r="L489">
        <v>-8.6038733542159775E-3</v>
      </c>
      <c r="M489">
        <v>-8.6066657758535944E-3</v>
      </c>
      <c r="N489">
        <v>-8.6094581974912095E-3</v>
      </c>
    </row>
    <row r="490" spans="1:14" x14ac:dyDescent="0.35">
      <c r="A490">
        <v>236</v>
      </c>
      <c r="B490" t="s">
        <v>29</v>
      </c>
      <c r="C490" s="23">
        <v>43077</v>
      </c>
      <c r="D490">
        <v>1.0178140314975199E-2</v>
      </c>
      <c r="E490">
        <v>-0.77256924000000005</v>
      </c>
      <c r="F490">
        <v>-7.8633181189960398E-3</v>
      </c>
      <c r="G490">
        <f t="shared" si="3"/>
        <v>9.5774071487237114E-2</v>
      </c>
      <c r="H490">
        <v>3.6770719364341998E-3</v>
      </c>
      <c r="I490">
        <v>-7.8639725359603563E-3</v>
      </c>
      <c r="J490">
        <v>-7.864626952924671E-3</v>
      </c>
      <c r="K490">
        <v>-7.8652813698889875E-3</v>
      </c>
      <c r="L490">
        <v>-7.865935786853304E-3</v>
      </c>
      <c r="M490">
        <v>-7.8665902038176187E-3</v>
      </c>
      <c r="N490">
        <v>-7.8672446207819352E-3</v>
      </c>
    </row>
    <row r="491" spans="1:14" x14ac:dyDescent="0.35">
      <c r="A491">
        <v>237</v>
      </c>
      <c r="B491" t="s">
        <v>29</v>
      </c>
      <c r="C491" s="23">
        <v>43080</v>
      </c>
      <c r="D491">
        <v>3.4012670823241001E-3</v>
      </c>
      <c r="E491">
        <v>-0.77324539999999997</v>
      </c>
      <c r="F491">
        <v>-2.6300141059528428E-3</v>
      </c>
      <c r="G491">
        <f t="shared" si="3"/>
        <v>9.314405738128427E-2</v>
      </c>
      <c r="H491">
        <v>3.6533545917189002E-3</v>
      </c>
      <c r="I491">
        <v>-2.6307459705826896E-3</v>
      </c>
      <c r="J491">
        <v>-2.631477835212536E-3</v>
      </c>
      <c r="K491">
        <v>-2.6322096998423828E-3</v>
      </c>
      <c r="L491">
        <v>-2.6329415644722291E-3</v>
      </c>
      <c r="M491">
        <v>-2.6336734291020759E-3</v>
      </c>
      <c r="N491">
        <v>-2.6344052937319227E-3</v>
      </c>
    </row>
    <row r="492" spans="1:14" x14ac:dyDescent="0.35">
      <c r="A492">
        <v>238</v>
      </c>
      <c r="B492" t="s">
        <v>29</v>
      </c>
      <c r="C492" s="23">
        <v>43081</v>
      </c>
      <c r="D492">
        <v>1.4801983261793E-3</v>
      </c>
      <c r="E492">
        <v>-0.76912650000000005</v>
      </c>
      <c r="F492">
        <v>-1.1384597207040059E-3</v>
      </c>
      <c r="G492">
        <f t="shared" si="3"/>
        <v>9.2005597660580266E-2</v>
      </c>
      <c r="H492">
        <v>3.593065428141E-3</v>
      </c>
      <c r="I492">
        <v>-1.1395959978900872E-3</v>
      </c>
      <c r="J492">
        <v>-1.1407322750761686E-3</v>
      </c>
      <c r="K492">
        <v>-1.1418685522622499E-3</v>
      </c>
      <c r="L492">
        <v>-1.1430048294483312E-3</v>
      </c>
      <c r="M492">
        <v>-1.1441411066344124E-3</v>
      </c>
      <c r="N492">
        <v>-1.1452773838204939E-3</v>
      </c>
    </row>
    <row r="493" spans="1:14" x14ac:dyDescent="0.35">
      <c r="A493">
        <v>239</v>
      </c>
      <c r="B493" t="s">
        <v>29</v>
      </c>
      <c r="C493" s="23">
        <v>43082</v>
      </c>
      <c r="D493">
        <v>-1.32810519336503E-2</v>
      </c>
      <c r="E493">
        <v>-0.76695853000000003</v>
      </c>
      <c r="F493">
        <v>1.0186016130540248E-2</v>
      </c>
      <c r="G493">
        <f t="shared" si="3"/>
        <v>0.10219161379112052</v>
      </c>
      <c r="H493">
        <v>3.5353531626669001E-3</v>
      </c>
      <c r="I493">
        <v>1.0184654921342276E-2</v>
      </c>
      <c r="J493">
        <v>1.0183293712144305E-2</v>
      </c>
      <c r="K493">
        <v>1.0181932502946332E-2</v>
      </c>
      <c r="L493">
        <v>1.018057129374836E-2</v>
      </c>
      <c r="M493">
        <v>1.0179210084550389E-2</v>
      </c>
      <c r="N493">
        <v>1.0177848875352417E-2</v>
      </c>
    </row>
    <row r="494" spans="1:14" x14ac:dyDescent="0.35">
      <c r="A494">
        <v>240</v>
      </c>
      <c r="B494" t="s">
        <v>29</v>
      </c>
      <c r="C494" s="23">
        <v>43083</v>
      </c>
      <c r="D494">
        <v>1.54019836998167E-2</v>
      </c>
      <c r="E494">
        <v>-0.57558129999999996</v>
      </c>
      <c r="F494">
        <v>-8.8650939881087746E-3</v>
      </c>
      <c r="G494">
        <f t="shared" si="3"/>
        <v>9.3326519803011737E-2</v>
      </c>
      <c r="H494">
        <v>3.6464297377746002E-3</v>
      </c>
      <c r="I494">
        <v>-8.8930122429930931E-3</v>
      </c>
      <c r="J494">
        <v>-8.92093049787741E-3</v>
      </c>
      <c r="K494">
        <v>-8.9488487527617285E-3</v>
      </c>
      <c r="L494">
        <v>-8.9767670076460471E-3</v>
      </c>
      <c r="M494">
        <v>-9.0046852625303639E-3</v>
      </c>
      <c r="N494">
        <v>-9.0326035174146824E-3</v>
      </c>
    </row>
    <row r="495" spans="1:14" x14ac:dyDescent="0.35">
      <c r="A495">
        <v>241</v>
      </c>
      <c r="B495" t="s">
        <v>29</v>
      </c>
      <c r="C495" s="23">
        <v>43084</v>
      </c>
      <c r="D495">
        <v>2.4402573390029599E-2</v>
      </c>
      <c r="E495">
        <v>-0.77489750000000002</v>
      </c>
      <c r="F495">
        <v>-1.890949349842112E-2</v>
      </c>
      <c r="G495">
        <f t="shared" si="3"/>
        <v>7.4417026304590614E-2</v>
      </c>
      <c r="H495">
        <v>3.6966042340809998E-3</v>
      </c>
      <c r="I495">
        <v>-1.8933955470698486E-2</v>
      </c>
      <c r="J495">
        <v>-1.8958417442975852E-2</v>
      </c>
      <c r="K495">
        <v>-1.8982879415253215E-2</v>
      </c>
      <c r="L495">
        <v>-1.9007341387530581E-2</v>
      </c>
      <c r="M495">
        <v>-1.9031803359807947E-2</v>
      </c>
      <c r="N495">
        <v>-1.9056265332085313E-2</v>
      </c>
    </row>
    <row r="496" spans="1:14" x14ac:dyDescent="0.35">
      <c r="A496">
        <v>242</v>
      </c>
      <c r="B496" t="s">
        <v>29</v>
      </c>
      <c r="C496" s="23">
        <v>43087</v>
      </c>
      <c r="D496">
        <v>-9.3495122040603007E-3</v>
      </c>
      <c r="E496">
        <v>-0.77499169999999995</v>
      </c>
      <c r="F496">
        <v>7.2457942741018209E-3</v>
      </c>
      <c r="G496">
        <f t="shared" si="3"/>
        <v>8.1662820578692438E-2</v>
      </c>
      <c r="H496">
        <v>3.9383394609551004E-3</v>
      </c>
      <c r="I496">
        <v>7.2397266141065704E-3</v>
      </c>
      <c r="J496">
        <v>7.233658954111319E-3</v>
      </c>
      <c r="K496">
        <v>7.2275912941160685E-3</v>
      </c>
      <c r="L496">
        <v>7.221523634120818E-3</v>
      </c>
      <c r="M496">
        <v>7.2154559741255675E-3</v>
      </c>
      <c r="N496">
        <v>7.2093883141303161E-3</v>
      </c>
    </row>
    <row r="497" spans="1:14" x14ac:dyDescent="0.35">
      <c r="A497">
        <v>243</v>
      </c>
      <c r="B497" t="s">
        <v>29</v>
      </c>
      <c r="C497" s="23">
        <v>43088</v>
      </c>
      <c r="D497">
        <v>-2.2070165812900001E-3</v>
      </c>
      <c r="E497">
        <v>-0.73179150000000004</v>
      </c>
      <c r="F497">
        <v>1.6150759663300393E-3</v>
      </c>
      <c r="G497">
        <f t="shared" si="3"/>
        <v>8.3277896545022476E-2</v>
      </c>
      <c r="H497">
        <v>3.9878874231977996E-3</v>
      </c>
      <c r="I497">
        <v>1.6088028017029301E-3</v>
      </c>
      <c r="J497">
        <v>1.602529637075821E-3</v>
      </c>
      <c r="K497">
        <v>1.5962564724487118E-3</v>
      </c>
      <c r="L497">
        <v>1.5899833078216025E-3</v>
      </c>
      <c r="M497">
        <v>1.5837101431944935E-3</v>
      </c>
      <c r="N497">
        <v>1.5774369785673842E-3</v>
      </c>
    </row>
    <row r="498" spans="1:14" x14ac:dyDescent="0.35">
      <c r="A498">
        <v>244</v>
      </c>
      <c r="B498" t="s">
        <v>29</v>
      </c>
      <c r="C498" s="23">
        <v>43089</v>
      </c>
      <c r="D498">
        <v>5.5885507060196996E-3</v>
      </c>
      <c r="E498">
        <v>-0.76373946999999998</v>
      </c>
      <c r="F498">
        <v>-4.2681967356579514E-3</v>
      </c>
      <c r="G498">
        <f t="shared" si="3"/>
        <v>7.9009699809364523E-2</v>
      </c>
      <c r="H498">
        <v>3.9408872431153999E-3</v>
      </c>
      <c r="I498">
        <v>-4.2730608165546281E-3</v>
      </c>
      <c r="J498">
        <v>-4.2779248974513049E-3</v>
      </c>
      <c r="K498">
        <v>-4.2827889783479825E-3</v>
      </c>
      <c r="L498">
        <v>-4.2876530592446593E-3</v>
      </c>
      <c r="M498">
        <v>-4.2925171401413361E-3</v>
      </c>
      <c r="N498">
        <v>-4.2973812210380128E-3</v>
      </c>
    </row>
    <row r="499" spans="1:14" x14ac:dyDescent="0.35">
      <c r="A499">
        <v>245</v>
      </c>
      <c r="B499" t="s">
        <v>29</v>
      </c>
      <c r="C499" s="23">
        <v>43090</v>
      </c>
      <c r="D499">
        <v>-1.5850083333889E-3</v>
      </c>
      <c r="E499">
        <v>-0.7716208</v>
      </c>
      <c r="F499">
        <v>1.2230254141168404E-3</v>
      </c>
      <c r="G499">
        <f t="shared" si="3"/>
        <v>8.0232725223481363E-2</v>
      </c>
      <c r="H499">
        <v>3.8815806741479999E-3</v>
      </c>
      <c r="I499">
        <v>1.2206671569455218E-3</v>
      </c>
      <c r="J499">
        <v>1.2183088997742033E-3</v>
      </c>
      <c r="K499">
        <v>1.2159506426028847E-3</v>
      </c>
      <c r="L499">
        <v>1.2135923854315663E-3</v>
      </c>
      <c r="M499">
        <v>1.2112341282602477E-3</v>
      </c>
      <c r="N499">
        <v>1.2088758710889292E-3</v>
      </c>
    </row>
    <row r="500" spans="1:14" x14ac:dyDescent="0.35">
      <c r="A500">
        <v>246</v>
      </c>
      <c r="B500" t="s">
        <v>29</v>
      </c>
      <c r="C500" s="23">
        <v>43091</v>
      </c>
      <c r="D500">
        <v>9.1812467347110005E-4</v>
      </c>
      <c r="E500">
        <v>-0.76003516000000004</v>
      </c>
      <c r="F500">
        <v>-6.9780703053417973E-4</v>
      </c>
      <c r="G500">
        <f t="shared" si="3"/>
        <v>7.9534918192947182E-2</v>
      </c>
      <c r="H500">
        <v>3.8316278535883998E-3</v>
      </c>
      <c r="I500">
        <v>-6.980111622260077E-4</v>
      </c>
      <c r="J500">
        <v>-6.9821529391783557E-4</v>
      </c>
      <c r="K500">
        <v>-6.9841942560966354E-4</v>
      </c>
      <c r="L500">
        <v>-6.9862355730149152E-4</v>
      </c>
      <c r="M500">
        <v>-6.9882768899331949E-4</v>
      </c>
      <c r="N500">
        <v>-6.9903182068514736E-4</v>
      </c>
    </row>
    <row r="501" spans="1:14" x14ac:dyDescent="0.35">
      <c r="A501">
        <v>247</v>
      </c>
      <c r="B501" t="s">
        <v>29</v>
      </c>
      <c r="C501" s="23">
        <v>43095</v>
      </c>
      <c r="D501">
        <v>-1.3989148216979001E-3</v>
      </c>
      <c r="E501">
        <v>-0.76607966000000005</v>
      </c>
      <c r="F501">
        <v>1.0716801968931825E-3</v>
      </c>
      <c r="G501">
        <f t="shared" si="3"/>
        <v>8.060659838984037E-2</v>
      </c>
      <c r="H501">
        <v>3.7707115364836001E-3</v>
      </c>
      <c r="I501">
        <v>1.0694088581057611E-3</v>
      </c>
      <c r="J501">
        <v>1.0671375193183395E-3</v>
      </c>
      <c r="K501">
        <v>1.0648661805309182E-3</v>
      </c>
      <c r="L501">
        <v>1.0625948417434968E-3</v>
      </c>
      <c r="M501">
        <v>1.0603235029560754E-3</v>
      </c>
      <c r="N501">
        <v>1.0580521641686538E-3</v>
      </c>
    </row>
    <row r="502" spans="1:14" x14ac:dyDescent="0.35">
      <c r="A502">
        <v>248</v>
      </c>
      <c r="B502" t="s">
        <v>29</v>
      </c>
      <c r="C502" s="23">
        <v>43096</v>
      </c>
      <c r="D502">
        <v>2.3644267394630001E-4</v>
      </c>
      <c r="E502">
        <v>-0.75794479999999997</v>
      </c>
      <c r="F502">
        <v>-1.7921050049106096E-4</v>
      </c>
      <c r="G502">
        <f t="shared" si="3"/>
        <v>8.0427387889349305E-2</v>
      </c>
      <c r="H502">
        <v>3.7203172717445998E-3</v>
      </c>
      <c r="I502">
        <v>-1.7947763735322195E-4</v>
      </c>
      <c r="J502">
        <v>-1.797447742153829E-4</v>
      </c>
      <c r="K502">
        <v>-1.8001191107754389E-4</v>
      </c>
      <c r="L502">
        <v>-1.8027904793970487E-4</v>
      </c>
      <c r="M502">
        <v>-1.8054618480186586E-4</v>
      </c>
      <c r="N502">
        <v>-1.8081332166402681E-4</v>
      </c>
    </row>
    <row r="503" spans="1:14" x14ac:dyDescent="0.35">
      <c r="A503">
        <v>249</v>
      </c>
      <c r="B503" t="s">
        <v>29</v>
      </c>
      <c r="C503" s="23">
        <v>43097</v>
      </c>
      <c r="D503">
        <v>-9.3651542121264992E-3</v>
      </c>
      <c r="E503">
        <v>-0.75269600000000003</v>
      </c>
      <c r="F503">
        <v>7.0491139058939077E-3</v>
      </c>
      <c r="G503">
        <f t="shared" si="3"/>
        <v>8.7476501795243217E-2</v>
      </c>
      <c r="H503">
        <v>3.6628158669751998E-3</v>
      </c>
      <c r="I503">
        <v>7.0482798763410303E-3</v>
      </c>
      <c r="J503">
        <v>7.0474458467881529E-3</v>
      </c>
      <c r="K503">
        <v>7.0466118172352755E-3</v>
      </c>
      <c r="L503">
        <v>7.0457777876823981E-3</v>
      </c>
      <c r="M503">
        <v>7.0449437581295207E-3</v>
      </c>
      <c r="N503">
        <v>7.0441097285766432E-3</v>
      </c>
    </row>
    <row r="504" spans="1:14" x14ac:dyDescent="0.35">
      <c r="A504">
        <v>250</v>
      </c>
      <c r="B504" t="s">
        <v>29</v>
      </c>
      <c r="C504" s="23">
        <v>43098</v>
      </c>
      <c r="D504">
        <v>1.62344387587804E-2</v>
      </c>
      <c r="E504">
        <v>-0.57969420000000005</v>
      </c>
      <c r="F504">
        <v>-9.4110101751402851E-3</v>
      </c>
      <c r="G504">
        <f t="shared" si="3"/>
        <v>7.8065491620102928E-2</v>
      </c>
      <c r="H504">
        <v>3.6975709978674999E-3</v>
      </c>
      <c r="I504">
        <v>-9.434027979801746E-3</v>
      </c>
      <c r="J504">
        <v>-9.4570457844632069E-3</v>
      </c>
      <c r="K504">
        <v>-9.4800635891246661E-3</v>
      </c>
      <c r="L504">
        <v>-9.503081393786127E-3</v>
      </c>
      <c r="M504">
        <v>-9.5260991984475879E-3</v>
      </c>
      <c r="N504">
        <v>-9.5491170031090488E-3</v>
      </c>
    </row>
    <row r="505" spans="1:14" x14ac:dyDescent="0.35">
      <c r="A505" s="24">
        <v>0</v>
      </c>
      <c r="B505" s="25" t="s">
        <v>29</v>
      </c>
      <c r="C505" s="30">
        <v>43102</v>
      </c>
      <c r="D505" s="25">
        <v>1.67626890131529E-2</v>
      </c>
      <c r="E505" s="25">
        <v>0.34592053</v>
      </c>
      <c r="F505" s="25">
        <v>5.7985583169678119E-3</v>
      </c>
      <c r="G505" s="25">
        <f>G504+F505</f>
        <v>8.3864049937070737E-2</v>
      </c>
      <c r="H505" s="25">
        <v>3.7677619196460998E-3</v>
      </c>
      <c r="I505" s="25">
        <v>5.7985583169678119E-3</v>
      </c>
      <c r="J505" s="25">
        <v>5.7985583169678119E-3</v>
      </c>
      <c r="K505" s="25">
        <v>5.7985583169678119E-3</v>
      </c>
      <c r="L505" s="25">
        <v>5.7985583169678119E-3</v>
      </c>
      <c r="M505" s="25">
        <v>5.7985583169678119E-3</v>
      </c>
      <c r="N505" s="26">
        <v>5.7985583169678119E-3</v>
      </c>
    </row>
    <row r="506" spans="1:14" x14ac:dyDescent="0.35">
      <c r="A506" s="27">
        <v>1</v>
      </c>
      <c r="B506" s="28" t="s">
        <v>29</v>
      </c>
      <c r="C506" s="31">
        <v>43103</v>
      </c>
      <c r="D506" s="28">
        <v>1.15683291691673E-2</v>
      </c>
      <c r="E506" s="28">
        <v>0.36494112000000001</v>
      </c>
      <c r="F506" s="28">
        <v>4.2217590052332854E-3</v>
      </c>
      <c r="G506" s="25">
        <f t="shared" ref="G506:G569" si="4">G505+F506</f>
        <v>8.8085808942304028E-2</v>
      </c>
      <c r="H506" s="28">
        <v>3.8415015978413999E-3</v>
      </c>
      <c r="I506" s="28">
        <v>4.2202523501045433E-3</v>
      </c>
      <c r="J506" s="28">
        <v>4.218745694975802E-3</v>
      </c>
      <c r="K506" s="28">
        <v>4.2172390398470599E-3</v>
      </c>
      <c r="L506" s="28">
        <v>4.2157323847183186E-3</v>
      </c>
      <c r="M506" s="28">
        <v>4.2142257295895765E-3</v>
      </c>
      <c r="N506" s="29">
        <v>4.2127190744608353E-3</v>
      </c>
    </row>
    <row r="507" spans="1:14" x14ac:dyDescent="0.35">
      <c r="A507" s="24">
        <v>2</v>
      </c>
      <c r="B507" s="25" t="s">
        <v>29</v>
      </c>
      <c r="C507" s="30">
        <v>43104</v>
      </c>
      <c r="D507" s="25">
        <v>1.6986904462926999E-2</v>
      </c>
      <c r="E507" s="25">
        <v>0.43399664999999998</v>
      </c>
      <c r="F507" s="25">
        <v>7.3722595899499508E-3</v>
      </c>
      <c r="G507" s="25">
        <f t="shared" si="4"/>
        <v>9.5458068532253984E-2</v>
      </c>
      <c r="H507" s="25">
        <v>3.8292240087665999E-3</v>
      </c>
      <c r="I507" s="25">
        <v>7.3635955033063763E-3</v>
      </c>
      <c r="J507" s="25">
        <v>7.3549314166628018E-3</v>
      </c>
      <c r="K507" s="25">
        <v>7.3462673300192273E-3</v>
      </c>
      <c r="L507" s="25">
        <v>7.3376032433756528E-3</v>
      </c>
      <c r="M507" s="25">
        <v>7.3289391567320783E-3</v>
      </c>
      <c r="N507" s="26">
        <v>7.3202750700885038E-3</v>
      </c>
    </row>
    <row r="508" spans="1:14" x14ac:dyDescent="0.35">
      <c r="A508" s="27">
        <v>3</v>
      </c>
      <c r="B508" s="28" t="s">
        <v>29</v>
      </c>
      <c r="C508" s="31">
        <v>43105</v>
      </c>
      <c r="D508" s="28">
        <v>3.7592155228914998E-3</v>
      </c>
      <c r="E508" s="28">
        <v>0.43135536000000002</v>
      </c>
      <c r="F508" s="28">
        <v>1.6215577545562658E-3</v>
      </c>
      <c r="G508" s="25">
        <f t="shared" si="4"/>
        <v>9.7079626286810244E-2</v>
      </c>
      <c r="H508" s="28">
        <v>3.8952564656888002E-3</v>
      </c>
      <c r="I508" s="28">
        <v>1.620329660919952E-3</v>
      </c>
      <c r="J508" s="28">
        <v>1.6191015672836384E-3</v>
      </c>
      <c r="K508" s="28">
        <v>1.6178734736473246E-3</v>
      </c>
      <c r="L508" s="28">
        <v>1.616645380011011E-3</v>
      </c>
      <c r="M508" s="28">
        <v>1.6154172863746972E-3</v>
      </c>
      <c r="N508" s="29">
        <v>1.6141891927383837E-3</v>
      </c>
    </row>
    <row r="509" spans="1:14" x14ac:dyDescent="0.35">
      <c r="A509" s="24">
        <v>4</v>
      </c>
      <c r="B509" s="25" t="s">
        <v>29</v>
      </c>
      <c r="C509" s="30">
        <v>43108</v>
      </c>
      <c r="D509" s="25">
        <v>4.9389775607756002E-3</v>
      </c>
      <c r="E509" s="25">
        <v>0.55127155999999999</v>
      </c>
      <c r="F509" s="25">
        <v>2.7227178539071376E-3</v>
      </c>
      <c r="G509" s="25">
        <f t="shared" si="4"/>
        <v>9.9802344140717383E-2</v>
      </c>
      <c r="H509" s="25">
        <v>3.8308706828939E-3</v>
      </c>
      <c r="I509" s="25">
        <v>2.7070494354573039E-3</v>
      </c>
      <c r="J509" s="25">
        <v>2.6913810170074697E-3</v>
      </c>
      <c r="K509" s="25">
        <v>2.675712598557636E-3</v>
      </c>
      <c r="L509" s="25">
        <v>2.6600441801078022E-3</v>
      </c>
      <c r="M509" s="25">
        <v>2.6443757616579681E-3</v>
      </c>
      <c r="N509" s="26">
        <v>2.6287073432081343E-3</v>
      </c>
    </row>
    <row r="510" spans="1:14" x14ac:dyDescent="0.35">
      <c r="A510" s="27">
        <v>5</v>
      </c>
      <c r="B510" s="28" t="s">
        <v>29</v>
      </c>
      <c r="C510" s="31">
        <v>43109</v>
      </c>
      <c r="D510" s="28">
        <v>-1.5942981023508E-3</v>
      </c>
      <c r="E510" s="28">
        <v>0.54089069999999995</v>
      </c>
      <c r="F510" s="28">
        <v>-8.6234100648860119E-4</v>
      </c>
      <c r="G510" s="25">
        <f t="shared" si="4"/>
        <v>9.8940003134228779E-2</v>
      </c>
      <c r="H510" s="28">
        <v>3.7685269706739001E-3</v>
      </c>
      <c r="I510" s="28">
        <v>-8.6251771157207333E-4</v>
      </c>
      <c r="J510" s="28">
        <v>-8.6269441665554546E-4</v>
      </c>
      <c r="K510" s="28">
        <v>-8.628711217390176E-4</v>
      </c>
      <c r="L510" s="28">
        <v>-8.6304782682248974E-4</v>
      </c>
      <c r="M510" s="28">
        <v>-8.6322453190596198E-4</v>
      </c>
      <c r="N510" s="29">
        <v>-8.6340123698943412E-4</v>
      </c>
    </row>
    <row r="511" spans="1:14" x14ac:dyDescent="0.35">
      <c r="A511" s="24">
        <v>6</v>
      </c>
      <c r="B511" s="25" t="s">
        <v>29</v>
      </c>
      <c r="C511" s="30">
        <v>43110</v>
      </c>
      <c r="D511" s="25">
        <v>1.75146491167491E-2</v>
      </c>
      <c r="E511" s="25">
        <v>0.58592032999999999</v>
      </c>
      <c r="F511" s="25">
        <v>1.0262189057966753E-2</v>
      </c>
      <c r="G511" s="25">
        <f t="shared" si="4"/>
        <v>0.10920219219219553</v>
      </c>
      <c r="H511" s="25">
        <v>3.7267606318980998E-3</v>
      </c>
      <c r="I511" s="25">
        <v>1.0255720510444485E-2</v>
      </c>
      <c r="J511" s="25">
        <v>1.0249251962922217E-2</v>
      </c>
      <c r="K511" s="25">
        <v>1.0242783415399947E-2</v>
      </c>
      <c r="L511" s="25">
        <v>1.0236314867877679E-2</v>
      </c>
      <c r="M511" s="25">
        <v>1.0229846320355411E-2</v>
      </c>
      <c r="N511" s="26">
        <v>1.0223377772833143E-2</v>
      </c>
    </row>
    <row r="512" spans="1:14" x14ac:dyDescent="0.35">
      <c r="A512" s="27">
        <v>7</v>
      </c>
      <c r="B512" s="28" t="s">
        <v>29</v>
      </c>
      <c r="C512" s="31">
        <v>43111</v>
      </c>
      <c r="D512" s="28">
        <v>1.7315089692836499E-2</v>
      </c>
      <c r="E512" s="28">
        <v>0.43162035999999998</v>
      </c>
      <c r="F512" s="28">
        <v>7.4735452366250701E-3</v>
      </c>
      <c r="G512" s="25">
        <f t="shared" si="4"/>
        <v>0.11667573742882059</v>
      </c>
      <c r="H512" s="28">
        <v>3.7931114853802998E-3</v>
      </c>
      <c r="I512" s="28">
        <v>7.4530268867635998E-3</v>
      </c>
      <c r="J512" s="28">
        <v>7.4325085369021287E-3</v>
      </c>
      <c r="K512" s="28">
        <v>7.4119901870406584E-3</v>
      </c>
      <c r="L512" s="28">
        <v>7.3914718371791872E-3</v>
      </c>
      <c r="M512" s="28">
        <v>7.370953487317717E-3</v>
      </c>
      <c r="N512" s="29">
        <v>7.3504351374562458E-3</v>
      </c>
    </row>
    <row r="513" spans="1:14" x14ac:dyDescent="0.35">
      <c r="A513" s="24">
        <v>8</v>
      </c>
      <c r="B513" s="25" t="s">
        <v>29</v>
      </c>
      <c r="C513" s="30">
        <v>43112</v>
      </c>
      <c r="D513" s="25">
        <v>-5.5003247777118004E-3</v>
      </c>
      <c r="E513" s="25">
        <v>0.43958458</v>
      </c>
      <c r="F513" s="25">
        <v>-2.4178579740173106E-3</v>
      </c>
      <c r="G513" s="25">
        <f t="shared" si="4"/>
        <v>0.11425787945480329</v>
      </c>
      <c r="H513" s="25">
        <v>3.8501095649994001E-3</v>
      </c>
      <c r="I513" s="25">
        <v>-2.4180393891918232E-3</v>
      </c>
      <c r="J513" s="25">
        <v>-2.4182208043663361E-3</v>
      </c>
      <c r="K513" s="25">
        <v>-2.4184022195408487E-3</v>
      </c>
      <c r="L513" s="25">
        <v>-2.4185836347153612E-3</v>
      </c>
      <c r="M513" s="25">
        <v>-2.4187650498898737E-3</v>
      </c>
      <c r="N513" s="26">
        <v>-2.4189464650643867E-3</v>
      </c>
    </row>
    <row r="514" spans="1:14" x14ac:dyDescent="0.35">
      <c r="A514" s="27">
        <v>9</v>
      </c>
      <c r="B514" s="28" t="s">
        <v>29</v>
      </c>
      <c r="C514" s="31">
        <v>43116</v>
      </c>
      <c r="D514" s="28">
        <v>1.8714130392391799E-2</v>
      </c>
      <c r="E514" s="28">
        <v>0.62246710000000005</v>
      </c>
      <c r="F514" s="28">
        <v>1.1648930485981795E-2</v>
      </c>
      <c r="G514" s="25">
        <f t="shared" si="4"/>
        <v>0.12590680994078507</v>
      </c>
      <c r="H514" s="28">
        <v>3.8560716849667998E-3</v>
      </c>
      <c r="I514" s="28">
        <v>1.1626606666697266E-2</v>
      </c>
      <c r="J514" s="28">
        <v>1.1604282847412738E-2</v>
      </c>
      <c r="K514" s="28">
        <v>1.1581959028128211E-2</v>
      </c>
      <c r="L514" s="28">
        <v>1.1559635208843682E-2</v>
      </c>
      <c r="M514" s="28">
        <v>1.1537311389559154E-2</v>
      </c>
      <c r="N514" s="29">
        <v>1.1514987570274625E-2</v>
      </c>
    </row>
    <row r="515" spans="1:14" x14ac:dyDescent="0.35">
      <c r="A515" s="24">
        <v>10</v>
      </c>
      <c r="B515" s="25" t="s">
        <v>29</v>
      </c>
      <c r="C515" s="30">
        <v>43117</v>
      </c>
      <c r="D515" s="25">
        <v>-6.4153283656084E-3</v>
      </c>
      <c r="E515" s="25">
        <v>0.46403440000000001</v>
      </c>
      <c r="F515" s="25">
        <v>-2.9769331023836451E-3</v>
      </c>
      <c r="G515" s="25">
        <f t="shared" si="4"/>
        <v>0.12292987683840143</v>
      </c>
      <c r="H515" s="25">
        <v>3.9399805238664E-3</v>
      </c>
      <c r="I515" s="25">
        <v>-2.9975554918853908E-3</v>
      </c>
      <c r="J515" s="25">
        <v>-3.0181778813871364E-3</v>
      </c>
      <c r="K515" s="25">
        <v>-3.038800270888882E-3</v>
      </c>
      <c r="L515" s="25">
        <v>-3.0594226603906276E-3</v>
      </c>
      <c r="M515" s="25">
        <v>-3.0800450498923732E-3</v>
      </c>
      <c r="N515" s="26">
        <v>-3.1006674393941188E-3</v>
      </c>
    </row>
    <row r="516" spans="1:14" x14ac:dyDescent="0.35">
      <c r="A516" s="27">
        <v>11</v>
      </c>
      <c r="B516" s="28" t="s">
        <v>29</v>
      </c>
      <c r="C516" s="31">
        <v>43118</v>
      </c>
      <c r="D516" s="28">
        <v>1.25856426772093E-2</v>
      </c>
      <c r="E516" s="28">
        <v>0.63821459999999997</v>
      </c>
      <c r="F516" s="28">
        <v>8.0323407580305452E-3</v>
      </c>
      <c r="G516" s="25">
        <f t="shared" si="4"/>
        <v>0.13096221759643198</v>
      </c>
      <c r="H516" s="28">
        <v>3.9603321780687E-3</v>
      </c>
      <c r="I516" s="28">
        <v>8.0118475399763023E-3</v>
      </c>
      <c r="J516" s="28">
        <v>7.9913543219220593E-3</v>
      </c>
      <c r="K516" s="28">
        <v>7.9708611038678163E-3</v>
      </c>
      <c r="L516" s="28">
        <v>7.9503678858135751E-3</v>
      </c>
      <c r="M516" s="28">
        <v>7.9298746677593322E-3</v>
      </c>
      <c r="N516" s="29">
        <v>7.9093814497050892E-3</v>
      </c>
    </row>
    <row r="517" spans="1:14" x14ac:dyDescent="0.35">
      <c r="A517" s="24">
        <v>12</v>
      </c>
      <c r="B517" s="25" t="s">
        <v>29</v>
      </c>
      <c r="C517" s="30">
        <v>43119</v>
      </c>
      <c r="D517" s="25">
        <v>2.06553770375951E-2</v>
      </c>
      <c r="E517" s="25">
        <v>0.47330739999999999</v>
      </c>
      <c r="F517" s="25">
        <v>9.7763428211380798E-3</v>
      </c>
      <c r="G517" s="25">
        <f t="shared" si="4"/>
        <v>0.14073856041757005</v>
      </c>
      <c r="H517" s="25">
        <v>3.9464695761220999E-3</v>
      </c>
      <c r="I517" s="25">
        <v>9.7568682353880408E-3</v>
      </c>
      <c r="J517" s="25">
        <v>9.7373936496380018E-3</v>
      </c>
      <c r="K517" s="25">
        <v>9.7179190638879628E-3</v>
      </c>
      <c r="L517" s="25">
        <v>9.6984444781379239E-3</v>
      </c>
      <c r="M517" s="25">
        <v>9.6789698923878849E-3</v>
      </c>
      <c r="N517" s="26">
        <v>9.6594953066378459E-3</v>
      </c>
    </row>
    <row r="518" spans="1:14" x14ac:dyDescent="0.35">
      <c r="A518" s="27">
        <v>13</v>
      </c>
      <c r="B518" s="28" t="s">
        <v>29</v>
      </c>
      <c r="C518" s="31">
        <v>43122</v>
      </c>
      <c r="D518" s="28">
        <v>3.4821568364516E-3</v>
      </c>
      <c r="E518" s="28">
        <v>0.43927047000000002</v>
      </c>
      <c r="F518" s="28">
        <v>1.5296086582043797E-3</v>
      </c>
      <c r="G518" s="25">
        <f t="shared" si="4"/>
        <v>0.14226816907577441</v>
      </c>
      <c r="H518" s="28">
        <v>4.0676186672248997E-3</v>
      </c>
      <c r="I518" s="28">
        <v>1.5239676310358028E-3</v>
      </c>
      <c r="J518" s="28">
        <v>1.5183266038672259E-3</v>
      </c>
      <c r="K518" s="28">
        <v>1.5126855766986491E-3</v>
      </c>
      <c r="L518" s="28">
        <v>1.5070445495300724E-3</v>
      </c>
      <c r="M518" s="28">
        <v>1.5014035223614955E-3</v>
      </c>
      <c r="N518" s="29">
        <v>1.4957624951929187E-3</v>
      </c>
    </row>
    <row r="519" spans="1:14" x14ac:dyDescent="0.35">
      <c r="A519" s="24">
        <v>14</v>
      </c>
      <c r="B519" s="25" t="s">
        <v>29</v>
      </c>
      <c r="C519" s="30">
        <v>43123</v>
      </c>
      <c r="D519" s="25">
        <v>1.2473716074435E-3</v>
      </c>
      <c r="E519" s="25">
        <v>0.57936542999999996</v>
      </c>
      <c r="F519" s="25">
        <v>7.2268399053837388E-4</v>
      </c>
      <c r="G519" s="25">
        <f t="shared" si="4"/>
        <v>0.14299085306631279</v>
      </c>
      <c r="H519" s="25">
        <v>4.0016999352465001E-3</v>
      </c>
      <c r="I519" s="25">
        <v>7.0530339841787368E-4</v>
      </c>
      <c r="J519" s="25">
        <v>6.8792280629737348E-4</v>
      </c>
      <c r="K519" s="25">
        <v>6.7054221417687328E-4</v>
      </c>
      <c r="L519" s="25">
        <v>6.5316162205637318E-4</v>
      </c>
      <c r="M519" s="25">
        <v>6.3578102993587298E-4</v>
      </c>
      <c r="N519" s="26">
        <v>6.1840043781537278E-4</v>
      </c>
    </row>
    <row r="520" spans="1:14" x14ac:dyDescent="0.35">
      <c r="A520" s="27">
        <v>15</v>
      </c>
      <c r="B520" s="28" t="s">
        <v>29</v>
      </c>
      <c r="C520" s="31">
        <v>43124</v>
      </c>
      <c r="D520" s="28">
        <v>2.1076884921040001E-4</v>
      </c>
      <c r="E520" s="28">
        <v>0.5972421</v>
      </c>
      <c r="F520" s="28">
        <v>1.2588003368491893E-4</v>
      </c>
      <c r="G520" s="25">
        <f t="shared" si="4"/>
        <v>0.1431167330999977</v>
      </c>
      <c r="H520" s="28">
        <v>3.9450575162688004E-3</v>
      </c>
      <c r="I520" s="28">
        <v>1.2275703942245502E-4</v>
      </c>
      <c r="J520" s="28">
        <v>1.1963404515999114E-4</v>
      </c>
      <c r="K520" s="28">
        <v>1.1651105089752724E-4</v>
      </c>
      <c r="L520" s="28">
        <v>1.1338805663506334E-4</v>
      </c>
      <c r="M520" s="28">
        <v>1.1026506237259945E-4</v>
      </c>
      <c r="N520" s="29">
        <v>1.0714206811013554E-4</v>
      </c>
    </row>
    <row r="521" spans="1:14" x14ac:dyDescent="0.35">
      <c r="A521" s="24">
        <v>16</v>
      </c>
      <c r="B521" s="25" t="s">
        <v>29</v>
      </c>
      <c r="C521" s="30">
        <v>43125</v>
      </c>
      <c r="D521" s="25">
        <v>2.8389677476249701E-2</v>
      </c>
      <c r="E521" s="25">
        <v>0.61295200000000005</v>
      </c>
      <c r="F521" s="25">
        <v>1.7401509416444944E-2</v>
      </c>
      <c r="G521" s="25">
        <f t="shared" si="4"/>
        <v>0.16051824251644264</v>
      </c>
      <c r="H521" s="25">
        <v>3.8950472543680002E-3</v>
      </c>
      <c r="I521" s="25">
        <v>1.7398685518904885E-2</v>
      </c>
      <c r="J521" s="25">
        <v>1.7395861621364826E-2</v>
      </c>
      <c r="K521" s="25">
        <v>1.7393037723824764E-2</v>
      </c>
      <c r="L521" s="25">
        <v>1.7390213826284705E-2</v>
      </c>
      <c r="M521" s="25">
        <v>1.7387389928744647E-2</v>
      </c>
      <c r="N521" s="26">
        <v>1.7384566031204588E-2</v>
      </c>
    </row>
    <row r="522" spans="1:14" x14ac:dyDescent="0.35">
      <c r="A522" s="27">
        <v>17</v>
      </c>
      <c r="B522" s="28" t="s">
        <v>29</v>
      </c>
      <c r="C522" s="31">
        <v>43126</v>
      </c>
      <c r="D522" s="28">
        <v>-1.6386088041187401E-2</v>
      </c>
      <c r="E522" s="28">
        <v>0.4378628</v>
      </c>
      <c r="F522" s="28">
        <v>-7.1748586115264624E-3</v>
      </c>
      <c r="G522" s="25">
        <f t="shared" si="4"/>
        <v>0.15334338390491617</v>
      </c>
      <c r="H522" s="28">
        <v>4.2128178941836002E-3</v>
      </c>
      <c r="I522" s="28">
        <v>-7.2001024690949919E-3</v>
      </c>
      <c r="J522" s="28">
        <v>-7.2253463266635214E-3</v>
      </c>
      <c r="K522" s="28">
        <v>-7.250590184232051E-3</v>
      </c>
      <c r="L522" s="28">
        <v>-7.2758340418005805E-3</v>
      </c>
      <c r="M522" s="28">
        <v>-7.30107789936911E-3</v>
      </c>
      <c r="N522" s="29">
        <v>-7.3263217569376395E-3</v>
      </c>
    </row>
    <row r="523" spans="1:14" x14ac:dyDescent="0.35">
      <c r="A523" s="24">
        <v>18</v>
      </c>
      <c r="B523" s="25" t="s">
        <v>29</v>
      </c>
      <c r="C523" s="30">
        <v>43129</v>
      </c>
      <c r="D523" s="25">
        <v>-2.1410831419535498E-2</v>
      </c>
      <c r="E523" s="25">
        <v>0.71365829999999997</v>
      </c>
      <c r="F523" s="25">
        <v>-1.5280016979071559E-2</v>
      </c>
      <c r="G523" s="25">
        <f t="shared" si="4"/>
        <v>0.13806336692584462</v>
      </c>
      <c r="H523" s="25">
        <v>4.4851562544718001E-3</v>
      </c>
      <c r="I523" s="25">
        <v>-1.5306086954058036E-2</v>
      </c>
      <c r="J523" s="25">
        <v>-1.5332156929044513E-2</v>
      </c>
      <c r="K523" s="25">
        <v>-1.5358226904030992E-2</v>
      </c>
      <c r="L523" s="25">
        <v>-1.5384296879017469E-2</v>
      </c>
      <c r="M523" s="25">
        <v>-1.5410366854003946E-2</v>
      </c>
      <c r="N523" s="26">
        <v>-1.5436436828990423E-2</v>
      </c>
    </row>
    <row r="524" spans="1:14" x14ac:dyDescent="0.35">
      <c r="A524" s="27">
        <v>19</v>
      </c>
      <c r="B524" s="28" t="s">
        <v>29</v>
      </c>
      <c r="C524" s="31">
        <v>43130</v>
      </c>
      <c r="D524" s="28">
        <v>8.503140599733E-4</v>
      </c>
      <c r="E524" s="28">
        <v>0.72107536000000005</v>
      </c>
      <c r="F524" s="28">
        <v>6.1314051351268374E-4</v>
      </c>
      <c r="G524" s="25">
        <f t="shared" si="4"/>
        <v>0.1386765074393573</v>
      </c>
      <c r="H524" s="28">
        <v>4.9179041761403999E-3</v>
      </c>
      <c r="I524" s="28">
        <v>6.0723808149463663E-4</v>
      </c>
      <c r="J524" s="28">
        <v>6.0133564947658963E-4</v>
      </c>
      <c r="K524" s="28">
        <v>5.9543321745854252E-4</v>
      </c>
      <c r="L524" s="28">
        <v>5.8953078544049552E-4</v>
      </c>
      <c r="M524" s="28">
        <v>5.8362835342244841E-4</v>
      </c>
      <c r="N524" s="29">
        <v>5.7772592140440131E-4</v>
      </c>
    </row>
    <row r="525" spans="1:14" x14ac:dyDescent="0.35">
      <c r="A525" s="24">
        <v>20</v>
      </c>
      <c r="B525" s="25" t="s">
        <v>29</v>
      </c>
      <c r="C525" s="30">
        <v>43131</v>
      </c>
      <c r="D525" s="25">
        <v>-2.2450872681484E-3</v>
      </c>
      <c r="E525" s="25">
        <v>0.59412290000000001</v>
      </c>
      <c r="F525" s="25">
        <v>-1.3338577285508105E-3</v>
      </c>
      <c r="G525" s="25">
        <f t="shared" si="4"/>
        <v>0.13734264971080651</v>
      </c>
      <c r="H525" s="25">
        <v>4.8406912846093997E-3</v>
      </c>
      <c r="I525" s="25">
        <v>-1.34514344505366E-3</v>
      </c>
      <c r="J525" s="25">
        <v>-1.3564291615565094E-3</v>
      </c>
      <c r="K525" s="25">
        <v>-1.3677148780593586E-3</v>
      </c>
      <c r="L525" s="25">
        <v>-1.3790005945622081E-3</v>
      </c>
      <c r="M525" s="25">
        <v>-1.3902863110650575E-3</v>
      </c>
      <c r="N525" s="26">
        <v>-1.401572027567907E-3</v>
      </c>
    </row>
    <row r="526" spans="1:14" x14ac:dyDescent="0.35">
      <c r="A526" s="27">
        <v>21</v>
      </c>
      <c r="B526" s="28" t="s">
        <v>29</v>
      </c>
      <c r="C526" s="31">
        <v>43132</v>
      </c>
      <c r="D526" s="28">
        <v>-4.6004909831585998E-2</v>
      </c>
      <c r="E526" s="28">
        <v>0.60945439999999995</v>
      </c>
      <c r="F526" s="28">
        <v>-2.8037894414225554E-2</v>
      </c>
      <c r="G526" s="25">
        <f t="shared" si="4"/>
        <v>0.10930475529658096</v>
      </c>
      <c r="H526" s="28">
        <v>4.7846327806023003E-3</v>
      </c>
      <c r="I526" s="28">
        <v>-2.8040087710035754E-2</v>
      </c>
      <c r="J526" s="28">
        <v>-2.8042281005845958E-2</v>
      </c>
      <c r="K526" s="28">
        <v>-2.8044474301656158E-2</v>
      </c>
      <c r="L526" s="28">
        <v>-2.8046667597466358E-2</v>
      </c>
      <c r="M526" s="28">
        <v>-2.8048860893276559E-2</v>
      </c>
      <c r="N526" s="29">
        <v>-2.8051054189086762E-2</v>
      </c>
    </row>
    <row r="527" spans="1:14" x14ac:dyDescent="0.35">
      <c r="A527" s="24">
        <v>22</v>
      </c>
      <c r="B527" s="25" t="s">
        <v>29</v>
      </c>
      <c r="C527" s="30">
        <v>43133</v>
      </c>
      <c r="D527" s="25">
        <v>-7.8946585725402502E-2</v>
      </c>
      <c r="E527" s="25">
        <v>0.73958652999999996</v>
      </c>
      <c r="F527" s="25">
        <v>-5.8387831559043916E-2</v>
      </c>
      <c r="G527" s="25">
        <f t="shared" si="4"/>
        <v>5.0916923737537041E-2</v>
      </c>
      <c r="H527" s="25">
        <v>6.4691395755997003E-3</v>
      </c>
      <c r="I527" s="25">
        <v>-5.8393998112479847E-2</v>
      </c>
      <c r="J527" s="25">
        <v>-5.8400164665915785E-2</v>
      </c>
      <c r="K527" s="25">
        <v>-5.8406331219351716E-2</v>
      </c>
      <c r="L527" s="25">
        <v>-5.8412497772787654E-2</v>
      </c>
      <c r="M527" s="25">
        <v>-5.8418664326223585E-2</v>
      </c>
      <c r="N527" s="26">
        <v>-5.8424830879659516E-2</v>
      </c>
    </row>
    <row r="528" spans="1:14" x14ac:dyDescent="0.35">
      <c r="A528" s="27">
        <v>23</v>
      </c>
      <c r="B528" s="28" t="s">
        <v>29</v>
      </c>
      <c r="C528" s="31">
        <v>43136</v>
      </c>
      <c r="D528" s="28">
        <v>2.6793397616270101E-2</v>
      </c>
      <c r="E528" s="28">
        <v>0.73588540000000002</v>
      </c>
      <c r="F528" s="28">
        <v>1.9716869631851507E-2</v>
      </c>
      <c r="G528" s="25">
        <f t="shared" si="4"/>
        <v>7.0633793369388548E-2</v>
      </c>
      <c r="H528" s="28">
        <v>1.16980467583993E-2</v>
      </c>
      <c r="I528" s="28">
        <v>1.9692576605340045E-2</v>
      </c>
      <c r="J528" s="28">
        <v>1.966828357882858E-2</v>
      </c>
      <c r="K528" s="28">
        <v>1.9643990552317119E-2</v>
      </c>
      <c r="L528" s="28">
        <v>1.9619697525805654E-2</v>
      </c>
      <c r="M528" s="28">
        <v>1.9595404499294193E-2</v>
      </c>
      <c r="N528" s="29">
        <v>1.9571111472782728E-2</v>
      </c>
    </row>
    <row r="529" spans="1:14" x14ac:dyDescent="0.35">
      <c r="A529" s="24">
        <v>24</v>
      </c>
      <c r="B529" s="25" t="s">
        <v>29</v>
      </c>
      <c r="C529" s="30">
        <v>43137</v>
      </c>
      <c r="D529" s="25">
        <v>-6.9853213365123996E-3</v>
      </c>
      <c r="E529" s="25">
        <v>0.22795605999999999</v>
      </c>
      <c r="F529" s="25">
        <v>-1.5923463059192243E-3</v>
      </c>
      <c r="G529" s="25">
        <f t="shared" si="4"/>
        <v>6.9041447063469319E-2</v>
      </c>
      <c r="H529" s="25">
        <v>1.3053893221429099E-2</v>
      </c>
      <c r="I529" s="25">
        <v>-1.6138165783422854E-3</v>
      </c>
      <c r="J529" s="25">
        <v>-1.6352868507653465E-3</v>
      </c>
      <c r="K529" s="25">
        <v>-1.6567571231884076E-3</v>
      </c>
      <c r="L529" s="25">
        <v>-1.6782273956114687E-3</v>
      </c>
      <c r="M529" s="25">
        <v>-1.6996976680345298E-3</v>
      </c>
      <c r="N529" s="26">
        <v>-1.7211679404575909E-3</v>
      </c>
    </row>
    <row r="530" spans="1:14" x14ac:dyDescent="0.35">
      <c r="A530" s="27">
        <v>25</v>
      </c>
      <c r="B530" s="28" t="s">
        <v>29</v>
      </c>
      <c r="C530" s="31">
        <v>43138</v>
      </c>
      <c r="D530" s="28">
        <v>-2.04359297279012E-2</v>
      </c>
      <c r="E530" s="28">
        <v>0.40997561999999999</v>
      </c>
      <c r="F530" s="28">
        <v>-8.3782329221350881E-3</v>
      </c>
      <c r="G530" s="25">
        <f t="shared" si="4"/>
        <v>6.0663214141334229E-2</v>
      </c>
      <c r="H530" s="28">
        <v>1.2953325142918699E-2</v>
      </c>
      <c r="I530" s="28">
        <v>-8.3849359017106554E-3</v>
      </c>
      <c r="J530" s="28">
        <v>-8.391638881286221E-3</v>
      </c>
      <c r="K530" s="28">
        <v>-8.3983418608617882E-3</v>
      </c>
      <c r="L530" s="28">
        <v>-8.4050448404373538E-3</v>
      </c>
      <c r="M530" s="28">
        <v>-8.4117478200129211E-3</v>
      </c>
      <c r="N530" s="29">
        <v>-8.4184507995884884E-3</v>
      </c>
    </row>
    <row r="531" spans="1:14" x14ac:dyDescent="0.35">
      <c r="A531" s="24">
        <v>26</v>
      </c>
      <c r="B531" s="25" t="s">
        <v>29</v>
      </c>
      <c r="C531" s="30">
        <v>43139</v>
      </c>
      <c r="D531" s="25">
        <v>6.7950574768228999E-3</v>
      </c>
      <c r="E531" s="25">
        <v>0.44137207000000001</v>
      </c>
      <c r="F531" s="25">
        <v>2.9991485621367366E-3</v>
      </c>
      <c r="G531" s="25">
        <f t="shared" si="4"/>
        <v>6.3662362703470962E-2</v>
      </c>
      <c r="H531" s="25">
        <v>1.3672621209928E-2</v>
      </c>
      <c r="I531" s="25">
        <v>2.9988503331581325E-3</v>
      </c>
      <c r="J531" s="25">
        <v>2.9985521041795285E-3</v>
      </c>
      <c r="K531" s="25">
        <v>2.9982538752009241E-3</v>
      </c>
      <c r="L531" s="25">
        <v>2.9979556462223201E-3</v>
      </c>
      <c r="M531" s="25">
        <v>2.9976574172437161E-3</v>
      </c>
      <c r="N531" s="26">
        <v>2.9973591882651121E-3</v>
      </c>
    </row>
    <row r="532" spans="1:14" x14ac:dyDescent="0.35">
      <c r="A532" s="27">
        <v>27</v>
      </c>
      <c r="B532" s="28" t="s">
        <v>29</v>
      </c>
      <c r="C532" s="31">
        <v>43140</v>
      </c>
      <c r="D532" s="28">
        <v>9.6211383360193005E-3</v>
      </c>
      <c r="E532" s="28">
        <v>0.18092981999999999</v>
      </c>
      <c r="F532" s="28">
        <v>1.7407508726455967E-3</v>
      </c>
      <c r="G532" s="25">
        <f t="shared" si="4"/>
        <v>6.5403113576116556E-2</v>
      </c>
      <c r="H532" s="28">
        <v>1.35936799923949E-2</v>
      </c>
      <c r="I532" s="28">
        <v>1.7317876319690811E-3</v>
      </c>
      <c r="J532" s="28">
        <v>1.7228243912925654E-3</v>
      </c>
      <c r="K532" s="28">
        <v>1.7138611506160497E-3</v>
      </c>
      <c r="L532" s="28">
        <v>1.7048979099395338E-3</v>
      </c>
      <c r="M532" s="28">
        <v>1.6959346692630181E-3</v>
      </c>
      <c r="N532" s="29">
        <v>1.6869714285865024E-3</v>
      </c>
    </row>
    <row r="533" spans="1:14" x14ac:dyDescent="0.35">
      <c r="A533" s="24">
        <v>28</v>
      </c>
      <c r="B533" s="25" t="s">
        <v>29</v>
      </c>
      <c r="C533" s="30">
        <v>43143</v>
      </c>
      <c r="D533" s="25">
        <v>1.6972276410608001E-3</v>
      </c>
      <c r="E533" s="25">
        <v>0.11896727999999999</v>
      </c>
      <c r="F533" s="25">
        <v>2.0191455564451117E-4</v>
      </c>
      <c r="G533" s="25">
        <f t="shared" si="4"/>
        <v>6.560502813176107E-2</v>
      </c>
      <c r="H533" s="25">
        <v>1.3628838076063601E-2</v>
      </c>
      <c r="I533" s="25">
        <v>1.9975034763536096E-4</v>
      </c>
      <c r="J533" s="25">
        <v>1.9758613962621074E-4</v>
      </c>
      <c r="K533" s="25">
        <v>1.954219316170605E-4</v>
      </c>
      <c r="L533" s="25">
        <v>1.9325772360791028E-4</v>
      </c>
      <c r="M533" s="25">
        <v>1.9109351559876007E-4</v>
      </c>
      <c r="N533" s="26">
        <v>1.8892930758960985E-4</v>
      </c>
    </row>
    <row r="534" spans="1:14" x14ac:dyDescent="0.35">
      <c r="A534" s="27">
        <v>29</v>
      </c>
      <c r="B534" s="28" t="s">
        <v>29</v>
      </c>
      <c r="C534" s="31">
        <v>43144</v>
      </c>
      <c r="D534" s="28">
        <v>9.3291376015430007E-3</v>
      </c>
      <c r="E534" s="28">
        <v>0.109396085</v>
      </c>
      <c r="F534" s="28">
        <v>1.0205711313699939E-3</v>
      </c>
      <c r="G534" s="25">
        <f t="shared" si="4"/>
        <v>6.6625599263131066E-2</v>
      </c>
      <c r="H534" s="28">
        <v>1.3413476367473601E-2</v>
      </c>
      <c r="I534" s="28">
        <v>1.0203002256251952E-3</v>
      </c>
      <c r="J534" s="28">
        <v>1.0200293198803962E-3</v>
      </c>
      <c r="K534" s="28">
        <v>1.0197584141355975E-3</v>
      </c>
      <c r="L534" s="28">
        <v>1.0194875083907986E-3</v>
      </c>
      <c r="M534" s="28">
        <v>1.0192166026459998E-3</v>
      </c>
      <c r="N534" s="29">
        <v>1.0189456969012009E-3</v>
      </c>
    </row>
    <row r="535" spans="1:14" x14ac:dyDescent="0.35">
      <c r="A535" s="24">
        <v>30</v>
      </c>
      <c r="B535" s="25" t="s">
        <v>29</v>
      </c>
      <c r="C535" s="30">
        <v>43145</v>
      </c>
      <c r="D535" s="25">
        <v>9.6631534934729993E-3</v>
      </c>
      <c r="E535" s="25">
        <v>-5.8992747000000002E-3</v>
      </c>
      <c r="F535" s="25">
        <v>-5.7005597136355032E-5</v>
      </c>
      <c r="G535" s="25">
        <f t="shared" si="4"/>
        <v>6.6568593665994713E-2</v>
      </c>
      <c r="H535" s="25">
        <v>1.34150683012809E-2</v>
      </c>
      <c r="I535" s="25">
        <v>-6.1066558578807328E-5</v>
      </c>
      <c r="J535" s="25">
        <v>-6.512752002125963E-5</v>
      </c>
      <c r="K535" s="25">
        <v>-6.9188481463711932E-5</v>
      </c>
      <c r="L535" s="25">
        <v>-7.3249442906164221E-5</v>
      </c>
      <c r="M535" s="25">
        <v>-7.7310404348616523E-5</v>
      </c>
      <c r="N535" s="26">
        <v>-8.1371365791068826E-5</v>
      </c>
    </row>
    <row r="536" spans="1:14" x14ac:dyDescent="0.35">
      <c r="A536" s="27">
        <v>31</v>
      </c>
      <c r="B536" s="28" t="s">
        <v>29</v>
      </c>
      <c r="C536" s="31">
        <v>43146</v>
      </c>
      <c r="D536" s="28">
        <v>2.5758303167750001E-4</v>
      </c>
      <c r="E536" s="28">
        <v>-4.2789765E-2</v>
      </c>
      <c r="F536" s="28">
        <v>-1.102191731679049E-5</v>
      </c>
      <c r="G536" s="25">
        <f t="shared" si="4"/>
        <v>6.6557571748677921E-2</v>
      </c>
      <c r="H536" s="28">
        <v>1.3417611965596E-2</v>
      </c>
      <c r="I536" s="28">
        <v>-1.2320851221188839E-5</v>
      </c>
      <c r="J536" s="28">
        <v>-1.361978512558719E-5</v>
      </c>
      <c r="K536" s="28">
        <v>-1.4918719029985539E-5</v>
      </c>
      <c r="L536" s="28">
        <v>-1.6217652934383888E-5</v>
      </c>
      <c r="M536" s="28">
        <v>-1.7516586838782239E-5</v>
      </c>
      <c r="N536" s="29">
        <v>-1.8815520743180587E-5</v>
      </c>
    </row>
    <row r="537" spans="1:14" x14ac:dyDescent="0.35">
      <c r="A537" s="24">
        <v>32</v>
      </c>
      <c r="B537" s="25" t="s">
        <v>29</v>
      </c>
      <c r="C537" s="30">
        <v>43147</v>
      </c>
      <c r="D537" s="25">
        <v>-5.4981313381325001E-3</v>
      </c>
      <c r="E537" s="25">
        <v>-8.3583310000000001E-3</v>
      </c>
      <c r="F537" s="25">
        <v>4.5955203789309012E-5</v>
      </c>
      <c r="G537" s="25">
        <f t="shared" si="4"/>
        <v>6.6603526952467226E-2</v>
      </c>
      <c r="H537" s="25">
        <v>1.3195864359261501E-2</v>
      </c>
      <c r="I537" s="25">
        <v>4.474776349318258E-5</v>
      </c>
      <c r="J537" s="25">
        <v>4.3540323197056147E-5</v>
      </c>
      <c r="K537" s="25">
        <v>4.2332882900929715E-5</v>
      </c>
      <c r="L537" s="25">
        <v>4.1125442604803282E-5</v>
      </c>
      <c r="M537" s="25">
        <v>3.991800230867685E-5</v>
      </c>
      <c r="N537" s="26">
        <v>3.8710562012550417E-5</v>
      </c>
    </row>
    <row r="538" spans="1:14" x14ac:dyDescent="0.35">
      <c r="A538" s="27">
        <v>33</v>
      </c>
      <c r="B538" s="28" t="s">
        <v>29</v>
      </c>
      <c r="C538" s="31">
        <v>43151</v>
      </c>
      <c r="D538" s="28">
        <v>-4.0649220421969997E-3</v>
      </c>
      <c r="E538" s="28">
        <v>-3.1247186E-2</v>
      </c>
      <c r="F538" s="28">
        <v>1.2701737327108984E-4</v>
      </c>
      <c r="G538" s="25">
        <f t="shared" si="4"/>
        <v>6.6730544325738314E-2</v>
      </c>
      <c r="H538" s="28">
        <v>1.30616718278546E-2</v>
      </c>
      <c r="I538" s="28">
        <v>1.2618638278456913E-4</v>
      </c>
      <c r="J538" s="28">
        <v>1.2535539229804838E-4</v>
      </c>
      <c r="K538" s="28">
        <v>1.2452440181152767E-4</v>
      </c>
      <c r="L538" s="28">
        <v>1.2369341132500696E-4</v>
      </c>
      <c r="M538" s="28">
        <v>1.2286242083848624E-4</v>
      </c>
      <c r="N538" s="29">
        <v>1.2203143035196551E-4</v>
      </c>
    </row>
    <row r="539" spans="1:14" x14ac:dyDescent="0.35">
      <c r="A539" s="24">
        <v>34</v>
      </c>
      <c r="B539" s="25" t="s">
        <v>29</v>
      </c>
      <c r="C539" s="30">
        <v>43152</v>
      </c>
      <c r="D539" s="25">
        <v>3.4634167548266998E-3</v>
      </c>
      <c r="E539" s="25">
        <v>-0.11854902</v>
      </c>
      <c r="F539" s="25">
        <v>-4.1058465901325984E-4</v>
      </c>
      <c r="G539" s="25">
        <f t="shared" si="4"/>
        <v>6.6319959666725048E-2</v>
      </c>
      <c r="H539" s="25">
        <v>1.28894315498852E-2</v>
      </c>
      <c r="I539" s="25">
        <v>-4.1379976692423973E-4</v>
      </c>
      <c r="J539" s="25">
        <v>-4.1701487483521962E-4</v>
      </c>
      <c r="K539" s="25">
        <v>-4.2022998274619951E-4</v>
      </c>
      <c r="L539" s="25">
        <v>-4.234450906571794E-4</v>
      </c>
      <c r="M539" s="25">
        <v>-4.266601985681593E-4</v>
      </c>
      <c r="N539" s="26">
        <v>-4.2987530647913919E-4</v>
      </c>
    </row>
    <row r="540" spans="1:14" x14ac:dyDescent="0.35">
      <c r="A540" s="27">
        <v>35</v>
      </c>
      <c r="B540" s="28" t="s">
        <v>29</v>
      </c>
      <c r="C540" s="31">
        <v>43153</v>
      </c>
      <c r="D540" s="28">
        <v>1.02183108905376E-2</v>
      </c>
      <c r="E540" s="28">
        <v>-0.22478809999999999</v>
      </c>
      <c r="F540" s="28">
        <v>-2.2969546854636623E-3</v>
      </c>
      <c r="G540" s="25">
        <f t="shared" si="4"/>
        <v>6.4023004981261386E-2</v>
      </c>
      <c r="H540" s="28">
        <v>1.2703650735566899E-2</v>
      </c>
      <c r="I540" s="28">
        <v>-2.3009693218168465E-3</v>
      </c>
      <c r="J540" s="28">
        <v>-2.3049839581700303E-3</v>
      </c>
      <c r="K540" s="28">
        <v>-2.3089985945232146E-3</v>
      </c>
      <c r="L540" s="28">
        <v>-2.3130132308763983E-3</v>
      </c>
      <c r="M540" s="28">
        <v>-2.3170278672295826E-3</v>
      </c>
      <c r="N540" s="29">
        <v>-2.3210425035827664E-3</v>
      </c>
    </row>
    <row r="541" spans="1:14" x14ac:dyDescent="0.35">
      <c r="A541" s="24">
        <v>36</v>
      </c>
      <c r="B541" s="25" t="s">
        <v>29</v>
      </c>
      <c r="C541" s="30">
        <v>43154</v>
      </c>
      <c r="D541" s="25">
        <v>9.6565409532776009E-3</v>
      </c>
      <c r="E541" s="25">
        <v>-0.26747745000000001</v>
      </c>
      <c r="F541" s="25">
        <v>-2.582906976606784E-3</v>
      </c>
      <c r="G541" s="25">
        <f t="shared" si="4"/>
        <v>6.1440098004654602E-2</v>
      </c>
      <c r="H541" s="25">
        <v>1.2726535865667099E-2</v>
      </c>
      <c r="I541" s="25">
        <v>-2.5844767281608012E-3</v>
      </c>
      <c r="J541" s="25">
        <v>-2.586046479714818E-3</v>
      </c>
      <c r="K541" s="25">
        <v>-2.5876162312688353E-3</v>
      </c>
      <c r="L541" s="25">
        <v>-2.5891859828228525E-3</v>
      </c>
      <c r="M541" s="25">
        <v>-2.5907557343768698E-3</v>
      </c>
      <c r="N541" s="26">
        <v>-2.5923254859308866E-3</v>
      </c>
    </row>
    <row r="542" spans="1:14" x14ac:dyDescent="0.35">
      <c r="A542" s="27">
        <v>37</v>
      </c>
      <c r="B542" s="28" t="s">
        <v>29</v>
      </c>
      <c r="C542" s="31">
        <v>43157</v>
      </c>
      <c r="D542" s="28">
        <v>-9.8785253951283996E-3</v>
      </c>
      <c r="E542" s="28">
        <v>-0.23094349</v>
      </c>
      <c r="F542" s="28">
        <v>2.2813810922237515E-3</v>
      </c>
      <c r="G542" s="25">
        <f t="shared" si="4"/>
        <v>6.372147909687835E-2</v>
      </c>
      <c r="H542" s="28">
        <v>1.2710228840784999E-2</v>
      </c>
      <c r="I542" s="28">
        <v>2.2800358171050071E-3</v>
      </c>
      <c r="J542" s="28">
        <v>2.278690541986263E-3</v>
      </c>
      <c r="K542" s="28">
        <v>2.2773452668675186E-3</v>
      </c>
      <c r="L542" s="28">
        <v>2.2759999917487746E-3</v>
      </c>
      <c r="M542" s="28">
        <v>2.2746547166300301E-3</v>
      </c>
      <c r="N542" s="29">
        <v>2.2733094415112861E-3</v>
      </c>
    </row>
    <row r="543" spans="1:14" x14ac:dyDescent="0.35">
      <c r="A543" s="24">
        <v>38</v>
      </c>
      <c r="B543" s="25" t="s">
        <v>29</v>
      </c>
      <c r="C543" s="30">
        <v>43158</v>
      </c>
      <c r="D543" s="25">
        <v>-8.8916290747021003E-3</v>
      </c>
      <c r="E543" s="25">
        <v>-0.10202506</v>
      </c>
      <c r="F543" s="25">
        <v>9.0716900625621222E-4</v>
      </c>
      <c r="G543" s="25">
        <f t="shared" si="4"/>
        <v>6.4628648103134567E-2</v>
      </c>
      <c r="H543" s="25">
        <v>1.27639733916756E-2</v>
      </c>
      <c r="I543" s="25">
        <v>9.0236097391092071E-4</v>
      </c>
      <c r="J543" s="25">
        <v>8.975529415656292E-4</v>
      </c>
      <c r="K543" s="25">
        <v>8.9274490922033759E-4</v>
      </c>
      <c r="L543" s="25">
        <v>8.8793687687504608E-4</v>
      </c>
      <c r="M543" s="25">
        <v>8.8312884452975457E-4</v>
      </c>
      <c r="N543" s="26">
        <v>8.7832081218446306E-4</v>
      </c>
    </row>
    <row r="544" spans="1:14" x14ac:dyDescent="0.35">
      <c r="A544" s="27">
        <v>39</v>
      </c>
      <c r="B544" s="28" t="s">
        <v>29</v>
      </c>
      <c r="C544" s="31">
        <v>43159</v>
      </c>
      <c r="D544" s="28">
        <v>-9.8920856649852007E-3</v>
      </c>
      <c r="E544" s="28">
        <v>-0.14112815000000001</v>
      </c>
      <c r="F544" s="28">
        <v>1.3960517753480611E-3</v>
      </c>
      <c r="G544" s="25">
        <f t="shared" si="4"/>
        <v>6.6024699878482626E-2</v>
      </c>
      <c r="H544" s="28">
        <v>1.27561989757826E-2</v>
      </c>
      <c r="I544" s="28">
        <v>1.3946011996933483E-3</v>
      </c>
      <c r="J544" s="28">
        <v>1.3931506240386353E-3</v>
      </c>
      <c r="K544" s="28">
        <v>1.3917000483839226E-3</v>
      </c>
      <c r="L544" s="28">
        <v>1.3902494727292096E-3</v>
      </c>
      <c r="M544" s="28">
        <v>1.3887988970744968E-3</v>
      </c>
      <c r="N544" s="29">
        <v>1.3873483214197839E-3</v>
      </c>
    </row>
    <row r="545" spans="1:14" x14ac:dyDescent="0.35">
      <c r="A545" s="24">
        <v>40</v>
      </c>
      <c r="B545" s="25" t="s">
        <v>29</v>
      </c>
      <c r="C545" s="30">
        <v>43160</v>
      </c>
      <c r="D545" s="25">
        <v>3.3129138477388E-3</v>
      </c>
      <c r="E545" s="25">
        <v>-9.9204323999999997E-2</v>
      </c>
      <c r="F545" s="25">
        <v>-3.2865537935086579E-4</v>
      </c>
      <c r="G545" s="25">
        <f t="shared" si="4"/>
        <v>6.5696044499131759E-2</v>
      </c>
      <c r="H545" s="25">
        <v>1.2779415153853699E-2</v>
      </c>
      <c r="I545" s="25">
        <v>-3.3021480108678291E-4</v>
      </c>
      <c r="J545" s="25">
        <v>-3.3177422282270008E-4</v>
      </c>
      <c r="K545" s="25">
        <v>-3.333336445586172E-4</v>
      </c>
      <c r="L545" s="25">
        <v>-3.3489306629453432E-4</v>
      </c>
      <c r="M545" s="25">
        <v>-3.3645248803045144E-4</v>
      </c>
      <c r="N545" s="26">
        <v>-3.3801190976636862E-4</v>
      </c>
    </row>
    <row r="546" spans="1:14" x14ac:dyDescent="0.35">
      <c r="A546" s="27">
        <v>41</v>
      </c>
      <c r="B546" s="28" t="s">
        <v>29</v>
      </c>
      <c r="C546" s="31">
        <v>43161</v>
      </c>
      <c r="D546" s="28">
        <v>7.8769612360065997E-3</v>
      </c>
      <c r="E546" s="28">
        <v>-0.27092444999999998</v>
      </c>
      <c r="F546" s="28">
        <v>-2.1340613823993496E-3</v>
      </c>
      <c r="G546" s="25">
        <f t="shared" si="4"/>
        <v>6.3561983116732404E-2</v>
      </c>
      <c r="H546" s="28">
        <v>1.25967378833109E-2</v>
      </c>
      <c r="I546" s="28">
        <v>-2.1405551371897228E-3</v>
      </c>
      <c r="J546" s="28">
        <v>-2.1470488919800965E-3</v>
      </c>
      <c r="K546" s="28">
        <v>-2.1535426467704697E-3</v>
      </c>
      <c r="L546" s="28">
        <v>-2.1600364015608429E-3</v>
      </c>
      <c r="M546" s="28">
        <v>-2.1665301563512161E-3</v>
      </c>
      <c r="N546" s="29">
        <v>-2.1730239111415897E-3</v>
      </c>
    </row>
    <row r="547" spans="1:14" x14ac:dyDescent="0.35">
      <c r="A547" s="24">
        <v>42</v>
      </c>
      <c r="B547" s="25" t="s">
        <v>29</v>
      </c>
      <c r="C547" s="30">
        <v>43164</v>
      </c>
      <c r="D547" s="25">
        <v>1.5252823202E-3</v>
      </c>
      <c r="E547" s="25">
        <v>-0.30819279999999999</v>
      </c>
      <c r="F547" s="25">
        <v>-4.7008101312074441E-4</v>
      </c>
      <c r="G547" s="25">
        <f t="shared" si="4"/>
        <v>6.3091902103611666E-2</v>
      </c>
      <c r="H547" s="25">
        <v>1.2533550190978199E-2</v>
      </c>
      <c r="I547" s="25">
        <v>-4.7153708106747105E-4</v>
      </c>
      <c r="J547" s="25">
        <v>-4.7299314901419769E-4</v>
      </c>
      <c r="K547" s="25">
        <v>-4.7444921696092438E-4</v>
      </c>
      <c r="L547" s="25">
        <v>-4.7590528490765101E-4</v>
      </c>
      <c r="M547" s="25">
        <v>-4.7736135285437765E-4</v>
      </c>
      <c r="N547" s="26">
        <v>-4.7881742080110428E-4</v>
      </c>
    </row>
    <row r="548" spans="1:14" x14ac:dyDescent="0.35">
      <c r="A548" s="27">
        <v>43</v>
      </c>
      <c r="B548" s="28" t="s">
        <v>29</v>
      </c>
      <c r="C548" s="31">
        <v>43165</v>
      </c>
      <c r="D548" s="28">
        <v>-2.1099243753599999E-4</v>
      </c>
      <c r="E548" s="28">
        <v>-0.16840972000000001</v>
      </c>
      <c r="F548" s="28">
        <v>3.5533177340891978E-5</v>
      </c>
      <c r="G548" s="25">
        <f t="shared" si="4"/>
        <v>6.3127435280952562E-2</v>
      </c>
      <c r="H548" s="28">
        <v>1.2330431059833599E-2</v>
      </c>
      <c r="I548" s="28">
        <v>3.0368591414845155E-5</v>
      </c>
      <c r="J548" s="28">
        <v>2.5204005488798331E-5</v>
      </c>
      <c r="K548" s="28">
        <v>2.0039419562751507E-5</v>
      </c>
      <c r="L548" s="28">
        <v>1.4874833636704684E-5</v>
      </c>
      <c r="M548" s="28">
        <v>9.7102477106578603E-6</v>
      </c>
      <c r="N548" s="29">
        <v>4.5456617846110367E-6</v>
      </c>
    </row>
    <row r="549" spans="1:14" x14ac:dyDescent="0.35">
      <c r="A549" s="24">
        <v>44</v>
      </c>
      <c r="B549" s="25" t="s">
        <v>29</v>
      </c>
      <c r="C549" s="30">
        <v>43166</v>
      </c>
      <c r="D549" s="25">
        <v>4.5779105352311E-3</v>
      </c>
      <c r="E549" s="25">
        <v>4.0377980000000001E-2</v>
      </c>
      <c r="F549" s="25">
        <v>1.8484677195555047E-4</v>
      </c>
      <c r="G549" s="25">
        <f t="shared" si="4"/>
        <v>6.3312282052908106E-2</v>
      </c>
      <c r="H549" s="25">
        <v>1.21270776362346E-2</v>
      </c>
      <c r="I549" s="25">
        <v>1.7682087146624078E-4</v>
      </c>
      <c r="J549" s="25">
        <v>1.6879497097693113E-4</v>
      </c>
      <c r="K549" s="25">
        <v>1.6076907048762144E-4</v>
      </c>
      <c r="L549" s="25">
        <v>1.5274316999831176E-4</v>
      </c>
      <c r="M549" s="25">
        <v>1.4471726950900207E-4</v>
      </c>
      <c r="N549" s="26">
        <v>1.3669136901969239E-4</v>
      </c>
    </row>
    <row r="550" spans="1:14" x14ac:dyDescent="0.35">
      <c r="A550" s="27">
        <v>45</v>
      </c>
      <c r="B550" s="28" t="s">
        <v>29</v>
      </c>
      <c r="C550" s="31">
        <v>43167</v>
      </c>
      <c r="D550" s="28">
        <v>1.28976265045255E-2</v>
      </c>
      <c r="E550" s="28">
        <v>-2.213072E-2</v>
      </c>
      <c r="F550" s="28">
        <v>-2.8543376492947157E-4</v>
      </c>
      <c r="G550" s="25">
        <f t="shared" si="4"/>
        <v>6.3026848287978637E-2</v>
      </c>
      <c r="H550" s="28">
        <v>1.19685781998246E-2</v>
      </c>
      <c r="I550" s="28">
        <v>-2.8788044272605765E-4</v>
      </c>
      <c r="J550" s="28">
        <v>-2.9032712052264379E-4</v>
      </c>
      <c r="K550" s="28">
        <v>-2.9277379831922987E-4</v>
      </c>
      <c r="L550" s="28">
        <v>-2.9522047611581594E-4</v>
      </c>
      <c r="M550" s="28">
        <v>-2.9766715391240202E-4</v>
      </c>
      <c r="N550" s="29">
        <v>-3.0011383170898816E-4</v>
      </c>
    </row>
    <row r="551" spans="1:14" x14ac:dyDescent="0.35">
      <c r="A551" s="24">
        <v>46</v>
      </c>
      <c r="B551" s="25" t="s">
        <v>29</v>
      </c>
      <c r="C551" s="30">
        <v>43168</v>
      </c>
      <c r="D551" s="25">
        <v>0</v>
      </c>
      <c r="E551" s="25">
        <v>-1.9487197000000001E-2</v>
      </c>
      <c r="F551" s="25">
        <v>0</v>
      </c>
      <c r="G551" s="25">
        <f t="shared" si="4"/>
        <v>6.3026848287978637E-2</v>
      </c>
      <c r="H551" s="25">
        <v>1.21101836647571E-2</v>
      </c>
      <c r="I551" s="25">
        <v>-1.1334717327286361E-7</v>
      </c>
      <c r="J551" s="25">
        <v>-2.2669434654572722E-7</v>
      </c>
      <c r="K551" s="25">
        <v>-3.4004151981859082E-7</v>
      </c>
      <c r="L551" s="25">
        <v>-4.5338869309145445E-7</v>
      </c>
      <c r="M551" s="25">
        <v>-5.6673586636431807E-7</v>
      </c>
      <c r="N551" s="26">
        <v>-6.8008303963718164E-7</v>
      </c>
    </row>
    <row r="552" spans="1:14" x14ac:dyDescent="0.35">
      <c r="A552" s="27">
        <v>47</v>
      </c>
      <c r="B552" s="28" t="s">
        <v>29</v>
      </c>
      <c r="C552" s="31">
        <v>43171</v>
      </c>
      <c r="D552" s="28">
        <v>-4.4166407932005004E-3</v>
      </c>
      <c r="E552" s="28">
        <v>0.26426929999999998</v>
      </c>
      <c r="F552" s="28">
        <v>-1.1671825370034837E-3</v>
      </c>
      <c r="G552" s="25">
        <f t="shared" si="4"/>
        <v>6.1859665750975151E-2</v>
      </c>
      <c r="H552" s="28">
        <v>1.1911360709742001E-2</v>
      </c>
      <c r="I552" s="28">
        <v>-1.1784248456097337E-3</v>
      </c>
      <c r="J552" s="28">
        <v>-1.1896671542159837E-3</v>
      </c>
      <c r="K552" s="28">
        <v>-1.2009094628222339E-3</v>
      </c>
      <c r="L552" s="28">
        <v>-1.2121517714284839E-3</v>
      </c>
      <c r="M552" s="28">
        <v>-1.2233940800347339E-3</v>
      </c>
      <c r="N552" s="29">
        <v>-1.2346363886409839E-3</v>
      </c>
    </row>
    <row r="553" spans="1:14" x14ac:dyDescent="0.35">
      <c r="A553" s="24">
        <v>48</v>
      </c>
      <c r="B553" s="25" t="s">
        <v>29</v>
      </c>
      <c r="C553" s="30">
        <v>43172</v>
      </c>
      <c r="D553" s="25">
        <v>-5.4357029306830998E-3</v>
      </c>
      <c r="E553" s="25">
        <v>0.33911276000000001</v>
      </c>
      <c r="F553" s="25">
        <v>-1.8433162159523157E-3</v>
      </c>
      <c r="G553" s="25">
        <f t="shared" si="4"/>
        <v>6.0016349535022835E-2</v>
      </c>
      <c r="H553" s="25">
        <v>1.1773132153813801E-2</v>
      </c>
      <c r="I553" s="25">
        <v>-1.8464427529419226E-3</v>
      </c>
      <c r="J553" s="25">
        <v>-1.8495692899315296E-3</v>
      </c>
      <c r="K553" s="25">
        <v>-1.8526958269211365E-3</v>
      </c>
      <c r="L553" s="25">
        <v>-1.8558223639107434E-3</v>
      </c>
      <c r="M553" s="25">
        <v>-1.8589489009003504E-3</v>
      </c>
      <c r="N553" s="26">
        <v>-1.8620754378899573E-3</v>
      </c>
    </row>
    <row r="554" spans="1:14" x14ac:dyDescent="0.35">
      <c r="A554" s="27">
        <v>49</v>
      </c>
      <c r="B554" s="28" t="s">
        <v>29</v>
      </c>
      <c r="C554" s="31">
        <v>43173</v>
      </c>
      <c r="D554" s="28">
        <v>5.1587312739729998E-4</v>
      </c>
      <c r="E554" s="28">
        <v>0.32856237999999999</v>
      </c>
      <c r="F554" s="28">
        <v>1.6949650193965647E-4</v>
      </c>
      <c r="G554" s="25">
        <f t="shared" si="4"/>
        <v>6.018584603696249E-2</v>
      </c>
      <c r="H554" s="28">
        <v>1.1657164396954699E-2</v>
      </c>
      <c r="I554" s="28">
        <v>1.6920428376598022E-4</v>
      </c>
      <c r="J554" s="28">
        <v>1.6891206559230401E-4</v>
      </c>
      <c r="K554" s="28">
        <v>1.6861984741862779E-4</v>
      </c>
      <c r="L554" s="28">
        <v>1.6832762924495154E-4</v>
      </c>
      <c r="M554" s="28">
        <v>1.680354110712753E-4</v>
      </c>
      <c r="N554" s="29">
        <v>1.6774319289759908E-4</v>
      </c>
    </row>
    <row r="555" spans="1:14" x14ac:dyDescent="0.35">
      <c r="A555" s="24">
        <v>50</v>
      </c>
      <c r="B555" s="25" t="s">
        <v>29</v>
      </c>
      <c r="C555" s="30">
        <v>43174</v>
      </c>
      <c r="D555" s="25">
        <v>9.88508762146343E-5</v>
      </c>
      <c r="E555" s="25">
        <v>0.2356704</v>
      </c>
      <c r="F555" s="25">
        <v>2.3296225799419173E-5</v>
      </c>
      <c r="G555" s="25">
        <f t="shared" si="4"/>
        <v>6.020914226276191E-2</v>
      </c>
      <c r="H555" s="25">
        <v>1.1464493915263101E-2</v>
      </c>
      <c r="I555" s="25">
        <v>1.9691909543370584E-5</v>
      </c>
      <c r="J555" s="25">
        <v>1.6087593287321991E-5</v>
      </c>
      <c r="K555" s="25">
        <v>1.2483277031273403E-5</v>
      </c>
      <c r="L555" s="25">
        <v>8.8789607752248124E-6</v>
      </c>
      <c r="M555" s="25">
        <v>5.2746445191762232E-6</v>
      </c>
      <c r="N555" s="26">
        <v>1.6703282631276339E-6</v>
      </c>
    </row>
    <row r="556" spans="1:14" x14ac:dyDescent="0.35">
      <c r="A556" s="27">
        <v>51</v>
      </c>
      <c r="B556" s="28" t="s">
        <v>29</v>
      </c>
      <c r="C556" s="31">
        <v>43175</v>
      </c>
      <c r="D556" s="28">
        <v>-8.8560352518477006E-3</v>
      </c>
      <c r="E556" s="28">
        <v>0.20351395</v>
      </c>
      <c r="F556" s="28">
        <v>-1.8023267164123452E-3</v>
      </c>
      <c r="G556" s="25">
        <f t="shared" si="4"/>
        <v>5.8406815546349564E-2</v>
      </c>
      <c r="H556" s="28">
        <v>1.12752051702288E-2</v>
      </c>
      <c r="I556" s="28">
        <v>-1.8035110948132138E-3</v>
      </c>
      <c r="J556" s="28">
        <v>-1.8046954732140825E-3</v>
      </c>
      <c r="K556" s="28">
        <v>-1.8058798516149511E-3</v>
      </c>
      <c r="L556" s="28">
        <v>-1.8070642300158199E-3</v>
      </c>
      <c r="M556" s="28">
        <v>-1.8082486084166885E-3</v>
      </c>
      <c r="N556" s="29">
        <v>-1.8094329868175573E-3</v>
      </c>
    </row>
    <row r="557" spans="1:14" x14ac:dyDescent="0.35">
      <c r="A557" s="24">
        <v>52</v>
      </c>
      <c r="B557" s="25" t="s">
        <v>29</v>
      </c>
      <c r="C557" s="30">
        <v>43178</v>
      </c>
      <c r="D557" s="25">
        <v>2.3104334618080001E-4</v>
      </c>
      <c r="E557" s="25">
        <v>0.30343172000000002</v>
      </c>
      <c r="F557" s="25">
        <v>7.0105879820273677E-5</v>
      </c>
      <c r="G557" s="25">
        <f t="shared" si="4"/>
        <v>5.8476921426169837E-2</v>
      </c>
      <c r="H557" s="25">
        <v>1.12655142059295E-2</v>
      </c>
      <c r="I557" s="25">
        <v>6.5908171143609585E-5</v>
      </c>
      <c r="J557" s="25">
        <v>6.1710462466945494E-5</v>
      </c>
      <c r="K557" s="25">
        <v>5.7512753790281402E-5</v>
      </c>
      <c r="L557" s="25">
        <v>5.331504511361731E-5</v>
      </c>
      <c r="M557" s="25">
        <v>4.9117336436953218E-5</v>
      </c>
      <c r="N557" s="26">
        <v>4.4919627760289126E-5</v>
      </c>
    </row>
    <row r="558" spans="1:14" x14ac:dyDescent="0.35">
      <c r="A558" s="27">
        <v>53</v>
      </c>
      <c r="B558" s="28" t="s">
        <v>29</v>
      </c>
      <c r="C558" s="31">
        <v>43179</v>
      </c>
      <c r="D558" s="28">
        <v>-1.6440298672391E-3</v>
      </c>
      <c r="E558" s="28">
        <v>0.16183882999999999</v>
      </c>
      <c r="F558" s="28">
        <v>-2.6606786940556407E-4</v>
      </c>
      <c r="G558" s="25">
        <f t="shared" si="4"/>
        <v>5.8210853556764273E-2</v>
      </c>
      <c r="H558" s="28">
        <v>1.10793226326515E-2</v>
      </c>
      <c r="I558" s="28">
        <v>-2.7189196096661939E-4</v>
      </c>
      <c r="J558" s="28">
        <v>-2.7771605252767476E-4</v>
      </c>
      <c r="K558" s="28">
        <v>-2.8354014408873008E-4</v>
      </c>
      <c r="L558" s="28">
        <v>-2.8936423564978545E-4</v>
      </c>
      <c r="M558" s="28">
        <v>-2.9518832721084077E-4</v>
      </c>
      <c r="N558" s="29">
        <v>-3.0101241877189609E-4</v>
      </c>
    </row>
    <row r="559" spans="1:14" x14ac:dyDescent="0.35">
      <c r="A559" s="24">
        <v>54</v>
      </c>
      <c r="B559" s="25" t="s">
        <v>29</v>
      </c>
      <c r="C559" s="30">
        <v>43180</v>
      </c>
      <c r="D559" s="25">
        <v>-2.39131219082943E-2</v>
      </c>
      <c r="E559" s="25">
        <v>0.21565165</v>
      </c>
      <c r="F559" s="25">
        <v>-5.1569041066547713E-3</v>
      </c>
      <c r="G559" s="25">
        <f t="shared" si="4"/>
        <v>5.3053949450109501E-2</v>
      </c>
      <c r="H559" s="25">
        <v>1.0902512103449301E-2</v>
      </c>
      <c r="I559" s="25">
        <v>-5.1593479829750641E-3</v>
      </c>
      <c r="J559" s="25">
        <v>-5.1617918592953569E-3</v>
      </c>
      <c r="K559" s="25">
        <v>-5.1642357356156497E-3</v>
      </c>
      <c r="L559" s="25">
        <v>-5.1666796119359424E-3</v>
      </c>
      <c r="M559" s="25">
        <v>-5.1691234882562352E-3</v>
      </c>
      <c r="N559" s="26">
        <v>-5.171567364576528E-3</v>
      </c>
    </row>
    <row r="560" spans="1:14" x14ac:dyDescent="0.35">
      <c r="A560" s="27">
        <v>55</v>
      </c>
      <c r="B560" s="28" t="s">
        <v>29</v>
      </c>
      <c r="C560" s="31">
        <v>43181</v>
      </c>
      <c r="D560" s="28">
        <v>-1.37640253337508E-2</v>
      </c>
      <c r="E560" s="28">
        <v>0.60164576999999997</v>
      </c>
      <c r="F560" s="28">
        <v>-8.2810675884119212E-3</v>
      </c>
      <c r="G560" s="25">
        <f t="shared" si="4"/>
        <v>4.4772881861697582E-2</v>
      </c>
      <c r="H560" s="28">
        <v>1.1817311435182699E-2</v>
      </c>
      <c r="I560" s="28">
        <v>-8.2957761907363793E-3</v>
      </c>
      <c r="J560" s="28">
        <v>-8.3104847930608391E-3</v>
      </c>
      <c r="K560" s="28">
        <v>-8.3251933953852972E-3</v>
      </c>
      <c r="L560" s="28">
        <v>-8.3399019977097571E-3</v>
      </c>
      <c r="M560" s="28">
        <v>-8.3546106000342152E-3</v>
      </c>
      <c r="N560" s="29">
        <v>-8.369319202358675E-3</v>
      </c>
    </row>
    <row r="561" spans="1:14" x14ac:dyDescent="0.35">
      <c r="A561" s="24">
        <v>56</v>
      </c>
      <c r="B561" s="25" t="s">
        <v>29</v>
      </c>
      <c r="C561" s="30">
        <v>43182</v>
      </c>
      <c r="D561" s="25">
        <v>1.8735612906383699E-2</v>
      </c>
      <c r="E561" s="25">
        <v>0.62190080000000003</v>
      </c>
      <c r="F561" s="25">
        <v>1.165169259670744E-2</v>
      </c>
      <c r="G561" s="25">
        <f t="shared" si="4"/>
        <v>5.642457445840502E-2</v>
      </c>
      <c r="H561" s="25">
        <v>1.1988440500211601E-2</v>
      </c>
      <c r="I561" s="25">
        <v>1.1651237717855732E-2</v>
      </c>
      <c r="J561" s="25">
        <v>1.1650782839004023E-2</v>
      </c>
      <c r="K561" s="25">
        <v>1.1650327960152314E-2</v>
      </c>
      <c r="L561" s="25">
        <v>1.1649873081300605E-2</v>
      </c>
      <c r="M561" s="25">
        <v>1.1649418202448896E-2</v>
      </c>
      <c r="N561" s="26">
        <v>1.1648963323597187E-2</v>
      </c>
    </row>
    <row r="562" spans="1:14" x14ac:dyDescent="0.35">
      <c r="A562" s="27">
        <v>57</v>
      </c>
      <c r="B562" s="28" t="s">
        <v>29</v>
      </c>
      <c r="C562" s="31">
        <v>43185</v>
      </c>
      <c r="D562" s="28">
        <v>-1.23120867977449E-2</v>
      </c>
      <c r="E562" s="28">
        <v>0.20988427000000001</v>
      </c>
      <c r="F562" s="28">
        <v>-2.5841133623493119E-3</v>
      </c>
      <c r="G562" s="25">
        <f t="shared" si="4"/>
        <v>5.3840461096055711E-2</v>
      </c>
      <c r="H562" s="28">
        <v>1.2625174307274001E-2</v>
      </c>
      <c r="I562" s="28">
        <v>-2.6007677861264013E-3</v>
      </c>
      <c r="J562" s="28">
        <v>-2.6174222099034907E-3</v>
      </c>
      <c r="K562" s="28">
        <v>-2.6340766336805802E-3</v>
      </c>
      <c r="L562" s="28">
        <v>-2.6507310574576696E-3</v>
      </c>
      <c r="M562" s="28">
        <v>-2.6673854812347591E-3</v>
      </c>
      <c r="N562" s="29">
        <v>-2.6840399050118485E-3</v>
      </c>
    </row>
    <row r="563" spans="1:14" x14ac:dyDescent="0.35">
      <c r="A563" s="24">
        <v>58</v>
      </c>
      <c r="B563" s="25" t="s">
        <v>29</v>
      </c>
      <c r="C563" s="30">
        <v>43186</v>
      </c>
      <c r="D563" s="25">
        <v>-2.3391319258694002E-3</v>
      </c>
      <c r="E563" s="25">
        <v>0.58947450000000001</v>
      </c>
      <c r="F563" s="25">
        <v>-1.3788586206245166E-3</v>
      </c>
      <c r="G563" s="25">
        <f t="shared" si="4"/>
        <v>5.2461602475431197E-2</v>
      </c>
      <c r="H563" s="25">
        <v>1.27407204491804E-2</v>
      </c>
      <c r="I563" s="25">
        <v>-1.3928634816090561E-3</v>
      </c>
      <c r="J563" s="25">
        <v>-1.4068683425935958E-3</v>
      </c>
      <c r="K563" s="25">
        <v>-1.4208732035781353E-3</v>
      </c>
      <c r="L563" s="25">
        <v>-1.4348780645626748E-3</v>
      </c>
      <c r="M563" s="25">
        <v>-1.4488829255472143E-3</v>
      </c>
      <c r="N563" s="26">
        <v>-1.462887786531754E-3</v>
      </c>
    </row>
    <row r="564" spans="1:14" x14ac:dyDescent="0.35">
      <c r="A564" s="27">
        <v>59</v>
      </c>
      <c r="B564" s="28" t="s">
        <v>29</v>
      </c>
      <c r="C564" s="31">
        <v>43187</v>
      </c>
      <c r="D564" s="28">
        <v>1.02623294029771E-2</v>
      </c>
      <c r="E564" s="28">
        <v>0.58266616000000004</v>
      </c>
      <c r="F564" s="28">
        <v>5.9795120523019486E-3</v>
      </c>
      <c r="G564" s="25">
        <f t="shared" si="4"/>
        <v>5.8441114527733144E-2</v>
      </c>
      <c r="H564" s="28">
        <v>1.2535713964019099E-2</v>
      </c>
      <c r="I564" s="28">
        <v>5.9794111712159282E-3</v>
      </c>
      <c r="J564" s="28">
        <v>5.9793102901299078E-3</v>
      </c>
      <c r="K564" s="28">
        <v>5.9792094090438874E-3</v>
      </c>
      <c r="L564" s="28">
        <v>5.9791085279578661E-3</v>
      </c>
      <c r="M564" s="28">
        <v>5.9790076468718457E-3</v>
      </c>
      <c r="N564" s="29">
        <v>5.9789067657858254E-3</v>
      </c>
    </row>
    <row r="565" spans="1:14" x14ac:dyDescent="0.35">
      <c r="A565" s="24">
        <v>60</v>
      </c>
      <c r="B565" s="25" t="s">
        <v>29</v>
      </c>
      <c r="C565" s="30">
        <v>43188</v>
      </c>
      <c r="D565" s="25">
        <v>-1.9279326973033899E-2</v>
      </c>
      <c r="E565" s="25">
        <v>0.48032466000000001</v>
      </c>
      <c r="F565" s="25">
        <v>-9.2603360918239886E-3</v>
      </c>
      <c r="G565" s="25">
        <f t="shared" si="4"/>
        <v>4.9180778435909157E-2</v>
      </c>
      <c r="H565" s="25">
        <v>1.26098775497044E-2</v>
      </c>
      <c r="I565" s="25">
        <v>-9.2642996873923238E-3</v>
      </c>
      <c r="J565" s="25">
        <v>-9.2682632829606589E-3</v>
      </c>
      <c r="K565" s="25">
        <v>-9.2722268785289941E-3</v>
      </c>
      <c r="L565" s="25">
        <v>-9.276190474097331E-3</v>
      </c>
      <c r="M565" s="25">
        <v>-9.2801540696656661E-3</v>
      </c>
      <c r="N565" s="26">
        <v>-9.2841176652340013E-3</v>
      </c>
    </row>
    <row r="566" spans="1:14" x14ac:dyDescent="0.35">
      <c r="A566" s="27">
        <v>61</v>
      </c>
      <c r="B566" s="28" t="s">
        <v>29</v>
      </c>
      <c r="C566" s="31">
        <v>43192</v>
      </c>
      <c r="D566" s="28">
        <v>1.06384601014652E-2</v>
      </c>
      <c r="E566" s="28">
        <v>0.67193539999999996</v>
      </c>
      <c r="F566" s="28">
        <v>7.1483577256284949E-3</v>
      </c>
      <c r="G566" s="25">
        <f t="shared" si="4"/>
        <v>5.6329136161537653E-2</v>
      </c>
      <c r="H566" s="28">
        <v>1.3193694556671199E-2</v>
      </c>
      <c r="I566" s="28">
        <v>7.1422926327903416E-3</v>
      </c>
      <c r="J566" s="28">
        <v>7.1362275399521891E-3</v>
      </c>
      <c r="K566" s="28">
        <v>7.1301624471140357E-3</v>
      </c>
      <c r="L566" s="28">
        <v>7.1240973542758832E-3</v>
      </c>
      <c r="M566" s="28">
        <v>7.1180322614377298E-3</v>
      </c>
      <c r="N566" s="29">
        <v>7.1119671685995773E-3</v>
      </c>
    </row>
    <row r="567" spans="1:14" x14ac:dyDescent="0.35">
      <c r="A567" s="24">
        <v>62</v>
      </c>
      <c r="B567" s="25" t="s">
        <v>29</v>
      </c>
      <c r="C567" s="30">
        <v>43193</v>
      </c>
      <c r="D567" s="25">
        <v>9.1735972081070996E-3</v>
      </c>
      <c r="E567" s="25">
        <v>0.60090440000000001</v>
      </c>
      <c r="F567" s="25">
        <v>5.5124549731208894E-3</v>
      </c>
      <c r="G567" s="25">
        <f t="shared" si="4"/>
        <v>6.1841591134658543E-2</v>
      </c>
      <c r="H567" s="25">
        <v>1.3302833010147499E-2</v>
      </c>
      <c r="I567" s="25">
        <v>5.5097348738467429E-3</v>
      </c>
      <c r="J567" s="25">
        <v>5.5070147745725963E-3</v>
      </c>
      <c r="K567" s="25">
        <v>5.5042946752984498E-3</v>
      </c>
      <c r="L567" s="25">
        <v>5.5015745760243033E-3</v>
      </c>
      <c r="M567" s="25">
        <v>5.4988544767501559E-3</v>
      </c>
      <c r="N567" s="26">
        <v>5.4961343774760094E-3</v>
      </c>
    </row>
    <row r="568" spans="1:14" x14ac:dyDescent="0.35">
      <c r="A568" s="27">
        <v>63</v>
      </c>
      <c r="B568" s="28" t="s">
        <v>29</v>
      </c>
      <c r="C568" s="31">
        <v>43194</v>
      </c>
      <c r="D568" s="28">
        <v>3.9537514241894996E-3</v>
      </c>
      <c r="E568" s="28">
        <v>0.57953460000000001</v>
      </c>
      <c r="F568" s="28">
        <v>2.2913357115454526E-3</v>
      </c>
      <c r="G568" s="25">
        <f t="shared" si="4"/>
        <v>6.4132926846203989E-2</v>
      </c>
      <c r="H568" s="28">
        <v>1.3317408032624E-2</v>
      </c>
      <c r="I568" s="28">
        <v>2.2905542280374784E-3</v>
      </c>
      <c r="J568" s="28">
        <v>2.2897727445295043E-3</v>
      </c>
      <c r="K568" s="28">
        <v>2.2889912610215305E-3</v>
      </c>
      <c r="L568" s="28">
        <v>2.2882097775135564E-3</v>
      </c>
      <c r="M568" s="28">
        <v>2.2874282940055822E-3</v>
      </c>
      <c r="N568" s="29">
        <v>2.2866468104976081E-3</v>
      </c>
    </row>
    <row r="569" spans="1:14" x14ac:dyDescent="0.35">
      <c r="A569" s="24">
        <v>64</v>
      </c>
      <c r="B569" s="25" t="s">
        <v>29</v>
      </c>
      <c r="C569" s="30">
        <v>43195</v>
      </c>
      <c r="D569" s="25">
        <v>-1.51264874162674E-2</v>
      </c>
      <c r="E569" s="25">
        <v>0.59560299999999999</v>
      </c>
      <c r="F569" s="25">
        <v>-9.0093811211763002E-3</v>
      </c>
      <c r="G569" s="25">
        <f t="shared" si="4"/>
        <v>5.5123545725027687E-2</v>
      </c>
      <c r="H569" s="25">
        <v>1.31423691736159E-2</v>
      </c>
      <c r="I569" s="25">
        <v>-9.0102325939535044E-3</v>
      </c>
      <c r="J569" s="25">
        <v>-9.0110840667307086E-3</v>
      </c>
      <c r="K569" s="25">
        <v>-9.011935539507911E-3</v>
      </c>
      <c r="L569" s="25">
        <v>-9.0127870122851152E-3</v>
      </c>
      <c r="M569" s="25">
        <v>-9.0136384850623193E-3</v>
      </c>
      <c r="N569" s="26">
        <v>-9.0144899578395235E-3</v>
      </c>
    </row>
    <row r="570" spans="1:14" x14ac:dyDescent="0.35">
      <c r="A570" s="27">
        <v>65</v>
      </c>
      <c r="B570" s="28" t="s">
        <v>29</v>
      </c>
      <c r="C570" s="31">
        <v>43196</v>
      </c>
      <c r="D570" s="28">
        <v>3.5718917845918999E-3</v>
      </c>
      <c r="E570" s="28">
        <v>0.67045900000000003</v>
      </c>
      <c r="F570" s="28">
        <v>2.3948068956146235E-3</v>
      </c>
      <c r="G570" s="25">
        <f t="shared" ref="G570:G633" si="5">G569+F570</f>
        <v>5.751835262064231E-2</v>
      </c>
      <c r="H570" s="28">
        <v>1.34516583258142E-2</v>
      </c>
      <c r="I570" s="28">
        <v>2.3926700698012524E-3</v>
      </c>
      <c r="J570" s="28">
        <v>2.3905332439878814E-3</v>
      </c>
      <c r="K570" s="28">
        <v>2.3883964181745103E-3</v>
      </c>
      <c r="L570" s="28">
        <v>2.3862595923611393E-3</v>
      </c>
      <c r="M570" s="28">
        <v>2.3841227665477682E-3</v>
      </c>
      <c r="N570" s="29">
        <v>2.3819859407343972E-3</v>
      </c>
    </row>
    <row r="571" spans="1:14" x14ac:dyDescent="0.35">
      <c r="A571" s="24">
        <v>66</v>
      </c>
      <c r="B571" s="25" t="s">
        <v>29</v>
      </c>
      <c r="C571" s="30">
        <v>43199</v>
      </c>
      <c r="D571" s="25">
        <v>9.7849920222504994E-3</v>
      </c>
      <c r="E571" s="25">
        <v>0.65767085999999997</v>
      </c>
      <c r="F571" s="25">
        <v>6.435304074550955E-3</v>
      </c>
      <c r="G571" s="25">
        <f t="shared" si="5"/>
        <v>6.3953656695193262E-2</v>
      </c>
      <c r="H571" s="25">
        <v>1.327386862792E-2</v>
      </c>
      <c r="I571" s="25">
        <v>6.4351643114023025E-3</v>
      </c>
      <c r="J571" s="25">
        <v>6.4350245482536509E-3</v>
      </c>
      <c r="K571" s="25">
        <v>6.4348847851049985E-3</v>
      </c>
      <c r="L571" s="25">
        <v>6.434745021956346E-3</v>
      </c>
      <c r="M571" s="25">
        <v>6.4346052588076944E-3</v>
      </c>
      <c r="N571" s="26">
        <v>6.4344654956590419E-3</v>
      </c>
    </row>
    <row r="572" spans="1:14" x14ac:dyDescent="0.35">
      <c r="A572" s="27">
        <v>67</v>
      </c>
      <c r="B572" s="28" t="s">
        <v>29</v>
      </c>
      <c r="C572" s="31">
        <v>43200</v>
      </c>
      <c r="D572" s="28">
        <v>-3.7428920408316998E-3</v>
      </c>
      <c r="E572" s="28">
        <v>0.61252169999999995</v>
      </c>
      <c r="F572" s="28">
        <v>-2.2926026257533579E-3</v>
      </c>
      <c r="G572" s="25">
        <f t="shared" si="5"/>
        <v>6.1661054069439905E-2</v>
      </c>
      <c r="H572" s="28">
        <v>1.3312119217859301E-2</v>
      </c>
      <c r="I572" s="28">
        <v>-2.2942722597742498E-3</v>
      </c>
      <c r="J572" s="28">
        <v>-2.2959418937951418E-3</v>
      </c>
      <c r="K572" s="28">
        <v>-2.2976115278160337E-3</v>
      </c>
      <c r="L572" s="28">
        <v>-2.2992811618369256E-3</v>
      </c>
      <c r="M572" s="28">
        <v>-2.3009507958578175E-3</v>
      </c>
      <c r="N572" s="29">
        <v>-2.3026204298787099E-3</v>
      </c>
    </row>
    <row r="573" spans="1:14" x14ac:dyDescent="0.35">
      <c r="A573" s="24">
        <v>68</v>
      </c>
      <c r="B573" s="25" t="s">
        <v>29</v>
      </c>
      <c r="C573" s="30">
        <v>43201</v>
      </c>
      <c r="D573" s="25">
        <v>6.2709177576815E-3</v>
      </c>
      <c r="E573" s="25">
        <v>0.62412409999999996</v>
      </c>
      <c r="F573" s="25">
        <v>3.9138309627972387E-3</v>
      </c>
      <c r="G573" s="25">
        <f t="shared" si="5"/>
        <v>6.5574885032237143E-2</v>
      </c>
      <c r="H573" s="25">
        <v>1.31225826987941E-2</v>
      </c>
      <c r="I573" s="25">
        <v>3.9130992540384974E-3</v>
      </c>
      <c r="J573" s="25">
        <v>3.9123675452797553E-3</v>
      </c>
      <c r="K573" s="25">
        <v>3.911635836521014E-3</v>
      </c>
      <c r="L573" s="25">
        <v>3.9109041277622719E-3</v>
      </c>
      <c r="M573" s="25">
        <v>3.9101724190035306E-3</v>
      </c>
      <c r="N573" s="26">
        <v>3.9094407102447885E-3</v>
      </c>
    </row>
    <row r="574" spans="1:14" x14ac:dyDescent="0.35">
      <c r="A574" s="27">
        <v>69</v>
      </c>
      <c r="B574" s="28" t="s">
        <v>29</v>
      </c>
      <c r="C574" s="31">
        <v>43202</v>
      </c>
      <c r="D574" s="28">
        <v>-1.8402507024344E-3</v>
      </c>
      <c r="E574" s="28">
        <v>0.59480107000000004</v>
      </c>
      <c r="F574" s="28">
        <v>-1.0945830837587915E-3</v>
      </c>
      <c r="G574" s="25">
        <f t="shared" si="5"/>
        <v>6.4480301948478355E-2</v>
      </c>
      <c r="H574" s="28">
        <v>1.30101872979897E-2</v>
      </c>
      <c r="I574" s="28">
        <v>-1.0954538041863153E-3</v>
      </c>
      <c r="J574" s="28">
        <v>-1.0963245246138392E-3</v>
      </c>
      <c r="K574" s="28">
        <v>-1.0971952450413631E-3</v>
      </c>
      <c r="L574" s="28">
        <v>-1.0980659654688872E-3</v>
      </c>
      <c r="M574" s="28">
        <v>-1.0989366858964111E-3</v>
      </c>
      <c r="N574" s="29">
        <v>-1.099807406323935E-3</v>
      </c>
    </row>
    <row r="575" spans="1:14" x14ac:dyDescent="0.35">
      <c r="A575" s="24">
        <v>70</v>
      </c>
      <c r="B575" s="25" t="s">
        <v>29</v>
      </c>
      <c r="C575" s="30">
        <v>43203</v>
      </c>
      <c r="D575" s="25">
        <v>6.8051580979965002E-3</v>
      </c>
      <c r="E575" s="25">
        <v>0.60136973999999999</v>
      </c>
      <c r="F575" s="25">
        <v>4.092416146379535E-3</v>
      </c>
      <c r="G575" s="25">
        <f t="shared" si="5"/>
        <v>6.857271809485789E-2</v>
      </c>
      <c r="H575" s="25">
        <v>1.28022539594254E-2</v>
      </c>
      <c r="I575" s="25">
        <v>4.0918229149509528E-3</v>
      </c>
      <c r="J575" s="25">
        <v>4.0912296835223707E-3</v>
      </c>
      <c r="K575" s="25">
        <v>4.0906364520937885E-3</v>
      </c>
      <c r="L575" s="25">
        <v>4.0900432206652064E-3</v>
      </c>
      <c r="M575" s="25">
        <v>4.0894499892366242E-3</v>
      </c>
      <c r="N575" s="26">
        <v>4.0888567578080421E-3</v>
      </c>
    </row>
    <row r="576" spans="1:14" x14ac:dyDescent="0.35">
      <c r="A576" s="27">
        <v>71</v>
      </c>
      <c r="B576" s="28" t="s">
        <v>29</v>
      </c>
      <c r="C576" s="31">
        <v>43206</v>
      </c>
      <c r="D576" s="28">
        <v>6.8641675544276999E-3</v>
      </c>
      <c r="E576" s="28">
        <v>0.57232890000000003</v>
      </c>
      <c r="F576" s="28">
        <v>3.9285616383567127E-3</v>
      </c>
      <c r="G576" s="25">
        <f t="shared" si="5"/>
        <v>7.2501279733214602E-2</v>
      </c>
      <c r="H576" s="28">
        <v>1.27045716402308E-2</v>
      </c>
      <c r="I576" s="28">
        <v>3.9276523112285137E-3</v>
      </c>
      <c r="J576" s="28">
        <v>3.9267429841003147E-3</v>
      </c>
      <c r="K576" s="28">
        <v>3.9258336569721157E-3</v>
      </c>
      <c r="L576" s="28">
        <v>3.9249243298439176E-3</v>
      </c>
      <c r="M576" s="28">
        <v>3.9240150027157186E-3</v>
      </c>
      <c r="N576" s="29">
        <v>3.9231056755875196E-3</v>
      </c>
    </row>
    <row r="577" spans="1:14" x14ac:dyDescent="0.35">
      <c r="A577" s="24">
        <v>72</v>
      </c>
      <c r="B577" s="25" t="s">
        <v>29</v>
      </c>
      <c r="C577" s="30">
        <v>43207</v>
      </c>
      <c r="D577" s="25">
        <v>9.0036713601890004E-4</v>
      </c>
      <c r="E577" s="25">
        <v>0.53442674999999995</v>
      </c>
      <c r="F577" s="25">
        <v>4.811802811862653E-4</v>
      </c>
      <c r="G577" s="25">
        <f t="shared" si="5"/>
        <v>7.2982460014400868E-2</v>
      </c>
      <c r="H577" s="25">
        <v>1.2602209167661201E-2</v>
      </c>
      <c r="I577" s="25">
        <v>4.7993220996614064E-4</v>
      </c>
      <c r="J577" s="25">
        <v>4.7868413874601592E-4</v>
      </c>
      <c r="K577" s="25">
        <v>4.7743606752589127E-4</v>
      </c>
      <c r="L577" s="25">
        <v>4.7618799630576655E-4</v>
      </c>
      <c r="M577" s="25">
        <v>4.7493992508564189E-4</v>
      </c>
      <c r="N577" s="26">
        <v>4.7369185386551723E-4</v>
      </c>
    </row>
    <row r="578" spans="1:14" x14ac:dyDescent="0.35">
      <c r="A578" s="27">
        <v>73</v>
      </c>
      <c r="B578" s="28" t="s">
        <v>29</v>
      </c>
      <c r="C578" s="31">
        <v>43208</v>
      </c>
      <c r="D578" s="28">
        <v>-4.712353152533E-3</v>
      </c>
      <c r="E578" s="28">
        <v>0.54768459999999997</v>
      </c>
      <c r="F578" s="28">
        <v>-2.5808832980088732E-3</v>
      </c>
      <c r="G578" s="25">
        <f t="shared" si="5"/>
        <v>7.0401576716391995E-2</v>
      </c>
      <c r="H578" s="28">
        <v>1.23947777892453E-2</v>
      </c>
      <c r="I578" s="28">
        <v>-2.58172395561929E-3</v>
      </c>
      <c r="J578" s="28">
        <v>-2.5825646132297065E-3</v>
      </c>
      <c r="K578" s="28">
        <v>-2.5834052708401233E-3</v>
      </c>
      <c r="L578" s="28">
        <v>-2.5842459284505402E-3</v>
      </c>
      <c r="M578" s="28">
        <v>-2.5850865860609566E-3</v>
      </c>
      <c r="N578" s="29">
        <v>-2.5859272436713735E-3</v>
      </c>
    </row>
    <row r="579" spans="1:14" x14ac:dyDescent="0.35">
      <c r="A579" s="24">
        <v>74</v>
      </c>
      <c r="B579" s="25" t="s">
        <v>29</v>
      </c>
      <c r="C579" s="30">
        <v>43209</v>
      </c>
      <c r="D579" s="25">
        <v>-6.1596962595937997E-3</v>
      </c>
      <c r="E579" s="25">
        <v>0.58803470000000002</v>
      </c>
      <c r="F579" s="25">
        <v>-3.6221150769713338E-3</v>
      </c>
      <c r="G579" s="25">
        <f t="shared" si="5"/>
        <v>6.6779461639420667E-2</v>
      </c>
      <c r="H579" s="25">
        <v>1.22471150584518E-2</v>
      </c>
      <c r="I579" s="25">
        <v>-3.6239233605947804E-3</v>
      </c>
      <c r="J579" s="25">
        <v>-3.625731644218227E-3</v>
      </c>
      <c r="K579" s="25">
        <v>-3.6275399278416741E-3</v>
      </c>
      <c r="L579" s="25">
        <v>-3.6293482114651207E-3</v>
      </c>
      <c r="M579" s="25">
        <v>-3.6311564950885673E-3</v>
      </c>
      <c r="N579" s="26">
        <v>-3.632964778712014E-3</v>
      </c>
    </row>
    <row r="580" spans="1:14" x14ac:dyDescent="0.35">
      <c r="A580" s="27">
        <v>75</v>
      </c>
      <c r="B580" s="28" t="s">
        <v>29</v>
      </c>
      <c r="C580" s="31">
        <v>43210</v>
      </c>
      <c r="D580" s="28">
        <v>-7.2875500085522847E-5</v>
      </c>
      <c r="E580" s="28">
        <v>0.61933786000000002</v>
      </c>
      <c r="F580" s="28">
        <v>-4.5134556033977737E-5</v>
      </c>
      <c r="G580" s="25">
        <f t="shared" si="5"/>
        <v>6.6734327083386696E-2</v>
      </c>
      <c r="H580" s="28">
        <v>1.2133728436629901E-2</v>
      </c>
      <c r="I580" s="28">
        <v>-4.6565400712970915E-5</v>
      </c>
      <c r="J580" s="28">
        <v>-4.7996245391964093E-5</v>
      </c>
      <c r="K580" s="28">
        <v>-4.9427090070957264E-5</v>
      </c>
      <c r="L580" s="28">
        <v>-5.0857934749950442E-5</v>
      </c>
      <c r="M580" s="28">
        <v>-5.2288779428943619E-5</v>
      </c>
      <c r="N580" s="29">
        <v>-5.3719624107936791E-5</v>
      </c>
    </row>
    <row r="581" spans="1:14" x14ac:dyDescent="0.35">
      <c r="A581" s="24">
        <v>76</v>
      </c>
      <c r="B581" s="25" t="s">
        <v>29</v>
      </c>
      <c r="C581" s="30">
        <v>43213</v>
      </c>
      <c r="D581" s="25">
        <v>-1.06714537475294E-2</v>
      </c>
      <c r="E581" s="25">
        <v>0.62719279999999999</v>
      </c>
      <c r="F581" s="25">
        <v>-6.6930589055783597E-3</v>
      </c>
      <c r="G581" s="25">
        <f t="shared" si="5"/>
        <v>6.0041268177808339E-2</v>
      </c>
      <c r="H581" s="25">
        <v>1.1933157367129001E-2</v>
      </c>
      <c r="I581" s="25">
        <v>-6.6937752260181668E-3</v>
      </c>
      <c r="J581" s="25">
        <v>-6.6944915464579738E-3</v>
      </c>
      <c r="K581" s="25">
        <v>-6.6952078668977818E-3</v>
      </c>
      <c r="L581" s="25">
        <v>-6.6959241873375888E-3</v>
      </c>
      <c r="M581" s="25">
        <v>-6.6966405077773959E-3</v>
      </c>
      <c r="N581" s="26">
        <v>-6.6973568282172029E-3</v>
      </c>
    </row>
    <row r="582" spans="1:14" x14ac:dyDescent="0.35">
      <c r="A582" s="27">
        <v>77</v>
      </c>
      <c r="B582" s="28" t="s">
        <v>29</v>
      </c>
      <c r="C582" s="31">
        <v>43214</v>
      </c>
      <c r="D582" s="28">
        <v>2.7685768220606999E-3</v>
      </c>
      <c r="E582" s="28">
        <v>0.64794432999999996</v>
      </c>
      <c r="F582" s="28">
        <v>1.7938836572604713E-3</v>
      </c>
      <c r="G582" s="25">
        <f t="shared" si="5"/>
        <v>6.1835151835068811E-2</v>
      </c>
      <c r="H582" s="28">
        <v>1.19799311092826E-2</v>
      </c>
      <c r="I582" s="28">
        <v>1.7931622243663671E-3</v>
      </c>
      <c r="J582" s="28">
        <v>1.7924407914722631E-3</v>
      </c>
      <c r="K582" s="28">
        <v>1.7917193585781589E-3</v>
      </c>
      <c r="L582" s="28">
        <v>1.7909979256840549E-3</v>
      </c>
      <c r="M582" s="28">
        <v>1.7902764927899507E-3</v>
      </c>
      <c r="N582" s="29">
        <v>1.7895550598958467E-3</v>
      </c>
    </row>
    <row r="583" spans="1:14" x14ac:dyDescent="0.35">
      <c r="A583" s="24">
        <v>78</v>
      </c>
      <c r="B583" s="25" t="s">
        <v>29</v>
      </c>
      <c r="C583" s="30">
        <v>43215</v>
      </c>
      <c r="D583" s="25">
        <v>9.0810376099922999E-3</v>
      </c>
      <c r="E583" s="25">
        <v>0.65714360000000005</v>
      </c>
      <c r="F583" s="25">
        <v>5.9675456816953125E-3</v>
      </c>
      <c r="G583" s="25">
        <f t="shared" si="5"/>
        <v>6.7802697516764127E-2</v>
      </c>
      <c r="H583" s="25">
        <v>1.18041086337208E-2</v>
      </c>
      <c r="I583" s="25">
        <v>5.9667968687380597E-3</v>
      </c>
      <c r="J583" s="25">
        <v>5.9660480557808078E-3</v>
      </c>
      <c r="K583" s="25">
        <v>5.965299242823555E-3</v>
      </c>
      <c r="L583" s="25">
        <v>5.964550429866303E-3</v>
      </c>
      <c r="M583" s="25">
        <v>5.9638016169090502E-3</v>
      </c>
      <c r="N583" s="26">
        <v>5.9630528039517983E-3</v>
      </c>
    </row>
    <row r="584" spans="1:14" x14ac:dyDescent="0.35">
      <c r="A584" s="27">
        <v>79</v>
      </c>
      <c r="B584" s="28" t="s">
        <v>29</v>
      </c>
      <c r="C584" s="31">
        <v>43216</v>
      </c>
      <c r="D584" s="28">
        <v>-8.9833526921730003E-4</v>
      </c>
      <c r="E584" s="28">
        <v>0.62818103999999997</v>
      </c>
      <c r="F584" s="28">
        <v>-5.643171839434418E-4</v>
      </c>
      <c r="G584" s="25">
        <f t="shared" si="5"/>
        <v>6.7238380332820688E-2</v>
      </c>
      <c r="H584" s="28">
        <v>1.17986193614124E-2</v>
      </c>
      <c r="I584" s="28">
        <v>-5.6546470465148745E-4</v>
      </c>
      <c r="J584" s="28">
        <v>-5.666122253595332E-4</v>
      </c>
      <c r="K584" s="28">
        <v>-5.6775974606757885E-4</v>
      </c>
      <c r="L584" s="28">
        <v>-5.689072667756246E-4</v>
      </c>
      <c r="M584" s="28">
        <v>-5.7005478748367025E-4</v>
      </c>
      <c r="N584" s="29">
        <v>-5.71202308191716E-4</v>
      </c>
    </row>
    <row r="585" spans="1:14" x14ac:dyDescent="0.35">
      <c r="A585" s="24">
        <v>80</v>
      </c>
      <c r="B585" s="25" t="s">
        <v>29</v>
      </c>
      <c r="C585" s="30">
        <v>43217</v>
      </c>
      <c r="D585" s="25">
        <v>-7.4669724469572001E-3</v>
      </c>
      <c r="E585" s="25">
        <v>0.63863426000000001</v>
      </c>
      <c r="F585" s="25">
        <v>-4.7686644564738966E-3</v>
      </c>
      <c r="G585" s="25">
        <f t="shared" si="5"/>
        <v>6.2469715876346789E-2</v>
      </c>
      <c r="H585" s="25">
        <v>1.1605326031704799E-2</v>
      </c>
      <c r="I585" s="25">
        <v>-4.7695089728799836E-3</v>
      </c>
      <c r="J585" s="25">
        <v>-4.7703534892860706E-3</v>
      </c>
      <c r="K585" s="25">
        <v>-4.7711980056921576E-3</v>
      </c>
      <c r="L585" s="25">
        <v>-4.7720425220982455E-3</v>
      </c>
      <c r="M585" s="25">
        <v>-4.7728870385043325E-3</v>
      </c>
      <c r="N585" s="26">
        <v>-4.7737315549104195E-3</v>
      </c>
    </row>
    <row r="586" spans="1:14" x14ac:dyDescent="0.35">
      <c r="A586" s="27">
        <v>81</v>
      </c>
      <c r="B586" s="28" t="s">
        <v>29</v>
      </c>
      <c r="C586" s="31">
        <v>43220</v>
      </c>
      <c r="D586" s="28">
        <v>1.6253295484168E-3</v>
      </c>
      <c r="E586" s="28">
        <v>0.66456079999999995</v>
      </c>
      <c r="F586" s="28">
        <v>1.0801302965570774E-3</v>
      </c>
      <c r="G586" s="25">
        <f t="shared" si="5"/>
        <v>6.3549846172903865E-2</v>
      </c>
      <c r="H586" s="28">
        <v>1.1530680003780399E-2</v>
      </c>
      <c r="I586" s="28">
        <v>1.0788996793716038E-3</v>
      </c>
      <c r="J586" s="28">
        <v>1.0776690621861304E-3</v>
      </c>
      <c r="K586" s="28">
        <v>1.0764384450006569E-3</v>
      </c>
      <c r="L586" s="28">
        <v>1.0752078278151833E-3</v>
      </c>
      <c r="M586" s="28">
        <v>1.0739772106297097E-3</v>
      </c>
      <c r="N586" s="29">
        <v>1.0727465934442363E-3</v>
      </c>
    </row>
    <row r="587" spans="1:14" x14ac:dyDescent="0.35">
      <c r="A587" s="24">
        <v>82</v>
      </c>
      <c r="B587" s="25" t="s">
        <v>29</v>
      </c>
      <c r="C587" s="30">
        <v>43221</v>
      </c>
      <c r="D587" s="25">
        <v>-7.7703785179241997E-3</v>
      </c>
      <c r="E587" s="25">
        <v>0.66874929999999999</v>
      </c>
      <c r="F587" s="25">
        <v>-5.1964349834238621E-3</v>
      </c>
      <c r="G587" s="25">
        <f t="shared" si="5"/>
        <v>5.8353411189480002E-2</v>
      </c>
      <c r="H587" s="25">
        <v>1.13477447585798E-2</v>
      </c>
      <c r="I587" s="25">
        <v>-5.1970483311697506E-3</v>
      </c>
      <c r="J587" s="25">
        <v>-5.1976616789156391E-3</v>
      </c>
      <c r="K587" s="25">
        <v>-5.1982750266615276E-3</v>
      </c>
      <c r="L587" s="25">
        <v>-5.1988883744074161E-3</v>
      </c>
      <c r="M587" s="25">
        <v>-5.1995017221533038E-3</v>
      </c>
      <c r="N587" s="26">
        <v>-5.2001150698991923E-3</v>
      </c>
    </row>
    <row r="588" spans="1:14" x14ac:dyDescent="0.35">
      <c r="A588" s="27">
        <v>83</v>
      </c>
      <c r="B588" s="28" t="s">
        <v>29</v>
      </c>
      <c r="C588" s="31">
        <v>43222</v>
      </c>
      <c r="D588" s="28">
        <v>1.3551614860129E-3</v>
      </c>
      <c r="E588" s="28">
        <v>0.68552900000000005</v>
      </c>
      <c r="F588" s="28">
        <v>9.2900248968080367E-4</v>
      </c>
      <c r="G588" s="25">
        <f t="shared" si="5"/>
        <v>5.9282413679160803E-2</v>
      </c>
      <c r="H588" s="28">
        <v>1.1278364950965999E-2</v>
      </c>
      <c r="I588" s="28">
        <v>9.2812830268584434E-4</v>
      </c>
      <c r="J588" s="28">
        <v>9.272541156908849E-4</v>
      </c>
      <c r="K588" s="28">
        <v>9.2637992869592557E-4</v>
      </c>
      <c r="L588" s="28">
        <v>9.2550574170096624E-4</v>
      </c>
      <c r="M588" s="28">
        <v>9.2463155470600691E-4</v>
      </c>
      <c r="N588" s="29">
        <v>9.2375736771104747E-4</v>
      </c>
    </row>
    <row r="589" spans="1:14" x14ac:dyDescent="0.35">
      <c r="A589" s="24">
        <v>84</v>
      </c>
      <c r="B589" s="25" t="s">
        <v>29</v>
      </c>
      <c r="C589" s="30">
        <v>43223</v>
      </c>
      <c r="D589" s="25">
        <v>1.0109259348010199E-2</v>
      </c>
      <c r="E589" s="25">
        <v>0.69329584</v>
      </c>
      <c r="F589" s="25">
        <v>7.0087074155552615E-3</v>
      </c>
      <c r="G589" s="25">
        <f t="shared" si="5"/>
        <v>6.6291121094716063E-2</v>
      </c>
      <c r="H589" s="25">
        <v>1.1098825937981E-2</v>
      </c>
      <c r="I589" s="25">
        <v>7.0079122571514475E-3</v>
      </c>
      <c r="J589" s="25">
        <v>7.0071170987476335E-3</v>
      </c>
      <c r="K589" s="25">
        <v>7.0063219403438196E-3</v>
      </c>
      <c r="L589" s="25">
        <v>7.0055267819400056E-3</v>
      </c>
      <c r="M589" s="25">
        <v>7.0047316235361916E-3</v>
      </c>
      <c r="N589" s="26">
        <v>7.0039364651323785E-3</v>
      </c>
    </row>
    <row r="590" spans="1:14" x14ac:dyDescent="0.35">
      <c r="A590" s="27">
        <v>85</v>
      </c>
      <c r="B590" s="28" t="s">
        <v>29</v>
      </c>
      <c r="C590" s="31">
        <v>43224</v>
      </c>
      <c r="D590" s="28">
        <v>2.2298558726978998E-3</v>
      </c>
      <c r="E590" s="28">
        <v>0.65848386000000003</v>
      </c>
      <c r="F590" s="28">
        <v>1.4683241087128365E-3</v>
      </c>
      <c r="G590" s="25">
        <f t="shared" si="5"/>
        <v>6.77594452034289E-2</v>
      </c>
      <c r="H590" s="28">
        <v>1.1138868297640801E-2</v>
      </c>
      <c r="I590" s="28">
        <v>1.4667414669435504E-3</v>
      </c>
      <c r="J590" s="28">
        <v>1.465158825174264E-3</v>
      </c>
      <c r="K590" s="28">
        <v>1.4635761834049779E-3</v>
      </c>
      <c r="L590" s="28">
        <v>1.4619935416356918E-3</v>
      </c>
      <c r="M590" s="28">
        <v>1.4604108998664054E-3</v>
      </c>
      <c r="N590" s="29">
        <v>1.4588282580971193E-3</v>
      </c>
    </row>
    <row r="591" spans="1:14" x14ac:dyDescent="0.35">
      <c r="A591" s="24">
        <v>86</v>
      </c>
      <c r="B591" s="25" t="s">
        <v>29</v>
      </c>
      <c r="C591" s="30">
        <v>43227</v>
      </c>
      <c r="D591" s="25">
        <v>8.0684245258474786E-5</v>
      </c>
      <c r="E591" s="25">
        <v>0.63908489999999996</v>
      </c>
      <c r="F591" s="25">
        <v>5.1564080842572955E-5</v>
      </c>
      <c r="G591" s="25">
        <f t="shared" si="5"/>
        <v>6.7811009284271473E-2</v>
      </c>
      <c r="H591" s="25">
        <v>1.0965564533797101E-2</v>
      </c>
      <c r="I591" s="25">
        <v>5.1169678313573114E-5</v>
      </c>
      <c r="J591" s="25">
        <v>5.0775275784573266E-5</v>
      </c>
      <c r="K591" s="25">
        <v>5.0380873255573425E-5</v>
      </c>
      <c r="L591" s="25">
        <v>4.9986470726573584E-5</v>
      </c>
      <c r="M591" s="25">
        <v>4.9592068197573737E-5</v>
      </c>
      <c r="N591" s="26">
        <v>4.9197665668573896E-5</v>
      </c>
    </row>
    <row r="592" spans="1:14" x14ac:dyDescent="0.35">
      <c r="A592" s="27">
        <v>87</v>
      </c>
      <c r="B592" s="28" t="s">
        <v>29</v>
      </c>
      <c r="C592" s="31">
        <v>43228</v>
      </c>
      <c r="D592" s="28">
        <v>8.4493586544506002E-3</v>
      </c>
      <c r="E592" s="28">
        <v>0.65084589999999998</v>
      </c>
      <c r="F592" s="28">
        <v>5.4992303134770455E-3</v>
      </c>
      <c r="G592" s="25">
        <f t="shared" si="5"/>
        <v>7.3310239597748517E-2</v>
      </c>
      <c r="H592" s="28">
        <v>1.07843147106739E-2</v>
      </c>
      <c r="I592" s="28">
        <v>5.4982522912589791E-3</v>
      </c>
      <c r="J592" s="28">
        <v>5.4972742690409136E-3</v>
      </c>
      <c r="K592" s="28">
        <v>5.4962962468228472E-3</v>
      </c>
      <c r="L592" s="28">
        <v>5.4953182246047809E-3</v>
      </c>
      <c r="M592" s="28">
        <v>5.4943402023867154E-3</v>
      </c>
      <c r="N592" s="29">
        <v>5.493362180168649E-3</v>
      </c>
    </row>
    <row r="593" spans="1:14" x14ac:dyDescent="0.35">
      <c r="A593" s="24">
        <v>88</v>
      </c>
      <c r="B593" s="25" t="s">
        <v>29</v>
      </c>
      <c r="C593" s="30">
        <v>43229</v>
      </c>
      <c r="D593" s="25">
        <v>7.4198492102307001E-3</v>
      </c>
      <c r="E593" s="25">
        <v>0.6058135</v>
      </c>
      <c r="F593" s="25">
        <v>4.49504484375073E-3</v>
      </c>
      <c r="G593" s="25">
        <f t="shared" si="5"/>
        <v>7.7805284441499242E-2</v>
      </c>
      <c r="H593" s="25">
        <v>1.0746261942093599E-2</v>
      </c>
      <c r="I593" s="25">
        <v>4.4931659762610559E-3</v>
      </c>
      <c r="J593" s="25">
        <v>4.4912871087713826E-3</v>
      </c>
      <c r="K593" s="25">
        <v>4.4894082412817084E-3</v>
      </c>
      <c r="L593" s="25">
        <v>4.4875293737920343E-3</v>
      </c>
      <c r="M593" s="25">
        <v>4.485650506302361E-3</v>
      </c>
      <c r="N593" s="26">
        <v>4.4837716388126869E-3</v>
      </c>
    </row>
    <row r="594" spans="1:14" x14ac:dyDescent="0.35">
      <c r="A594" s="27">
        <v>89</v>
      </c>
      <c r="B594" s="28" t="s">
        <v>29</v>
      </c>
      <c r="C594" s="31">
        <v>43230</v>
      </c>
      <c r="D594" s="28">
        <v>3.5020504072603999E-3</v>
      </c>
      <c r="E594" s="28">
        <v>0.55528429999999995</v>
      </c>
      <c r="F594" s="28">
        <v>1.9446336835824724E-3</v>
      </c>
      <c r="G594" s="25">
        <f t="shared" si="5"/>
        <v>7.9749918125081712E-2</v>
      </c>
      <c r="H594" s="28">
        <v>1.0668608681492799E-2</v>
      </c>
      <c r="I594" s="28">
        <v>1.9425898788335578E-3</v>
      </c>
      <c r="J594" s="28">
        <v>1.9405460740846432E-3</v>
      </c>
      <c r="K594" s="28">
        <v>1.9385022693357286E-3</v>
      </c>
      <c r="L594" s="28">
        <v>1.936458464586814E-3</v>
      </c>
      <c r="M594" s="28">
        <v>1.9344146598378993E-3</v>
      </c>
      <c r="N594" s="29">
        <v>1.9323708550889847E-3</v>
      </c>
    </row>
    <row r="595" spans="1:14" x14ac:dyDescent="0.35">
      <c r="A595" s="24">
        <v>90</v>
      </c>
      <c r="B595" s="25" t="s">
        <v>29</v>
      </c>
      <c r="C595" s="30">
        <v>43231</v>
      </c>
      <c r="D595" s="25">
        <v>4.9409636729929999E-4</v>
      </c>
      <c r="E595" s="25">
        <v>0.53488270000000004</v>
      </c>
      <c r="F595" s="25">
        <v>2.6428361100043371E-4</v>
      </c>
      <c r="G595" s="25">
        <f t="shared" si="5"/>
        <v>8.0014201736082147E-2</v>
      </c>
      <c r="H595" s="25">
        <v>1.0509631490488501E-2</v>
      </c>
      <c r="I595" s="25">
        <v>2.6373844447830319E-4</v>
      </c>
      <c r="J595" s="25">
        <v>2.6319327795617267E-4</v>
      </c>
      <c r="K595" s="25">
        <v>2.6264811143404215E-4</v>
      </c>
      <c r="L595" s="25">
        <v>2.6210294491191163E-4</v>
      </c>
      <c r="M595" s="25">
        <v>2.6155777838978111E-4</v>
      </c>
      <c r="N595" s="26">
        <v>2.610126118676506E-4</v>
      </c>
    </row>
    <row r="596" spans="1:14" x14ac:dyDescent="0.35">
      <c r="A596" s="27">
        <v>91</v>
      </c>
      <c r="B596" s="28" t="s">
        <v>29</v>
      </c>
      <c r="C596" s="31">
        <v>43234</v>
      </c>
      <c r="D596" s="28">
        <v>-7.3644768308291997E-3</v>
      </c>
      <c r="E596" s="28">
        <v>0.54412990000000006</v>
      </c>
      <c r="F596" s="28">
        <v>-4.0072321010522424E-3</v>
      </c>
      <c r="G596" s="25">
        <f t="shared" si="5"/>
        <v>7.6006969635029897E-2</v>
      </c>
      <c r="H596" s="28">
        <v>1.03359421318556E-2</v>
      </c>
      <c r="I596" s="28">
        <v>-4.0080588573484623E-3</v>
      </c>
      <c r="J596" s="28">
        <v>-4.0088856136446813E-3</v>
      </c>
      <c r="K596" s="28">
        <v>-4.0097123699409012E-3</v>
      </c>
      <c r="L596" s="28">
        <v>-4.010539126237121E-3</v>
      </c>
      <c r="M596" s="28">
        <v>-4.0113658825333409E-3</v>
      </c>
      <c r="N596" s="29">
        <v>-4.0121926388295599E-3</v>
      </c>
    </row>
    <row r="597" spans="1:14" x14ac:dyDescent="0.35">
      <c r="A597" s="24">
        <v>92</v>
      </c>
      <c r="B597" s="25" t="s">
        <v>29</v>
      </c>
      <c r="C597" s="30">
        <v>43235</v>
      </c>
      <c r="D597" s="25">
        <v>4.7475517635802E-3</v>
      </c>
      <c r="E597" s="25">
        <v>0.59754896000000002</v>
      </c>
      <c r="F597" s="25">
        <v>2.836894626656671E-3</v>
      </c>
      <c r="G597" s="25">
        <f t="shared" si="5"/>
        <v>7.8843864261686575E-2</v>
      </c>
      <c r="H597" s="25">
        <v>1.02858529371803E-2</v>
      </c>
      <c r="I597" s="25">
        <v>2.8343198312947458E-3</v>
      </c>
      <c r="J597" s="25">
        <v>2.8317450359328202E-3</v>
      </c>
      <c r="K597" s="25">
        <v>2.829170240570895E-3</v>
      </c>
      <c r="L597" s="25">
        <v>2.8265954452089698E-3</v>
      </c>
      <c r="M597" s="25">
        <v>2.8240206498470447E-3</v>
      </c>
      <c r="N597" s="26">
        <v>2.8214458544851191E-3</v>
      </c>
    </row>
    <row r="598" spans="1:14" x14ac:dyDescent="0.35">
      <c r="A598" s="27">
        <v>93</v>
      </c>
      <c r="B598" s="28" t="s">
        <v>29</v>
      </c>
      <c r="C598" s="31">
        <v>43236</v>
      </c>
      <c r="D598" s="28">
        <v>-1.4527344513570999E-3</v>
      </c>
      <c r="E598" s="28">
        <v>0.51406870000000005</v>
      </c>
      <c r="F598" s="28">
        <v>-7.4680534386762385E-4</v>
      </c>
      <c r="G598" s="25">
        <f t="shared" si="5"/>
        <v>7.8097058917818957E-2</v>
      </c>
      <c r="H598" s="28">
        <v>1.01518698538256E-2</v>
      </c>
      <c r="I598" s="28">
        <v>-7.5032817006673107E-4</v>
      </c>
      <c r="J598" s="28">
        <v>-7.538509962658383E-4</v>
      </c>
      <c r="K598" s="28">
        <v>-7.5737382246494564E-4</v>
      </c>
      <c r="L598" s="28">
        <v>-7.6089664866405286E-4</v>
      </c>
      <c r="M598" s="28">
        <v>-7.6441947486316009E-4</v>
      </c>
      <c r="N598" s="29">
        <v>-7.6794230106226732E-4</v>
      </c>
    </row>
    <row r="599" spans="1:14" x14ac:dyDescent="0.35">
      <c r="A599" s="24">
        <v>94</v>
      </c>
      <c r="B599" s="25" t="s">
        <v>29</v>
      </c>
      <c r="C599" s="30">
        <v>43237</v>
      </c>
      <c r="D599" s="25">
        <v>-2.0001626186119999E-3</v>
      </c>
      <c r="E599" s="25">
        <v>0.51796454000000003</v>
      </c>
      <c r="F599" s="25">
        <v>-1.0360133144990287E-3</v>
      </c>
      <c r="G599" s="25">
        <f t="shared" si="5"/>
        <v>7.706104560331993E-2</v>
      </c>
      <c r="H599" s="25">
        <v>9.9913518390952992E-3</v>
      </c>
      <c r="I599" s="25">
        <v>-1.0365818912886034E-3</v>
      </c>
      <c r="J599" s="25">
        <v>-1.0371504680781784E-3</v>
      </c>
      <c r="K599" s="25">
        <v>-1.0377190448677531E-3</v>
      </c>
      <c r="L599" s="25">
        <v>-1.038287621657328E-3</v>
      </c>
      <c r="M599" s="25">
        <v>-1.0388561984469027E-3</v>
      </c>
      <c r="N599" s="26">
        <v>-1.0394247752364776E-3</v>
      </c>
    </row>
    <row r="600" spans="1:14" x14ac:dyDescent="0.35">
      <c r="A600" s="27">
        <v>95</v>
      </c>
      <c r="B600" s="28" t="s">
        <v>29</v>
      </c>
      <c r="C600" s="31">
        <v>43238</v>
      </c>
      <c r="D600" s="28">
        <v>7.0809640208942997E-3</v>
      </c>
      <c r="E600" s="28">
        <v>0.52131899999999998</v>
      </c>
      <c r="F600" s="28">
        <v>3.6914408849258074E-3</v>
      </c>
      <c r="G600" s="25">
        <f t="shared" si="5"/>
        <v>8.0752486488245734E-2</v>
      </c>
      <c r="H600" s="28">
        <v>9.8373653933695997E-3</v>
      </c>
      <c r="I600" s="28">
        <v>3.6908963922313602E-3</v>
      </c>
      <c r="J600" s="28">
        <v>3.690351899536913E-3</v>
      </c>
      <c r="K600" s="28">
        <v>3.6898074068424658E-3</v>
      </c>
      <c r="L600" s="28">
        <v>3.6892629141480186E-3</v>
      </c>
      <c r="M600" s="28">
        <v>3.6887184214535714E-3</v>
      </c>
      <c r="N600" s="29">
        <v>3.6881739287591242E-3</v>
      </c>
    </row>
    <row r="601" spans="1:14" x14ac:dyDescent="0.35">
      <c r="A601" s="24">
        <v>96</v>
      </c>
      <c r="B601" s="25" t="s">
        <v>29</v>
      </c>
      <c r="C601" s="30">
        <v>43241</v>
      </c>
      <c r="D601" s="25">
        <v>-2.4809190415201001E-3</v>
      </c>
      <c r="E601" s="25">
        <v>0.4494264</v>
      </c>
      <c r="F601" s="25">
        <v>-1.1149905447377386E-3</v>
      </c>
      <c r="G601" s="25">
        <f t="shared" si="5"/>
        <v>7.9637495943507997E-2</v>
      </c>
      <c r="H601" s="25">
        <v>9.7552140815609003E-3</v>
      </c>
      <c r="I601" s="25">
        <v>-1.118261535690119E-3</v>
      </c>
      <c r="J601" s="25">
        <v>-1.1215325266424993E-3</v>
      </c>
      <c r="K601" s="25">
        <v>-1.1248035175948795E-3</v>
      </c>
      <c r="L601" s="25">
        <v>-1.1280745085472598E-3</v>
      </c>
      <c r="M601" s="25">
        <v>-1.1313454994996402E-3</v>
      </c>
      <c r="N601" s="26">
        <v>-1.1346164904520205E-3</v>
      </c>
    </row>
    <row r="602" spans="1:14" x14ac:dyDescent="0.35">
      <c r="A602" s="27">
        <v>97</v>
      </c>
      <c r="B602" s="28" t="s">
        <v>29</v>
      </c>
      <c r="C602" s="31">
        <v>43242</v>
      </c>
      <c r="D602" s="28">
        <v>1.7131038327712999E-3</v>
      </c>
      <c r="E602" s="28">
        <v>0.49667093000000001</v>
      </c>
      <c r="F602" s="28">
        <v>8.5084887651181991E-4</v>
      </c>
      <c r="G602" s="25">
        <f t="shared" si="5"/>
        <v>8.0488344820019819E-2</v>
      </c>
      <c r="H602" s="28">
        <v>9.6111434662849993E-3</v>
      </c>
      <c r="I602" s="28">
        <v>8.4820019968928542E-4</v>
      </c>
      <c r="J602" s="28">
        <v>8.4555152286675092E-4</v>
      </c>
      <c r="K602" s="28">
        <v>8.4290284604421643E-4</v>
      </c>
      <c r="L602" s="28">
        <v>8.4025416922168194E-4</v>
      </c>
      <c r="M602" s="28">
        <v>8.3760549239914744E-4</v>
      </c>
      <c r="N602" s="29">
        <v>8.3495681557661306E-4</v>
      </c>
    </row>
    <row r="603" spans="1:14" x14ac:dyDescent="0.35">
      <c r="A603" s="24">
        <v>98</v>
      </c>
      <c r="B603" s="25" t="s">
        <v>29</v>
      </c>
      <c r="C603" s="30">
        <v>43243</v>
      </c>
      <c r="D603" s="25">
        <v>-1.1894373943018999E-3</v>
      </c>
      <c r="E603" s="25">
        <v>0.49250817000000002</v>
      </c>
      <c r="F603" s="25">
        <v>-5.858076379522966E-4</v>
      </c>
      <c r="G603" s="25">
        <f t="shared" si="5"/>
        <v>7.9902537182067523E-2</v>
      </c>
      <c r="H603" s="25">
        <v>9.4547667518002001E-3</v>
      </c>
      <c r="I603" s="25">
        <v>-5.8600343447025543E-4</v>
      </c>
      <c r="J603" s="25">
        <v>-5.8619923098821415E-4</v>
      </c>
      <c r="K603" s="25">
        <v>-5.8639502750617298E-4</v>
      </c>
      <c r="L603" s="25">
        <v>-5.865908240241317E-4</v>
      </c>
      <c r="M603" s="25">
        <v>-5.8678662054209053E-4</v>
      </c>
      <c r="N603" s="26">
        <v>-5.8698241706004936E-4</v>
      </c>
    </row>
    <row r="604" spans="1:14" x14ac:dyDescent="0.35">
      <c r="A604" s="27">
        <v>99</v>
      </c>
      <c r="B604" s="28" t="s">
        <v>29</v>
      </c>
      <c r="C604" s="31">
        <v>43244</v>
      </c>
      <c r="D604" s="28">
        <v>-3.4443285996206999E-3</v>
      </c>
      <c r="E604" s="28">
        <v>0.51972960000000001</v>
      </c>
      <c r="F604" s="28">
        <v>-1.7901195744580178E-3</v>
      </c>
      <c r="G604" s="25">
        <f t="shared" si="5"/>
        <v>7.8112417607609508E-2</v>
      </c>
      <c r="H604" s="28">
        <v>9.3038646622860995E-3</v>
      </c>
      <c r="I604" s="28">
        <v>-1.7919010626980523E-3</v>
      </c>
      <c r="J604" s="28">
        <v>-1.7936825509380866E-3</v>
      </c>
      <c r="K604" s="28">
        <v>-1.7954640391781211E-3</v>
      </c>
      <c r="L604" s="28">
        <v>-1.7972455274181554E-3</v>
      </c>
      <c r="M604" s="28">
        <v>-1.7990270156581899E-3</v>
      </c>
      <c r="N604" s="29">
        <v>-1.8008085038982245E-3</v>
      </c>
    </row>
    <row r="605" spans="1:14" x14ac:dyDescent="0.35">
      <c r="A605" s="24">
        <v>100</v>
      </c>
      <c r="B605" s="25" t="s">
        <v>29</v>
      </c>
      <c r="C605" s="30">
        <v>43245</v>
      </c>
      <c r="D605" s="25">
        <v>-9.8486809080964004E-3</v>
      </c>
      <c r="E605" s="25">
        <v>0.54805610000000005</v>
      </c>
      <c r="F605" s="25">
        <v>-5.3976299011645103E-3</v>
      </c>
      <c r="G605" s="25">
        <f t="shared" si="5"/>
        <v>7.2714787706445003E-2</v>
      </c>
      <c r="H605" s="25">
        <v>9.1769184661400997E-3</v>
      </c>
      <c r="I605" s="25">
        <v>-5.399453324177161E-3</v>
      </c>
      <c r="J605" s="25">
        <v>-5.4012767471898109E-3</v>
      </c>
      <c r="K605" s="25">
        <v>-5.4031001702024616E-3</v>
      </c>
      <c r="L605" s="25">
        <v>-5.4049235932151123E-3</v>
      </c>
      <c r="M605" s="25">
        <v>-5.4067470162277621E-3</v>
      </c>
      <c r="N605" s="26">
        <v>-5.4085704392404128E-3</v>
      </c>
    </row>
    <row r="606" spans="1:14" x14ac:dyDescent="0.35">
      <c r="A606" s="27">
        <v>101</v>
      </c>
      <c r="B606" s="28" t="s">
        <v>29</v>
      </c>
      <c r="C606" s="31">
        <v>43249</v>
      </c>
      <c r="D606" s="28">
        <v>1.23025710857456E-2</v>
      </c>
      <c r="E606" s="28">
        <v>0.61238289999999995</v>
      </c>
      <c r="F606" s="28">
        <v>7.5338840210817546E-3</v>
      </c>
      <c r="G606" s="25">
        <f t="shared" si="5"/>
        <v>8.0248671727526755E-2</v>
      </c>
      <c r="H606" s="28">
        <v>9.2004578255141002E-3</v>
      </c>
      <c r="I606" s="28">
        <v>7.5306529489201669E-3</v>
      </c>
      <c r="J606" s="28">
        <v>7.5274218767585784E-3</v>
      </c>
      <c r="K606" s="28">
        <v>7.5241908045969906E-3</v>
      </c>
      <c r="L606" s="28">
        <v>7.5209597324354021E-3</v>
      </c>
      <c r="M606" s="28">
        <v>7.5177286602738144E-3</v>
      </c>
      <c r="N606" s="29">
        <v>7.5144975881122258E-3</v>
      </c>
    </row>
    <row r="607" spans="1:14" x14ac:dyDescent="0.35">
      <c r="A607" s="24">
        <v>102</v>
      </c>
      <c r="B607" s="25" t="s">
        <v>29</v>
      </c>
      <c r="C607" s="30">
        <v>43250</v>
      </c>
      <c r="D607" s="25">
        <v>-7.0870399381518998E-3</v>
      </c>
      <c r="E607" s="25">
        <v>0.47833221999999997</v>
      </c>
      <c r="F607" s="25">
        <v>-3.3899595575323021E-3</v>
      </c>
      <c r="G607" s="25">
        <f t="shared" si="5"/>
        <v>7.6858712169994459E-2</v>
      </c>
      <c r="H607" s="25">
        <v>9.2980718363945003E-3</v>
      </c>
      <c r="I607" s="25">
        <v>-3.3971011041026705E-3</v>
      </c>
      <c r="J607" s="25">
        <v>-3.4042426506730389E-3</v>
      </c>
      <c r="K607" s="25">
        <v>-3.4113841972434073E-3</v>
      </c>
      <c r="L607" s="25">
        <v>-3.4185257438137757E-3</v>
      </c>
      <c r="M607" s="25">
        <v>-3.4256672903841441E-3</v>
      </c>
      <c r="N607" s="26">
        <v>-3.4328088369545125E-3</v>
      </c>
    </row>
    <row r="608" spans="1:14" x14ac:dyDescent="0.35">
      <c r="A608" s="27">
        <v>103</v>
      </c>
      <c r="B608" s="28" t="s">
        <v>29</v>
      </c>
      <c r="C608" s="31">
        <v>43251</v>
      </c>
      <c r="D608" s="28">
        <v>1.0676761035808001E-2</v>
      </c>
      <c r="E608" s="28">
        <v>0.56788766000000002</v>
      </c>
      <c r="F608" s="28">
        <v>6.0632008820162642E-3</v>
      </c>
      <c r="G608" s="25">
        <f t="shared" si="5"/>
        <v>8.2921913052010729E-2</v>
      </c>
      <c r="H608" s="28">
        <v>9.2410725531494996E-3</v>
      </c>
      <c r="I608" s="28">
        <v>6.0584723898555988E-3</v>
      </c>
      <c r="J608" s="28">
        <v>6.0537438976949335E-3</v>
      </c>
      <c r="K608" s="28">
        <v>6.0490154055342672E-3</v>
      </c>
      <c r="L608" s="28">
        <v>6.0442869133736019E-3</v>
      </c>
      <c r="M608" s="28">
        <v>6.0395584212129365E-3</v>
      </c>
      <c r="N608" s="29">
        <v>6.0348299290522711E-3</v>
      </c>
    </row>
    <row r="609" spans="1:14" x14ac:dyDescent="0.35">
      <c r="A609" s="24">
        <v>104</v>
      </c>
      <c r="B609" s="25" t="s">
        <v>29</v>
      </c>
      <c r="C609" s="30">
        <v>43252</v>
      </c>
      <c r="D609" s="25">
        <v>4.3800947830353E-3</v>
      </c>
      <c r="E609" s="25">
        <v>0.47738886000000003</v>
      </c>
      <c r="F609" s="25">
        <v>2.0910084498878823E-3</v>
      </c>
      <c r="G609" s="25">
        <f t="shared" si="5"/>
        <v>8.5012921501898611E-2</v>
      </c>
      <c r="H609" s="25">
        <v>9.2722802760990992E-3</v>
      </c>
      <c r="I609" s="25">
        <v>2.0862994976174991E-3</v>
      </c>
      <c r="J609" s="25">
        <v>2.0815905453471159E-3</v>
      </c>
      <c r="K609" s="25">
        <v>2.0768815930767323E-3</v>
      </c>
      <c r="L609" s="25">
        <v>2.0721726408063491E-3</v>
      </c>
      <c r="M609" s="25">
        <v>2.0674636885359659E-3</v>
      </c>
      <c r="N609" s="26">
        <v>2.0627547362655828E-3</v>
      </c>
    </row>
    <row r="610" spans="1:14" x14ac:dyDescent="0.35">
      <c r="A610" s="27">
        <v>105</v>
      </c>
      <c r="B610" s="28" t="s">
        <v>29</v>
      </c>
      <c r="C610" s="31">
        <v>43255</v>
      </c>
      <c r="D610" s="28">
        <v>2.2583383333205E-3</v>
      </c>
      <c r="E610" s="28">
        <v>0.4934328</v>
      </c>
      <c r="F610" s="28">
        <v>1.114338184666808E-3</v>
      </c>
      <c r="G610" s="25">
        <f t="shared" si="5"/>
        <v>8.6127259686565413E-2</v>
      </c>
      <c r="H610" s="28">
        <v>9.1439066697498999E-3</v>
      </c>
      <c r="I610" s="28">
        <v>1.1131677123963645E-3</v>
      </c>
      <c r="J610" s="28">
        <v>1.1119972401259211E-3</v>
      </c>
      <c r="K610" s="28">
        <v>1.1108267678554776E-3</v>
      </c>
      <c r="L610" s="28">
        <v>1.109656295585034E-3</v>
      </c>
      <c r="M610" s="28">
        <v>1.1084858233145905E-3</v>
      </c>
      <c r="N610" s="29">
        <v>1.1073153510441471E-3</v>
      </c>
    </row>
    <row r="611" spans="1:14" x14ac:dyDescent="0.35">
      <c r="A611" s="24">
        <v>106</v>
      </c>
      <c r="B611" s="25" t="s">
        <v>29</v>
      </c>
      <c r="C611" s="30">
        <v>43256</v>
      </c>
      <c r="D611" s="25">
        <v>7.9203971348411999E-3</v>
      </c>
      <c r="E611" s="25">
        <v>0.49307440000000002</v>
      </c>
      <c r="F611" s="25">
        <v>3.9053449645290333E-3</v>
      </c>
      <c r="G611" s="25">
        <f t="shared" si="5"/>
        <v>9.0032604651094444E-2</v>
      </c>
      <c r="H611" s="25">
        <v>8.9968942247583995E-3</v>
      </c>
      <c r="I611" s="25">
        <v>3.9049471869505329E-3</v>
      </c>
      <c r="J611" s="25">
        <v>3.9045494093720321E-3</v>
      </c>
      <c r="K611" s="25">
        <v>3.9041516317935318E-3</v>
      </c>
      <c r="L611" s="25">
        <v>3.9037538542150314E-3</v>
      </c>
      <c r="M611" s="25">
        <v>3.9033560766365306E-3</v>
      </c>
      <c r="N611" s="26">
        <v>3.9029582990580303E-3</v>
      </c>
    </row>
    <row r="612" spans="1:14" x14ac:dyDescent="0.35">
      <c r="A612" s="27">
        <v>107</v>
      </c>
      <c r="B612" s="28" t="s">
        <v>29</v>
      </c>
      <c r="C612" s="31">
        <v>43257</v>
      </c>
      <c r="D612" s="28">
        <v>0</v>
      </c>
      <c r="E612" s="28">
        <v>0.44267145000000002</v>
      </c>
      <c r="F612" s="28">
        <v>0</v>
      </c>
      <c r="G612" s="25">
        <f t="shared" si="5"/>
        <v>9.0032604651094444E-2</v>
      </c>
      <c r="H612" s="28">
        <v>8.9326651891782002E-3</v>
      </c>
      <c r="I612" s="28">
        <v>-2.4796708241104249E-6</v>
      </c>
      <c r="J612" s="28">
        <v>-4.9593416482208499E-6</v>
      </c>
      <c r="K612" s="28">
        <v>-7.4390124723312752E-6</v>
      </c>
      <c r="L612" s="28">
        <v>-9.9186832964416997E-6</v>
      </c>
      <c r="M612" s="28">
        <v>-1.2398354120552125E-5</v>
      </c>
      <c r="N612" s="29">
        <v>-1.487802494466255E-5</v>
      </c>
    </row>
    <row r="613" spans="1:14" x14ac:dyDescent="0.35">
      <c r="A613" s="24">
        <v>108</v>
      </c>
      <c r="B613" s="25" t="s">
        <v>29</v>
      </c>
      <c r="C613" s="30">
        <v>43258</v>
      </c>
      <c r="D613" s="25">
        <v>2.5214459846978998E-3</v>
      </c>
      <c r="E613" s="25">
        <v>0.4887917</v>
      </c>
      <c r="F613" s="25">
        <v>1.2324618798528998E-3</v>
      </c>
      <c r="G613" s="25">
        <f t="shared" si="5"/>
        <v>9.1265066530947347E-2</v>
      </c>
      <c r="H613" s="25">
        <v>8.7866288929741992E-3</v>
      </c>
      <c r="I613" s="25">
        <v>1.2295928675884308E-3</v>
      </c>
      <c r="J613" s="25">
        <v>1.2267238553239619E-3</v>
      </c>
      <c r="K613" s="25">
        <v>1.2238548430594932E-3</v>
      </c>
      <c r="L613" s="25">
        <v>1.2209858307950243E-3</v>
      </c>
      <c r="M613" s="25">
        <v>1.2181168185305554E-3</v>
      </c>
      <c r="N613" s="26">
        <v>1.2152478062660865E-3</v>
      </c>
    </row>
    <row r="614" spans="1:14" x14ac:dyDescent="0.35">
      <c r="A614" s="27">
        <v>109</v>
      </c>
      <c r="B614" s="28" t="s">
        <v>29</v>
      </c>
      <c r="C614" s="31">
        <v>43259</v>
      </c>
      <c r="D614" s="28">
        <v>1.6716828167415E-3</v>
      </c>
      <c r="E614" s="28">
        <v>0.46290720000000002</v>
      </c>
      <c r="F614" s="28">
        <v>7.7383400378004381E-4</v>
      </c>
      <c r="G614" s="25">
        <f t="shared" si="5"/>
        <v>9.2038900534727394E-2</v>
      </c>
      <c r="H614" s="28">
        <v>8.6452302547265006E-3</v>
      </c>
      <c r="I614" s="28">
        <v>7.7284929817743298E-4</v>
      </c>
      <c r="J614" s="28">
        <v>7.7186459257482225E-4</v>
      </c>
      <c r="K614" s="28">
        <v>7.7087988697221142E-4</v>
      </c>
      <c r="L614" s="28">
        <v>7.6989518136960069E-4</v>
      </c>
      <c r="M614" s="28">
        <v>7.6891047576698986E-4</v>
      </c>
      <c r="N614" s="29">
        <v>7.6792577016437913E-4</v>
      </c>
    </row>
    <row r="615" spans="1:14" x14ac:dyDescent="0.35">
      <c r="A615" s="24">
        <v>110</v>
      </c>
      <c r="B615" s="25" t="s">
        <v>29</v>
      </c>
      <c r="C615" s="30">
        <v>43262</v>
      </c>
      <c r="D615" s="25">
        <v>3.9930825432009999E-4</v>
      </c>
      <c r="E615" s="25">
        <v>0.44426381999999998</v>
      </c>
      <c r="F615" s="25">
        <v>1.7739820877655794E-4</v>
      </c>
      <c r="G615" s="25">
        <f t="shared" si="5"/>
        <v>9.2216298743503955E-2</v>
      </c>
      <c r="H615" s="25">
        <v>8.5029474392380004E-3</v>
      </c>
      <c r="I615" s="25">
        <v>1.7678562500840855E-4</v>
      </c>
      <c r="J615" s="25">
        <v>1.7617304124025913E-4</v>
      </c>
      <c r="K615" s="25">
        <v>1.7556045747210973E-4</v>
      </c>
      <c r="L615" s="25">
        <v>1.7494787370396034E-4</v>
      </c>
      <c r="M615" s="25">
        <v>1.7433528993581092E-4</v>
      </c>
      <c r="N615" s="26">
        <v>1.7372270616766152E-4</v>
      </c>
    </row>
    <row r="616" spans="1:14" x14ac:dyDescent="0.35">
      <c r="A616" s="27">
        <v>111</v>
      </c>
      <c r="B616" s="28" t="s">
        <v>29</v>
      </c>
      <c r="C616" s="31">
        <v>43263</v>
      </c>
      <c r="D616" s="28">
        <v>-3.9569252324505996E-3</v>
      </c>
      <c r="E616" s="28">
        <v>0.43250771999999998</v>
      </c>
      <c r="F616" s="28">
        <v>-1.7114007246233874E-3</v>
      </c>
      <c r="G616" s="25">
        <f t="shared" si="5"/>
        <v>9.0504898018880564E-2</v>
      </c>
      <c r="H616" s="28">
        <v>8.3631238675068009E-3</v>
      </c>
      <c r="I616" s="28">
        <v>-1.7116521477529979E-3</v>
      </c>
      <c r="J616" s="28">
        <v>-1.7119035708826084E-3</v>
      </c>
      <c r="K616" s="28">
        <v>-1.7121549940122189E-3</v>
      </c>
      <c r="L616" s="28">
        <v>-1.7124064171418294E-3</v>
      </c>
      <c r="M616" s="28">
        <v>-1.7126578402714399E-3</v>
      </c>
      <c r="N616" s="29">
        <v>-1.7129092634010504E-3</v>
      </c>
    </row>
    <row r="617" spans="1:14" x14ac:dyDescent="0.35">
      <c r="A617" s="24">
        <v>112</v>
      </c>
      <c r="B617" s="25" t="s">
        <v>29</v>
      </c>
      <c r="C617" s="30">
        <v>43264</v>
      </c>
      <c r="D617" s="25">
        <v>3.7094684838166999E-3</v>
      </c>
      <c r="E617" s="25">
        <v>0.45434841999999998</v>
      </c>
      <c r="F617" s="25">
        <v>1.6853911266203096E-3</v>
      </c>
      <c r="G617" s="25">
        <f t="shared" si="5"/>
        <v>9.219028914550087E-2</v>
      </c>
      <c r="H617" s="25">
        <v>8.2637318782302002E-3</v>
      </c>
      <c r="I617" s="25">
        <v>1.6838485729349663E-3</v>
      </c>
      <c r="J617" s="25">
        <v>1.6823060192496233E-3</v>
      </c>
      <c r="K617" s="25">
        <v>1.6807634655642801E-3</v>
      </c>
      <c r="L617" s="25">
        <v>1.6792209118789369E-3</v>
      </c>
      <c r="M617" s="25">
        <v>1.6776783581935936E-3</v>
      </c>
      <c r="N617" s="26">
        <v>1.6761358045082506E-3</v>
      </c>
    </row>
    <row r="618" spans="1:14" x14ac:dyDescent="0.35">
      <c r="A618" s="27">
        <v>113</v>
      </c>
      <c r="B618" s="28" t="s">
        <v>29</v>
      </c>
      <c r="C618" s="31">
        <v>43265</v>
      </c>
      <c r="D618" s="28">
        <v>-2.6696445984504E-3</v>
      </c>
      <c r="E618" s="28">
        <v>0.40936935000000002</v>
      </c>
      <c r="F618" s="28">
        <v>-1.0928706726095693E-3</v>
      </c>
      <c r="G618" s="25">
        <f t="shared" si="5"/>
        <v>9.1097418472891295E-2</v>
      </c>
      <c r="H618" s="28">
        <v>8.1388921945870999E-3</v>
      </c>
      <c r="I618" s="28">
        <v>-1.0950832291730672E-3</v>
      </c>
      <c r="J618" s="28">
        <v>-1.0972957857365651E-3</v>
      </c>
      <c r="K618" s="28">
        <v>-1.0995083423000632E-3</v>
      </c>
      <c r="L618" s="28">
        <v>-1.1017208988635611E-3</v>
      </c>
      <c r="M618" s="28">
        <v>-1.103933455427059E-3</v>
      </c>
      <c r="N618" s="29">
        <v>-1.1061460119905569E-3</v>
      </c>
    </row>
    <row r="619" spans="1:14" x14ac:dyDescent="0.35">
      <c r="A619" s="24">
        <v>114</v>
      </c>
      <c r="B619" s="25" t="s">
        <v>29</v>
      </c>
      <c r="C619" s="30">
        <v>43266</v>
      </c>
      <c r="D619" s="25">
        <v>1.2297085658475001E-3</v>
      </c>
      <c r="E619" s="25">
        <v>0.44068298</v>
      </c>
      <c r="F619" s="25">
        <v>5.4191163217865606E-4</v>
      </c>
      <c r="G619" s="25">
        <f t="shared" si="5"/>
        <v>9.1639330105069958E-2</v>
      </c>
      <c r="H619" s="25">
        <v>8.0248027768189002E-3</v>
      </c>
      <c r="I619" s="25">
        <v>5.3973021086173626E-4</v>
      </c>
      <c r="J619" s="25">
        <v>5.3754878954481646E-4</v>
      </c>
      <c r="K619" s="25">
        <v>5.3536736822789666E-4</v>
      </c>
      <c r="L619" s="25">
        <v>5.3318594691097675E-4</v>
      </c>
      <c r="M619" s="25">
        <v>5.3100452559405695E-4</v>
      </c>
      <c r="N619" s="26">
        <v>5.2882310427713715E-4</v>
      </c>
    </row>
    <row r="620" spans="1:14" x14ac:dyDescent="0.35">
      <c r="A620" s="27">
        <v>115</v>
      </c>
      <c r="B620" s="28" t="s">
        <v>29</v>
      </c>
      <c r="C620" s="31">
        <v>43269</v>
      </c>
      <c r="D620" s="28">
        <v>-5.8145477080614001E-3</v>
      </c>
      <c r="E620" s="28">
        <v>0.41073292</v>
      </c>
      <c r="F620" s="28">
        <v>-2.388226187324777E-3</v>
      </c>
      <c r="G620" s="25">
        <f t="shared" si="5"/>
        <v>8.9251103917745184E-2</v>
      </c>
      <c r="H620" s="28">
        <v>7.8922908199606998E-3</v>
      </c>
      <c r="I620" s="28">
        <v>-2.3895834687717521E-3</v>
      </c>
      <c r="J620" s="28">
        <v>-2.3909407502187272E-3</v>
      </c>
      <c r="K620" s="28">
        <v>-2.3922980316657023E-3</v>
      </c>
      <c r="L620" s="28">
        <v>-2.3936553131126775E-3</v>
      </c>
      <c r="M620" s="28">
        <v>-2.3950125945596526E-3</v>
      </c>
      <c r="N620" s="29">
        <v>-2.3963698760066277E-3</v>
      </c>
    </row>
    <row r="621" spans="1:14" x14ac:dyDescent="0.35">
      <c r="A621" s="24">
        <v>116</v>
      </c>
      <c r="B621" s="25" t="s">
        <v>29</v>
      </c>
      <c r="C621" s="30">
        <v>43270</v>
      </c>
      <c r="D621" s="25">
        <v>2.5091419608724002E-3</v>
      </c>
      <c r="E621" s="25">
        <v>0.46447181999999998</v>
      </c>
      <c r="F621" s="25">
        <v>1.1654257257190024E-3</v>
      </c>
      <c r="G621" s="25">
        <f t="shared" si="5"/>
        <v>9.041652964346418E-2</v>
      </c>
      <c r="H621" s="25">
        <v>7.8278441992271994E-3</v>
      </c>
      <c r="I621" s="25">
        <v>1.1619798439609448E-3</v>
      </c>
      <c r="J621" s="25">
        <v>1.158533962202887E-3</v>
      </c>
      <c r="K621" s="25">
        <v>1.1550880804448295E-3</v>
      </c>
      <c r="L621" s="25">
        <v>1.1516421986867719E-3</v>
      </c>
      <c r="M621" s="25">
        <v>1.1481963169287144E-3</v>
      </c>
      <c r="N621" s="26">
        <v>1.1447504351706566E-3</v>
      </c>
    </row>
    <row r="622" spans="1:14" x14ac:dyDescent="0.35">
      <c r="A622" s="27">
        <v>117</v>
      </c>
      <c r="B622" s="28" t="s">
        <v>29</v>
      </c>
      <c r="C622" s="31">
        <v>43271</v>
      </c>
      <c r="D622" s="28">
        <v>-8.6292580990233996E-3</v>
      </c>
      <c r="E622" s="28">
        <v>0.39635239999999999</v>
      </c>
      <c r="F622" s="28">
        <v>-3.4202272467908209E-3</v>
      </c>
      <c r="G622" s="25">
        <f t="shared" si="5"/>
        <v>8.6996302396673358E-2</v>
      </c>
      <c r="H622" s="28">
        <v>7.7029825718285001E-3</v>
      </c>
      <c r="I622" s="28">
        <v>-3.4239508787464925E-3</v>
      </c>
      <c r="J622" s="28">
        <v>-3.4276745107021641E-3</v>
      </c>
      <c r="K622" s="28">
        <v>-3.4313981426578356E-3</v>
      </c>
      <c r="L622" s="28">
        <v>-3.4351217746135072E-3</v>
      </c>
      <c r="M622" s="28">
        <v>-3.4388454065691788E-3</v>
      </c>
      <c r="N622" s="29">
        <v>-3.4425690385248503E-3</v>
      </c>
    </row>
    <row r="623" spans="1:14" x14ac:dyDescent="0.35">
      <c r="A623" s="24">
        <v>118</v>
      </c>
      <c r="B623" s="25" t="s">
        <v>29</v>
      </c>
      <c r="C623" s="30">
        <v>43272</v>
      </c>
      <c r="D623" s="25">
        <v>3.1206343117526E-3</v>
      </c>
      <c r="E623" s="25">
        <v>0.45999867</v>
      </c>
      <c r="F623" s="25">
        <v>1.4354876243500563E-3</v>
      </c>
      <c r="G623" s="25">
        <f t="shared" si="5"/>
        <v>8.8431790021023415E-2</v>
      </c>
      <c r="H623" s="25">
        <v>7.7004981654188003E-3</v>
      </c>
      <c r="I623" s="25">
        <v>1.4315748348943664E-3</v>
      </c>
      <c r="J623" s="25">
        <v>1.4276620454386768E-3</v>
      </c>
      <c r="K623" s="25">
        <v>1.423749255982987E-3</v>
      </c>
      <c r="L623" s="25">
        <v>1.4198364665272973E-3</v>
      </c>
      <c r="M623" s="25">
        <v>1.4159236770716075E-3</v>
      </c>
      <c r="N623" s="26">
        <v>1.4120108876159178E-3</v>
      </c>
    </row>
    <row r="624" spans="1:14" x14ac:dyDescent="0.35">
      <c r="A624" s="27">
        <v>119</v>
      </c>
      <c r="B624" s="28" t="s">
        <v>29</v>
      </c>
      <c r="C624" s="31">
        <v>43273</v>
      </c>
      <c r="D624" s="28">
        <v>-1.68208766184525E-2</v>
      </c>
      <c r="E624" s="28">
        <v>0.37598093999999999</v>
      </c>
      <c r="F624" s="28">
        <v>-6.3243290605170055E-3</v>
      </c>
      <c r="G624" s="25">
        <f t="shared" si="5"/>
        <v>8.2107460960506404E-2</v>
      </c>
      <c r="H624" s="28">
        <v>7.5829508679166003E-3</v>
      </c>
      <c r="I624" s="28">
        <v>-6.3291262888393015E-3</v>
      </c>
      <c r="J624" s="28">
        <v>-6.3339235171615983E-3</v>
      </c>
      <c r="K624" s="28">
        <v>-6.3387207454838942E-3</v>
      </c>
      <c r="L624" s="28">
        <v>-6.3435179738061901E-3</v>
      </c>
      <c r="M624" s="28">
        <v>-6.3483152021284869E-3</v>
      </c>
      <c r="N624" s="29">
        <v>-6.3531124304507828E-3</v>
      </c>
    </row>
    <row r="625" spans="1:14" x14ac:dyDescent="0.35">
      <c r="A625" s="24">
        <v>120</v>
      </c>
      <c r="B625" s="25" t="s">
        <v>29</v>
      </c>
      <c r="C625" s="30">
        <v>43276</v>
      </c>
      <c r="D625" s="25">
        <v>2.7571239379017001E-3</v>
      </c>
      <c r="E625" s="25">
        <v>0.52134776000000005</v>
      </c>
      <c r="F625" s="25">
        <v>1.4374203922496334E-3</v>
      </c>
      <c r="G625" s="25">
        <f t="shared" si="5"/>
        <v>8.3544881352756034E-2</v>
      </c>
      <c r="H625" s="25">
        <v>7.8684050895841007E-3</v>
      </c>
      <c r="I625" s="25">
        <v>1.4295417358999474E-3</v>
      </c>
      <c r="J625" s="25">
        <v>1.4216630795502614E-3</v>
      </c>
      <c r="K625" s="25">
        <v>1.4137844232005755E-3</v>
      </c>
      <c r="L625" s="25">
        <v>1.4059057668508895E-3</v>
      </c>
      <c r="M625" s="25">
        <v>1.3980271105012035E-3</v>
      </c>
      <c r="N625" s="26">
        <v>1.3901484541515175E-3</v>
      </c>
    </row>
    <row r="626" spans="1:14" x14ac:dyDescent="0.35">
      <c r="A626" s="27">
        <v>121</v>
      </c>
      <c r="B626" s="28" t="s">
        <v>29</v>
      </c>
      <c r="C626" s="31">
        <v>43277</v>
      </c>
      <c r="D626" s="28">
        <v>-1.05021874190493E-2</v>
      </c>
      <c r="E626" s="28">
        <v>0.42280659999999998</v>
      </c>
      <c r="F626" s="28">
        <v>-4.4403940585438038E-3</v>
      </c>
      <c r="G626" s="25">
        <f t="shared" si="5"/>
        <v>7.9104487294212225E-2</v>
      </c>
      <c r="H626" s="28">
        <v>7.7491689298416003E-3</v>
      </c>
      <c r="I626" s="28">
        <v>-4.4459202957858202E-3</v>
      </c>
      <c r="J626" s="28">
        <v>-4.4514465330278367E-3</v>
      </c>
      <c r="K626" s="28">
        <v>-4.4569727702698531E-3</v>
      </c>
      <c r="L626" s="28">
        <v>-4.4624990075118696E-3</v>
      </c>
      <c r="M626" s="28">
        <v>-4.4680252447538869E-3</v>
      </c>
      <c r="N626" s="29">
        <v>-4.4735514819959033E-3</v>
      </c>
    </row>
    <row r="627" spans="1:14" x14ac:dyDescent="0.35">
      <c r="A627" s="24">
        <v>122</v>
      </c>
      <c r="B627" s="25" t="s">
        <v>29</v>
      </c>
      <c r="C627" s="30">
        <v>43278</v>
      </c>
      <c r="D627" s="25">
        <v>6.5107352654793999E-3</v>
      </c>
      <c r="E627" s="25">
        <v>0.51355320000000004</v>
      </c>
      <c r="F627" s="25">
        <v>3.3436089439525395E-3</v>
      </c>
      <c r="G627" s="25">
        <f t="shared" si="5"/>
        <v>8.2448096238164764E-2</v>
      </c>
      <c r="H627" s="25">
        <v>7.7796791238584004E-3</v>
      </c>
      <c r="I627" s="25">
        <v>3.3381990467359723E-3</v>
      </c>
      <c r="J627" s="25">
        <v>3.3327891495194052E-3</v>
      </c>
      <c r="K627" s="25">
        <v>3.3273792523028376E-3</v>
      </c>
      <c r="L627" s="25">
        <v>3.3219693550862704E-3</v>
      </c>
      <c r="M627" s="25">
        <v>3.3165594578697033E-3</v>
      </c>
      <c r="N627" s="26">
        <v>3.3111495606531361E-3</v>
      </c>
    </row>
    <row r="628" spans="1:14" x14ac:dyDescent="0.35">
      <c r="A628" s="27">
        <v>123</v>
      </c>
      <c r="B628" s="28" t="s">
        <v>29</v>
      </c>
      <c r="C628" s="31">
        <v>43279</v>
      </c>
      <c r="D628" s="28">
        <v>9.0063314832980002E-4</v>
      </c>
      <c r="E628" s="28">
        <v>0.41769737000000001</v>
      </c>
      <c r="F628" s="28">
        <v>3.7619209743931439E-4</v>
      </c>
      <c r="G628" s="25">
        <f t="shared" si="5"/>
        <v>8.2824288335604082E-2</v>
      </c>
      <c r="H628" s="28">
        <v>7.7158538667356997E-3</v>
      </c>
      <c r="I628" s="28">
        <v>3.7058065639880279E-4</v>
      </c>
      <c r="J628" s="28">
        <v>3.6496921535829113E-4</v>
      </c>
      <c r="K628" s="28">
        <v>3.5935777431777953E-4</v>
      </c>
      <c r="L628" s="28">
        <v>3.5374633327726792E-4</v>
      </c>
      <c r="M628" s="28">
        <v>3.4813489223675626E-4</v>
      </c>
      <c r="N628" s="29">
        <v>3.4252345119624466E-4</v>
      </c>
    </row>
    <row r="629" spans="1:14" x14ac:dyDescent="0.35">
      <c r="A629" s="24">
        <v>124</v>
      </c>
      <c r="B629" s="25" t="s">
        <v>29</v>
      </c>
      <c r="C629" s="30">
        <v>43280</v>
      </c>
      <c r="D629" s="25">
        <v>2.6304939075966999E-3</v>
      </c>
      <c r="E629" s="25">
        <v>0.44023364999999998</v>
      </c>
      <c r="F629" s="25">
        <v>1.1580319285183507E-3</v>
      </c>
      <c r="G629" s="25">
        <f t="shared" si="5"/>
        <v>8.3982320264122431E-2</v>
      </c>
      <c r="H629" s="25">
        <v>7.5895005088732004E-3</v>
      </c>
      <c r="I629" s="25">
        <v>1.1562032120168333E-3</v>
      </c>
      <c r="J629" s="25">
        <v>1.154374495515316E-3</v>
      </c>
      <c r="K629" s="25">
        <v>1.1525457790137986E-3</v>
      </c>
      <c r="L629" s="25">
        <v>1.1507170625122813E-3</v>
      </c>
      <c r="M629" s="25">
        <v>1.1488883460107639E-3</v>
      </c>
      <c r="N629" s="26">
        <v>1.1470596295092466E-3</v>
      </c>
    </row>
    <row r="630" spans="1:14" x14ac:dyDescent="0.35">
      <c r="A630" s="27">
        <v>125</v>
      </c>
      <c r="B630" s="28" t="s">
        <v>29</v>
      </c>
      <c r="C630" s="31">
        <v>43283</v>
      </c>
      <c r="D630" s="28">
        <v>-6.4903108942882997E-3</v>
      </c>
      <c r="E630" s="28">
        <v>0.41906947</v>
      </c>
      <c r="F630" s="28">
        <v>-2.7198911399524909E-3</v>
      </c>
      <c r="G630" s="25">
        <f t="shared" si="5"/>
        <v>8.1262429124169935E-2</v>
      </c>
      <c r="H630" s="28">
        <v>7.4735780316643003E-3</v>
      </c>
      <c r="I630" s="28">
        <v>-2.7208039912609647E-3</v>
      </c>
      <c r="J630" s="28">
        <v>-2.7217168425694386E-3</v>
      </c>
      <c r="K630" s="28">
        <v>-2.7226296938779124E-3</v>
      </c>
      <c r="L630" s="28">
        <v>-2.7235425451863863E-3</v>
      </c>
      <c r="M630" s="28">
        <v>-2.7244553964948601E-3</v>
      </c>
      <c r="N630" s="29">
        <v>-2.725368247803334E-3</v>
      </c>
    </row>
    <row r="631" spans="1:14" x14ac:dyDescent="0.35">
      <c r="A631" s="24">
        <v>126</v>
      </c>
      <c r="B631" s="25" t="s">
        <v>29</v>
      </c>
      <c r="C631" s="30">
        <v>43284</v>
      </c>
      <c r="D631" s="25">
        <v>1.18679969622575E-2</v>
      </c>
      <c r="E631" s="25">
        <v>0.48907286</v>
      </c>
      <c r="F631" s="25">
        <v>5.8043152083438144E-3</v>
      </c>
      <c r="G631" s="25">
        <f t="shared" si="5"/>
        <v>8.7066744332513754E-2</v>
      </c>
      <c r="H631" s="25">
        <v>7.4094356902799996E-3</v>
      </c>
      <c r="I631" s="25">
        <v>5.7996221679963642E-3</v>
      </c>
      <c r="J631" s="25">
        <v>5.7949291276489139E-3</v>
      </c>
      <c r="K631" s="25">
        <v>5.7902360873014636E-3</v>
      </c>
      <c r="L631" s="25">
        <v>5.7855430469540134E-3</v>
      </c>
      <c r="M631" s="25">
        <v>5.7808500066065631E-3</v>
      </c>
      <c r="N631" s="26">
        <v>5.776156966259112E-3</v>
      </c>
    </row>
    <row r="632" spans="1:14" x14ac:dyDescent="0.35">
      <c r="A632" s="27">
        <v>127</v>
      </c>
      <c r="B632" s="28" t="s">
        <v>29</v>
      </c>
      <c r="C632" s="31">
        <v>43286</v>
      </c>
      <c r="D632" s="28">
        <v>1.1301985733122299E-2</v>
      </c>
      <c r="E632" s="28">
        <v>0.35766693999999999</v>
      </c>
      <c r="F632" s="28">
        <v>4.0423466474045428E-3</v>
      </c>
      <c r="G632" s="25">
        <f t="shared" si="5"/>
        <v>9.1109090979918303E-2</v>
      </c>
      <c r="H632" s="28">
        <v>7.4797928950449998E-3</v>
      </c>
      <c r="I632" s="28">
        <v>4.0337531502328368E-3</v>
      </c>
      <c r="J632" s="28">
        <v>4.0251596530611316E-3</v>
      </c>
      <c r="K632" s="28">
        <v>4.0165661558894256E-3</v>
      </c>
      <c r="L632" s="28">
        <v>4.0079726587177204E-3</v>
      </c>
      <c r="M632" s="28">
        <v>3.9993791615460144E-3</v>
      </c>
      <c r="N632" s="29">
        <v>3.9907856643743092E-3</v>
      </c>
    </row>
    <row r="633" spans="1:14" x14ac:dyDescent="0.35">
      <c r="A633" s="24">
        <v>128</v>
      </c>
      <c r="B633" s="25" t="s">
        <v>29</v>
      </c>
      <c r="C633" s="30">
        <v>43287</v>
      </c>
      <c r="D633" s="25">
        <v>1.1139928358579101E-2</v>
      </c>
      <c r="E633" s="25">
        <v>0.29778316999999999</v>
      </c>
      <c r="F633" s="25">
        <v>3.3172831375259952E-3</v>
      </c>
      <c r="G633" s="25">
        <f t="shared" si="5"/>
        <v>9.4426374117444298E-2</v>
      </c>
      <c r="H633" s="25">
        <v>7.5213152164873001E-3</v>
      </c>
      <c r="I633" s="25">
        <v>3.3133967832405589E-3</v>
      </c>
      <c r="J633" s="25">
        <v>3.3095104289551222E-3</v>
      </c>
      <c r="K633" s="25">
        <v>3.3056240746696859E-3</v>
      </c>
      <c r="L633" s="25">
        <v>3.3017377203842495E-3</v>
      </c>
      <c r="M633" s="25">
        <v>3.2978513660988132E-3</v>
      </c>
      <c r="N633" s="26">
        <v>3.2939650118133765E-3</v>
      </c>
    </row>
    <row r="634" spans="1:14" x14ac:dyDescent="0.35">
      <c r="A634" s="27">
        <v>129</v>
      </c>
      <c r="B634" s="28" t="s">
        <v>29</v>
      </c>
      <c r="C634" s="31">
        <v>43290</v>
      </c>
      <c r="D634" s="28">
        <v>4.1542279550972998E-3</v>
      </c>
      <c r="E634" s="28">
        <v>0.28072548000000003</v>
      </c>
      <c r="F634" s="28">
        <v>1.1661976330932153E-3</v>
      </c>
      <c r="G634" s="25">
        <f t="shared" ref="G634:G697" si="6">G633+F634</f>
        <v>9.5592571750537508E-2</v>
      </c>
      <c r="H634" s="28">
        <v>7.5479240492168E-3</v>
      </c>
      <c r="I634" s="28">
        <v>1.1650639801215994E-3</v>
      </c>
      <c r="J634" s="28">
        <v>1.1639303271499834E-3</v>
      </c>
      <c r="K634" s="28">
        <v>1.1627966741783674E-3</v>
      </c>
      <c r="L634" s="28">
        <v>1.1616630212067515E-3</v>
      </c>
      <c r="M634" s="28">
        <v>1.1605293682351355E-3</v>
      </c>
      <c r="N634" s="29">
        <v>1.1593957152635193E-3</v>
      </c>
    </row>
    <row r="635" spans="1:14" x14ac:dyDescent="0.35">
      <c r="A635" s="24">
        <v>130</v>
      </c>
      <c r="B635" s="25" t="s">
        <v>29</v>
      </c>
      <c r="C635" s="30">
        <v>43291</v>
      </c>
      <c r="D635" s="25">
        <v>-1.0335024343957199E-2</v>
      </c>
      <c r="E635" s="25">
        <v>0.3304742</v>
      </c>
      <c r="F635" s="25">
        <v>-3.4154588799796713E-3</v>
      </c>
      <c r="G635" s="25">
        <f t="shared" si="6"/>
        <v>9.217711287055784E-2</v>
      </c>
      <c r="H635" s="25">
        <v>7.4371619547359E-3</v>
      </c>
      <c r="I635" s="25">
        <v>-3.4188809307078571E-3</v>
      </c>
      <c r="J635" s="25">
        <v>-3.422302981436043E-3</v>
      </c>
      <c r="K635" s="25">
        <v>-3.4257250321642289E-3</v>
      </c>
      <c r="L635" s="25">
        <v>-3.4291470828924147E-3</v>
      </c>
      <c r="M635" s="25">
        <v>-3.432569133620601E-3</v>
      </c>
      <c r="N635" s="26">
        <v>-3.4359911843487869E-3</v>
      </c>
    </row>
    <row r="636" spans="1:14" x14ac:dyDescent="0.35">
      <c r="A636" s="27">
        <v>131</v>
      </c>
      <c r="B636" s="28" t="s">
        <v>29</v>
      </c>
      <c r="C636" s="31">
        <v>43292</v>
      </c>
      <c r="D636" s="28">
        <v>1.1141399945638199E-2</v>
      </c>
      <c r="E636" s="28">
        <v>0.45757397999999999</v>
      </c>
      <c r="F636" s="28">
        <v>5.0980147169336302E-3</v>
      </c>
      <c r="G636" s="25">
        <f t="shared" si="6"/>
        <v>9.7275127587491475E-2</v>
      </c>
      <c r="H636" s="28">
        <v>7.4905007494250999E-3</v>
      </c>
      <c r="I636" s="28">
        <v>5.0901475238416503E-3</v>
      </c>
      <c r="J636" s="28">
        <v>5.0822803307496696E-3</v>
      </c>
      <c r="K636" s="28">
        <v>5.0744131376576898E-3</v>
      </c>
      <c r="L636" s="28">
        <v>5.0665459445657091E-3</v>
      </c>
      <c r="M636" s="28">
        <v>5.0586787514737292E-3</v>
      </c>
      <c r="N636" s="29">
        <v>5.0508115583817485E-3</v>
      </c>
    </row>
    <row r="637" spans="1:14" x14ac:dyDescent="0.35">
      <c r="A637" s="24">
        <v>132</v>
      </c>
      <c r="B637" s="25" t="s">
        <v>29</v>
      </c>
      <c r="C637" s="30">
        <v>43293</v>
      </c>
      <c r="D637" s="25">
        <v>2.1342498243791001E-3</v>
      </c>
      <c r="E637" s="25">
        <v>0.30508479999999999</v>
      </c>
      <c r="F637" s="25">
        <v>6.5112716963673103E-4</v>
      </c>
      <c r="G637" s="25">
        <f t="shared" si="6"/>
        <v>9.7926254757128212E-2</v>
      </c>
      <c r="H637" s="25">
        <v>7.5147412721088998E-3</v>
      </c>
      <c r="I637" s="25">
        <v>6.4144700043218571E-4</v>
      </c>
      <c r="J637" s="25">
        <v>6.317668312276404E-4</v>
      </c>
      <c r="K637" s="25">
        <v>6.2208666202309508E-4</v>
      </c>
      <c r="L637" s="25">
        <v>6.1240649281854977E-4</v>
      </c>
      <c r="M637" s="25">
        <v>6.0272632361400445E-4</v>
      </c>
      <c r="N637" s="26">
        <v>5.9304615440945914E-4</v>
      </c>
    </row>
    <row r="638" spans="1:14" x14ac:dyDescent="0.35">
      <c r="A638" s="27">
        <v>133</v>
      </c>
      <c r="B638" s="28" t="s">
        <v>29</v>
      </c>
      <c r="C638" s="31">
        <v>43294</v>
      </c>
      <c r="D638" s="28">
        <v>-3.0779602321433001E-3</v>
      </c>
      <c r="E638" s="28">
        <v>0.36352253000000001</v>
      </c>
      <c r="F638" s="28">
        <v>-1.118907889603248E-3</v>
      </c>
      <c r="G638" s="25">
        <f t="shared" si="6"/>
        <v>9.6807346867524957E-2</v>
      </c>
      <c r="H638" s="28">
        <v>7.3921356239306998E-3</v>
      </c>
      <c r="I638" s="28">
        <v>-1.1229609691177779E-3</v>
      </c>
      <c r="J638" s="28">
        <v>-1.1270140486323076E-3</v>
      </c>
      <c r="K638" s="28">
        <v>-1.1310671281468375E-3</v>
      </c>
      <c r="L638" s="28">
        <v>-1.1351202076613671E-3</v>
      </c>
      <c r="M638" s="28">
        <v>-1.139173287175897E-3</v>
      </c>
      <c r="N638" s="29">
        <v>-1.1432263666904267E-3</v>
      </c>
    </row>
    <row r="639" spans="1:14" x14ac:dyDescent="0.35">
      <c r="A639" s="24">
        <v>134</v>
      </c>
      <c r="B639" s="25" t="s">
        <v>29</v>
      </c>
      <c r="C639" s="30">
        <v>43297</v>
      </c>
      <c r="D639" s="25">
        <v>6.8331664349666997E-3</v>
      </c>
      <c r="E639" s="25">
        <v>0.40484923</v>
      </c>
      <c r="F639" s="25">
        <v>2.7664021781526518E-3</v>
      </c>
      <c r="G639" s="25">
        <f t="shared" si="6"/>
        <v>9.9573749045677604E-2</v>
      </c>
      <c r="H639" s="25">
        <v>7.2936712845779001E-3</v>
      </c>
      <c r="I639" s="25">
        <v>2.7634115380550583E-3</v>
      </c>
      <c r="J639" s="25">
        <v>2.7604208979574644E-3</v>
      </c>
      <c r="K639" s="25">
        <v>2.757430257859871E-3</v>
      </c>
      <c r="L639" s="25">
        <v>2.7544396177622775E-3</v>
      </c>
      <c r="M639" s="25">
        <v>2.7514489776646837E-3</v>
      </c>
      <c r="N639" s="26">
        <v>2.7484583375670902E-3</v>
      </c>
    </row>
    <row r="640" spans="1:14" x14ac:dyDescent="0.35">
      <c r="A640" s="27">
        <v>135</v>
      </c>
      <c r="B640" s="28" t="s">
        <v>29</v>
      </c>
      <c r="C640" s="31">
        <v>43298</v>
      </c>
      <c r="D640" s="28">
        <v>2.2116656223143999E-3</v>
      </c>
      <c r="E640" s="28">
        <v>0.33941874</v>
      </c>
      <c r="F640" s="28">
        <v>7.5068075679348616E-4</v>
      </c>
      <c r="G640" s="25">
        <f t="shared" si="6"/>
        <v>0.1003244298024711</v>
      </c>
      <c r="H640" s="28">
        <v>7.2188108504148002E-3</v>
      </c>
      <c r="I640" s="28">
        <v>7.4667042524528902E-4</v>
      </c>
      <c r="J640" s="28">
        <v>7.4266009369709188E-4</v>
      </c>
      <c r="K640" s="28">
        <v>7.3864976214889485E-4</v>
      </c>
      <c r="L640" s="28">
        <v>7.3463943060069772E-4</v>
      </c>
      <c r="M640" s="28">
        <v>7.3062909905250058E-4</v>
      </c>
      <c r="N640" s="29">
        <v>7.2661876750430344E-4</v>
      </c>
    </row>
    <row r="641" spans="1:14" x14ac:dyDescent="0.35">
      <c r="A641" s="24">
        <v>136</v>
      </c>
      <c r="B641" s="25" t="s">
        <v>29</v>
      </c>
      <c r="C641" s="30">
        <v>43299</v>
      </c>
      <c r="D641" s="25">
        <v>-5.0798958454489002E-3</v>
      </c>
      <c r="E641" s="25">
        <v>0.36661064999999998</v>
      </c>
      <c r="F641" s="25">
        <v>-1.8623438987718597E-3</v>
      </c>
      <c r="G641" s="25">
        <f t="shared" si="6"/>
        <v>9.8462085903699231E-2</v>
      </c>
      <c r="H641" s="25">
        <v>7.1008770749615997E-3</v>
      </c>
      <c r="I641" s="25">
        <v>-1.8645220491806688E-3</v>
      </c>
      <c r="J641" s="25">
        <v>-1.8667001995894782E-3</v>
      </c>
      <c r="K641" s="25">
        <v>-1.8688783499982873E-3</v>
      </c>
      <c r="L641" s="25">
        <v>-1.8710565004070967E-3</v>
      </c>
      <c r="M641" s="25">
        <v>-1.8732346508159058E-3</v>
      </c>
      <c r="N641" s="26">
        <v>-1.8754128012247152E-3</v>
      </c>
    </row>
    <row r="642" spans="1:14" x14ac:dyDescent="0.35">
      <c r="A642" s="27">
        <v>137</v>
      </c>
      <c r="B642" s="28" t="s">
        <v>29</v>
      </c>
      <c r="C642" s="31">
        <v>43300</v>
      </c>
      <c r="D642" s="28">
        <v>-2.1544863692332002E-3</v>
      </c>
      <c r="E642" s="28">
        <v>0.43553903999999999</v>
      </c>
      <c r="F642" s="28">
        <v>-9.3836291846221187E-4</v>
      </c>
      <c r="G642" s="25">
        <f t="shared" si="6"/>
        <v>9.7523722985237024E-2</v>
      </c>
      <c r="H642" s="28">
        <v>7.0353900564233997E-3</v>
      </c>
      <c r="I642" s="28">
        <v>-9.4321879428491205E-4</v>
      </c>
      <c r="J642" s="28">
        <v>-9.4807467010761233E-4</v>
      </c>
      <c r="K642" s="28">
        <v>-9.5293054593031251E-4</v>
      </c>
      <c r="L642" s="28">
        <v>-9.577864217530128E-4</v>
      </c>
      <c r="M642" s="28">
        <v>-9.6264229757571298E-4</v>
      </c>
      <c r="N642" s="29">
        <v>-9.6749817339841315E-4</v>
      </c>
    </row>
    <row r="643" spans="1:14" x14ac:dyDescent="0.35">
      <c r="A643" s="24">
        <v>138</v>
      </c>
      <c r="B643" s="25" t="s">
        <v>29</v>
      </c>
      <c r="C643" s="30">
        <v>43301</v>
      </c>
      <c r="D643" s="25">
        <v>5.4751073482441999E-3</v>
      </c>
      <c r="E643" s="25">
        <v>0.41500779999999998</v>
      </c>
      <c r="F643" s="25">
        <v>2.2722122546130334E-3</v>
      </c>
      <c r="G643" s="25">
        <f t="shared" si="6"/>
        <v>9.9795935239850059E-2</v>
      </c>
      <c r="H643" s="25">
        <v>6.9322868949731001E-3</v>
      </c>
      <c r="I643" s="25">
        <v>2.2712479983207426E-3</v>
      </c>
      <c r="J643" s="25">
        <v>2.2702837420284518E-3</v>
      </c>
      <c r="K643" s="25">
        <v>2.269319485736161E-3</v>
      </c>
      <c r="L643" s="25">
        <v>2.2683552294438698E-3</v>
      </c>
      <c r="M643" s="25">
        <v>2.2673909731515791E-3</v>
      </c>
      <c r="N643" s="26">
        <v>2.2664267168592883E-3</v>
      </c>
    </row>
    <row r="644" spans="1:14" x14ac:dyDescent="0.35">
      <c r="A644" s="27">
        <v>139</v>
      </c>
      <c r="B644" s="28" t="s">
        <v>29</v>
      </c>
      <c r="C644" s="31">
        <v>43304</v>
      </c>
      <c r="D644" s="28">
        <v>4.4190370586707E-3</v>
      </c>
      <c r="E644" s="28">
        <v>0.38032221999999999</v>
      </c>
      <c r="F644" s="28">
        <v>1.6806579753183694E-3</v>
      </c>
      <c r="G644" s="25">
        <f t="shared" si="6"/>
        <v>0.10147659321516843</v>
      </c>
      <c r="H644" s="28">
        <v>6.8436932955651996E-3</v>
      </c>
      <c r="I644" s="28">
        <v>1.6786295944965044E-3</v>
      </c>
      <c r="J644" s="28">
        <v>1.6766012136746392E-3</v>
      </c>
      <c r="K644" s="28">
        <v>1.6745728328527742E-3</v>
      </c>
      <c r="L644" s="28">
        <v>1.6725444520309092E-3</v>
      </c>
      <c r="M644" s="28">
        <v>1.6705160712090442E-3</v>
      </c>
      <c r="N644" s="29">
        <v>1.668487690387179E-3</v>
      </c>
    </row>
    <row r="645" spans="1:14" x14ac:dyDescent="0.35">
      <c r="A645" s="24">
        <v>140</v>
      </c>
      <c r="B645" s="25" t="s">
        <v>29</v>
      </c>
      <c r="C645" s="30">
        <v>43305</v>
      </c>
      <c r="D645" s="25">
        <v>1.00572084645482E-2</v>
      </c>
      <c r="E645" s="25">
        <v>0.38052010000000003</v>
      </c>
      <c r="F645" s="25">
        <v>3.8269700245768604E-3</v>
      </c>
      <c r="G645" s="25">
        <f t="shared" si="6"/>
        <v>0.1053035632397453</v>
      </c>
      <c r="H645" s="25">
        <v>6.7442782201699997E-3</v>
      </c>
      <c r="I645" s="25">
        <v>3.8265691370764146E-3</v>
      </c>
      <c r="J645" s="25">
        <v>3.8261682495759688E-3</v>
      </c>
      <c r="K645" s="25">
        <v>3.8257673620755231E-3</v>
      </c>
      <c r="L645" s="25">
        <v>3.8253664745750773E-3</v>
      </c>
      <c r="M645" s="25">
        <v>3.8249655870746316E-3</v>
      </c>
      <c r="N645" s="26">
        <v>3.8245646995741858E-3</v>
      </c>
    </row>
    <row r="646" spans="1:14" x14ac:dyDescent="0.35">
      <c r="A646" s="27">
        <v>141</v>
      </c>
      <c r="B646" s="28" t="s">
        <v>29</v>
      </c>
      <c r="C646" s="31">
        <v>43306</v>
      </c>
      <c r="D646" s="28">
        <v>6.1784758540200002E-4</v>
      </c>
      <c r="E646" s="28">
        <v>0.38960642000000001</v>
      </c>
      <c r="F646" s="28">
        <v>2.4071738352201061E-4</v>
      </c>
      <c r="G646" s="25">
        <f t="shared" si="6"/>
        <v>0.1055442806232673</v>
      </c>
      <c r="H646" s="28">
        <v>6.7283751657845996E-3</v>
      </c>
      <c r="I646" s="28">
        <v>2.4001635308041919E-4</v>
      </c>
      <c r="J646" s="28">
        <v>2.3931532263882777E-4</v>
      </c>
      <c r="K646" s="28">
        <v>2.3861429219723635E-4</v>
      </c>
      <c r="L646" s="28">
        <v>2.3791326175564493E-4</v>
      </c>
      <c r="M646" s="28">
        <v>2.3721223131405354E-4</v>
      </c>
      <c r="N646" s="29">
        <v>2.3651120087246212E-4</v>
      </c>
    </row>
    <row r="647" spans="1:14" x14ac:dyDescent="0.35">
      <c r="A647" s="24">
        <v>142</v>
      </c>
      <c r="B647" s="25" t="s">
        <v>29</v>
      </c>
      <c r="C647" s="30">
        <v>43307</v>
      </c>
      <c r="D647" s="25">
        <v>-1.25571560056803E-2</v>
      </c>
      <c r="E647" s="25">
        <v>0.46595383000000001</v>
      </c>
      <c r="F647" s="25">
        <v>-5.8510548958810105E-3</v>
      </c>
      <c r="G647" s="25">
        <f t="shared" si="6"/>
        <v>9.9693225727386287E-2</v>
      </c>
      <c r="H647" s="25">
        <v>6.6181900474352002E-3</v>
      </c>
      <c r="I647" s="25">
        <v>-5.8569606126988184E-3</v>
      </c>
      <c r="J647" s="25">
        <v>-5.8628663295166271E-3</v>
      </c>
      <c r="K647" s="25">
        <v>-5.868772046334435E-3</v>
      </c>
      <c r="L647" s="25">
        <v>-5.8746777631522428E-3</v>
      </c>
      <c r="M647" s="25">
        <v>-5.8805834799700515E-3</v>
      </c>
      <c r="N647" s="26">
        <v>-5.8864891967878594E-3</v>
      </c>
    </row>
    <row r="648" spans="1:14" x14ac:dyDescent="0.35">
      <c r="A648" s="27">
        <v>143</v>
      </c>
      <c r="B648" s="28" t="s">
        <v>29</v>
      </c>
      <c r="C648" s="31">
        <v>43308</v>
      </c>
      <c r="D648" s="28">
        <v>-7.0846968069429002E-3</v>
      </c>
      <c r="E648" s="28">
        <v>0.55662219999999996</v>
      </c>
      <c r="F648" s="28">
        <v>-3.9434995737737157E-3</v>
      </c>
      <c r="G648" s="25">
        <f t="shared" si="6"/>
        <v>9.5749726153612574E-2</v>
      </c>
      <c r="H648" s="28">
        <v>6.7456011539581001E-3</v>
      </c>
      <c r="I648" s="28">
        <v>-3.9492216264733144E-3</v>
      </c>
      <c r="J648" s="28">
        <v>-3.954943679172913E-3</v>
      </c>
      <c r="K648" s="28">
        <v>-3.9606657318725117E-3</v>
      </c>
      <c r="L648" s="28">
        <v>-3.9663877845721104E-3</v>
      </c>
      <c r="M648" s="28">
        <v>-3.9721098372717083E-3</v>
      </c>
      <c r="N648" s="29">
        <v>-3.977831889971307E-3</v>
      </c>
    </row>
    <row r="649" spans="1:14" x14ac:dyDescent="0.35">
      <c r="A649" s="24">
        <v>144</v>
      </c>
      <c r="B649" s="25" t="s">
        <v>29</v>
      </c>
      <c r="C649" s="30">
        <v>43311</v>
      </c>
      <c r="D649" s="25">
        <v>6.9016669424944001E-3</v>
      </c>
      <c r="E649" s="25">
        <v>0.52900309999999995</v>
      </c>
      <c r="F649" s="25">
        <v>3.6510030952906225E-3</v>
      </c>
      <c r="G649" s="25">
        <f t="shared" si="6"/>
        <v>9.9400729248903197E-2</v>
      </c>
      <c r="H649" s="25">
        <v>6.7154923472385001E-3</v>
      </c>
      <c r="I649" s="25">
        <v>3.6492347927043985E-3</v>
      </c>
      <c r="J649" s="25">
        <v>3.6474664901181746E-3</v>
      </c>
      <c r="K649" s="25">
        <v>3.6456981875319506E-3</v>
      </c>
      <c r="L649" s="25">
        <v>3.6439298849457267E-3</v>
      </c>
      <c r="M649" s="25">
        <v>3.6421615823595027E-3</v>
      </c>
      <c r="N649" s="26">
        <v>3.6403932797732788E-3</v>
      </c>
    </row>
    <row r="650" spans="1:14" x14ac:dyDescent="0.35">
      <c r="A650" s="27">
        <v>145</v>
      </c>
      <c r="B650" s="28" t="s">
        <v>29</v>
      </c>
      <c r="C650" s="31">
        <v>43312</v>
      </c>
      <c r="D650" s="28">
        <v>-3.1523221656574998E-3</v>
      </c>
      <c r="E650" s="28">
        <v>0.46779949999999998</v>
      </c>
      <c r="F650" s="28">
        <v>-1.4746547787433226E-3</v>
      </c>
      <c r="G650" s="25">
        <f t="shared" si="6"/>
        <v>9.7926074470159871E-2</v>
      </c>
      <c r="H650" s="28">
        <v>6.6504887519798E-3</v>
      </c>
      <c r="I650" s="28">
        <v>-1.4786389544414573E-3</v>
      </c>
      <c r="J650" s="28">
        <v>-1.482623130139592E-3</v>
      </c>
      <c r="K650" s="28">
        <v>-1.4866073058377267E-3</v>
      </c>
      <c r="L650" s="28">
        <v>-1.4905914815358614E-3</v>
      </c>
      <c r="M650" s="28">
        <v>-1.4945756572339961E-3</v>
      </c>
      <c r="N650" s="29">
        <v>-1.4985598329321308E-3</v>
      </c>
    </row>
    <row r="651" spans="1:14" x14ac:dyDescent="0.35">
      <c r="A651" s="24">
        <v>146</v>
      </c>
      <c r="B651" s="25" t="s">
        <v>29</v>
      </c>
      <c r="C651" s="30">
        <v>43313</v>
      </c>
      <c r="D651" s="25">
        <v>9.0941722125781003E-3</v>
      </c>
      <c r="E651" s="25">
        <v>0.49992599999999998</v>
      </c>
      <c r="F651" s="25">
        <v>4.5464131451254152E-3</v>
      </c>
      <c r="G651" s="25">
        <f t="shared" si="6"/>
        <v>0.10247248761528528</v>
      </c>
      <c r="H651" s="25">
        <v>6.5615123821623003E-3</v>
      </c>
      <c r="I651" s="25">
        <v>4.5436492609953428E-3</v>
      </c>
      <c r="J651" s="25">
        <v>4.5408853768652705E-3</v>
      </c>
      <c r="K651" s="25">
        <v>4.5381214927351973E-3</v>
      </c>
      <c r="L651" s="25">
        <v>4.5353576086051249E-3</v>
      </c>
      <c r="M651" s="25">
        <v>4.5325937244750526E-3</v>
      </c>
      <c r="N651" s="26">
        <v>4.5298298403449802E-3</v>
      </c>
    </row>
    <row r="652" spans="1:14" x14ac:dyDescent="0.35">
      <c r="A652" s="27">
        <v>147</v>
      </c>
      <c r="B652" s="28" t="s">
        <v>29</v>
      </c>
      <c r="C652" s="31">
        <v>43314</v>
      </c>
      <c r="D652" s="28">
        <v>5.6239927272586001E-3</v>
      </c>
      <c r="E652" s="28">
        <v>0.45886278000000003</v>
      </c>
      <c r="F652" s="28">
        <v>2.5806409461043298E-3</v>
      </c>
      <c r="G652" s="25">
        <f t="shared" si="6"/>
        <v>0.10505312856138961</v>
      </c>
      <c r="H652" s="28">
        <v>6.5340543161467E-3</v>
      </c>
      <c r="I652" s="28">
        <v>2.5778230704942115E-3</v>
      </c>
      <c r="J652" s="28">
        <v>2.5750051948840932E-3</v>
      </c>
      <c r="K652" s="28">
        <v>2.5721873192739754E-3</v>
      </c>
      <c r="L652" s="28">
        <v>2.5693694436638571E-3</v>
      </c>
      <c r="M652" s="28">
        <v>2.5665515680537388E-3</v>
      </c>
      <c r="N652" s="29">
        <v>2.5637336924436206E-3</v>
      </c>
    </row>
    <row r="653" spans="1:14" x14ac:dyDescent="0.35">
      <c r="A653" s="24">
        <v>148</v>
      </c>
      <c r="B653" s="25" t="s">
        <v>29</v>
      </c>
      <c r="C653" s="30">
        <v>43315</v>
      </c>
      <c r="D653" s="25">
        <v>5.4171750054043E-3</v>
      </c>
      <c r="E653" s="25">
        <v>0.47065812000000001</v>
      </c>
      <c r="F653" s="25">
        <v>2.5496374226778242E-3</v>
      </c>
      <c r="G653" s="25">
        <f t="shared" si="6"/>
        <v>0.10760276598406744</v>
      </c>
      <c r="H653" s="25">
        <v>6.4500866466900997E-3</v>
      </c>
      <c r="I653" s="25">
        <v>2.5483415123653571E-3</v>
      </c>
      <c r="J653" s="25">
        <v>2.5470456020528897E-3</v>
      </c>
      <c r="K653" s="25">
        <v>2.5457496917404227E-3</v>
      </c>
      <c r="L653" s="25">
        <v>2.5444537814279557E-3</v>
      </c>
      <c r="M653" s="25">
        <v>2.5431578711154882E-3</v>
      </c>
      <c r="N653" s="26">
        <v>2.5418619608030212E-3</v>
      </c>
    </row>
    <row r="654" spans="1:14" x14ac:dyDescent="0.35">
      <c r="A654" s="27">
        <v>149</v>
      </c>
      <c r="B654" s="28" t="s">
        <v>29</v>
      </c>
      <c r="C654" s="31">
        <v>43318</v>
      </c>
      <c r="D654" s="28">
        <v>5.0799415390387999E-3</v>
      </c>
      <c r="E654" s="28">
        <v>0.46500661999999998</v>
      </c>
      <c r="F654" s="28">
        <v>2.3622064433006401E-3</v>
      </c>
      <c r="G654" s="25">
        <f t="shared" si="6"/>
        <v>0.10996497242736808</v>
      </c>
      <c r="H654" s="28">
        <v>6.3634411198176003E-3</v>
      </c>
      <c r="I654" s="28">
        <v>2.3621566286023865E-3</v>
      </c>
      <c r="J654" s="28">
        <v>2.3621068139041334E-3</v>
      </c>
      <c r="K654" s="28">
        <v>2.3620569992058799E-3</v>
      </c>
      <c r="L654" s="28">
        <v>2.3620071845076268E-3</v>
      </c>
      <c r="M654" s="28">
        <v>2.3619573698093733E-3</v>
      </c>
      <c r="N654" s="29">
        <v>2.3619075551111202E-3</v>
      </c>
    </row>
    <row r="655" spans="1:14" x14ac:dyDescent="0.35">
      <c r="A655" s="24">
        <v>150</v>
      </c>
      <c r="B655" s="25" t="s">
        <v>29</v>
      </c>
      <c r="C655" s="30">
        <v>43319</v>
      </c>
      <c r="D655" s="25">
        <v>-2.3700815691885002E-3</v>
      </c>
      <c r="E655" s="25">
        <v>0.42694658000000002</v>
      </c>
      <c r="F655" s="25">
        <v>-1.0118982212578057E-3</v>
      </c>
      <c r="G655" s="25">
        <f t="shared" si="6"/>
        <v>0.10895307420611028</v>
      </c>
      <c r="H655" s="25">
        <v>6.2735323345909999E-3</v>
      </c>
      <c r="I655" s="25">
        <v>-1.014269711724678E-3</v>
      </c>
      <c r="J655" s="25">
        <v>-1.0166412021915506E-3</v>
      </c>
      <c r="K655" s="25">
        <v>-1.0190126926584229E-3</v>
      </c>
      <c r="L655" s="25">
        <v>-1.0213841831252955E-3</v>
      </c>
      <c r="M655" s="25">
        <v>-1.0237556735921678E-3</v>
      </c>
      <c r="N655" s="26">
        <v>-1.0261271640590402E-3</v>
      </c>
    </row>
    <row r="656" spans="1:14" x14ac:dyDescent="0.35">
      <c r="A656" s="27">
        <v>151</v>
      </c>
      <c r="B656" s="28" t="s">
        <v>29</v>
      </c>
      <c r="C656" s="31">
        <v>43320</v>
      </c>
      <c r="D656" s="28">
        <v>-8.0221096650769997E-4</v>
      </c>
      <c r="E656" s="28">
        <v>0.45202737999999998</v>
      </c>
      <c r="F656" s="28">
        <v>-3.6262132177194365E-4</v>
      </c>
      <c r="G656" s="25">
        <f t="shared" si="6"/>
        <v>0.10859045288433833</v>
      </c>
      <c r="H656" s="28">
        <v>6.1879887130254999E-3</v>
      </c>
      <c r="I656" s="28">
        <v>-3.6498074312501681E-4</v>
      </c>
      <c r="J656" s="28">
        <v>-3.6734016447808996E-4</v>
      </c>
      <c r="K656" s="28">
        <v>-3.6969958583116312E-4</v>
      </c>
      <c r="L656" s="28">
        <v>-3.7205900718423628E-4</v>
      </c>
      <c r="M656" s="28">
        <v>-3.7441842853730943E-4</v>
      </c>
      <c r="N656" s="29">
        <v>-3.7677784989038259E-4</v>
      </c>
    </row>
    <row r="657" spans="1:14" x14ac:dyDescent="0.35">
      <c r="A657" s="24">
        <v>152</v>
      </c>
      <c r="B657" s="25" t="s">
        <v>29</v>
      </c>
      <c r="C657" s="30">
        <v>43321</v>
      </c>
      <c r="D657" s="25">
        <v>-9.2403109738181995E-3</v>
      </c>
      <c r="E657" s="25">
        <v>0.44980657000000002</v>
      </c>
      <c r="F657" s="25">
        <v>-4.1563525941694371E-3</v>
      </c>
      <c r="G657" s="25">
        <f t="shared" si="6"/>
        <v>0.10443410029016889</v>
      </c>
      <c r="H657" s="25">
        <v>6.0916844440322996E-3</v>
      </c>
      <c r="I657" s="25">
        <v>-4.1567259656637929E-3</v>
      </c>
      <c r="J657" s="25">
        <v>-4.1570993371581495E-3</v>
      </c>
      <c r="K657" s="25">
        <v>-4.1574727086525053E-3</v>
      </c>
      <c r="L657" s="25">
        <v>-4.1578460801468611E-3</v>
      </c>
      <c r="M657" s="25">
        <v>-4.1582194516412169E-3</v>
      </c>
      <c r="N657" s="26">
        <v>-4.1585928231355736E-3</v>
      </c>
    </row>
    <row r="658" spans="1:14" x14ac:dyDescent="0.35">
      <c r="A658" s="27">
        <v>153</v>
      </c>
      <c r="B658" s="28" t="s">
        <v>29</v>
      </c>
      <c r="C658" s="31">
        <v>43322</v>
      </c>
      <c r="D658" s="28">
        <v>-6.1258336137244998E-3</v>
      </c>
      <c r="E658" s="28">
        <v>0.46954304000000002</v>
      </c>
      <c r="F658" s="28">
        <v>-2.8763425362894812E-3</v>
      </c>
      <c r="G658" s="25">
        <f t="shared" si="6"/>
        <v>0.10155775775387942</v>
      </c>
      <c r="H658" s="28">
        <v>6.1172643865620002E-3</v>
      </c>
      <c r="I658" s="28">
        <v>-2.8777209649718926E-3</v>
      </c>
      <c r="J658" s="28">
        <v>-2.879099393654304E-3</v>
      </c>
      <c r="K658" s="28">
        <v>-2.880477822336715E-3</v>
      </c>
      <c r="L658" s="28">
        <v>-2.8818562510191264E-3</v>
      </c>
      <c r="M658" s="28">
        <v>-2.8832346797015378E-3</v>
      </c>
      <c r="N658" s="29">
        <v>-2.8846131083839492E-3</v>
      </c>
    </row>
    <row r="659" spans="1:14" x14ac:dyDescent="0.35">
      <c r="A659" s="24">
        <v>154</v>
      </c>
      <c r="B659" s="25" t="s">
        <v>29</v>
      </c>
      <c r="C659" s="30">
        <v>43325</v>
      </c>
      <c r="D659" s="25">
        <v>8.5336035928621993E-3</v>
      </c>
      <c r="E659" s="25">
        <v>0.43668938000000002</v>
      </c>
      <c r="F659" s="25">
        <v>3.7265340350902433E-3</v>
      </c>
      <c r="G659" s="25">
        <f t="shared" si="6"/>
        <v>0.10528429178896966</v>
      </c>
      <c r="H659" s="25">
        <v>6.0742814404508997E-3</v>
      </c>
      <c r="I659" s="25">
        <v>3.7242353044661682E-3</v>
      </c>
      <c r="J659" s="25">
        <v>3.7219365738420927E-3</v>
      </c>
      <c r="K659" s="25">
        <v>3.7196378432180176E-3</v>
      </c>
      <c r="L659" s="25">
        <v>3.7173391125939425E-3</v>
      </c>
      <c r="M659" s="25">
        <v>3.7150403819698669E-3</v>
      </c>
      <c r="N659" s="26">
        <v>3.7127416513457918E-3</v>
      </c>
    </row>
    <row r="660" spans="1:14" x14ac:dyDescent="0.35">
      <c r="A660" s="27">
        <v>155</v>
      </c>
      <c r="B660" s="28" t="s">
        <v>29</v>
      </c>
      <c r="C660" s="31">
        <v>43326</v>
      </c>
      <c r="D660" s="28">
        <v>-1.08768121728283E-2</v>
      </c>
      <c r="E660" s="28">
        <v>0.32432810000000001</v>
      </c>
      <c r="F660" s="28">
        <v>-3.5276557686498471E-3</v>
      </c>
      <c r="G660" s="25">
        <f t="shared" si="6"/>
        <v>0.10175663602031981</v>
      </c>
      <c r="H660" s="28">
        <v>6.0392808430720004E-3</v>
      </c>
      <c r="I660" s="28">
        <v>-3.5362489943812198E-3</v>
      </c>
      <c r="J660" s="28">
        <v>-3.5448422201125925E-3</v>
      </c>
      <c r="K660" s="28">
        <v>-3.5534354458439652E-3</v>
      </c>
      <c r="L660" s="28">
        <v>-3.5620286715753379E-3</v>
      </c>
      <c r="M660" s="28">
        <v>-3.5706218973067107E-3</v>
      </c>
      <c r="N660" s="29">
        <v>-3.5792151230380834E-3</v>
      </c>
    </row>
    <row r="661" spans="1:14" x14ac:dyDescent="0.35">
      <c r="A661" s="24">
        <v>156</v>
      </c>
      <c r="B661" s="25" t="s">
        <v>29</v>
      </c>
      <c r="C661" s="30">
        <v>43327</v>
      </c>
      <c r="D661" s="25">
        <v>1.2909677490093901E-2</v>
      </c>
      <c r="E661" s="25">
        <v>0.44760372999999998</v>
      </c>
      <c r="F661" s="25">
        <v>5.7784198279683865E-3</v>
      </c>
      <c r="G661" s="25">
        <f t="shared" si="6"/>
        <v>0.10753505584828819</v>
      </c>
      <c r="H661" s="25">
        <v>6.0967991210075997E-3</v>
      </c>
      <c r="I661" s="25">
        <v>5.7691062697081416E-3</v>
      </c>
      <c r="J661" s="25">
        <v>5.7597927114478968E-3</v>
      </c>
      <c r="K661" s="25">
        <v>5.750479153187652E-3</v>
      </c>
      <c r="L661" s="25">
        <v>5.7411655949274071E-3</v>
      </c>
      <c r="M661" s="25">
        <v>5.7318520366671623E-3</v>
      </c>
      <c r="N661" s="26">
        <v>5.7225384784069175E-3</v>
      </c>
    </row>
    <row r="662" spans="1:14" x14ac:dyDescent="0.35">
      <c r="A662" s="27">
        <v>157</v>
      </c>
      <c r="B662" s="28" t="s">
        <v>29</v>
      </c>
      <c r="C662" s="31">
        <v>43328</v>
      </c>
      <c r="D662" s="28">
        <v>4.0439516679690998E-3</v>
      </c>
      <c r="E662" s="28">
        <v>0.27940505999999998</v>
      </c>
      <c r="F662" s="28">
        <v>1.1299005480341316E-3</v>
      </c>
      <c r="G662" s="25">
        <f t="shared" si="6"/>
        <v>0.10866495639632233</v>
      </c>
      <c r="H662" s="28">
        <v>6.1603046413165998E-3</v>
      </c>
      <c r="I662" s="28">
        <v>1.1166432232743769E-3</v>
      </c>
      <c r="J662" s="28">
        <v>1.1033858985146222E-3</v>
      </c>
      <c r="K662" s="28">
        <v>1.0901285737548677E-3</v>
      </c>
      <c r="L662" s="28">
        <v>1.076871248995113E-3</v>
      </c>
      <c r="M662" s="28">
        <v>1.0636139242353583E-3</v>
      </c>
      <c r="N662" s="29">
        <v>1.0503565994756036E-3</v>
      </c>
    </row>
    <row r="663" spans="1:14" x14ac:dyDescent="0.35">
      <c r="A663" s="24">
        <v>158</v>
      </c>
      <c r="B663" s="25" t="s">
        <v>29</v>
      </c>
      <c r="C663" s="30">
        <v>43329</v>
      </c>
      <c r="D663" s="25">
        <v>3.4120807309109E-3</v>
      </c>
      <c r="E663" s="25">
        <v>0.32807281999999999</v>
      </c>
      <c r="F663" s="25">
        <v>1.119410934264787E-3</v>
      </c>
      <c r="G663" s="25">
        <f t="shared" si="6"/>
        <v>0.10978436733058712</v>
      </c>
      <c r="H663" s="25">
        <v>6.0682591448258999E-3</v>
      </c>
      <c r="I663" s="25">
        <v>1.1152967790619241E-3</v>
      </c>
      <c r="J663" s="25">
        <v>1.111182623859061E-3</v>
      </c>
      <c r="K663" s="25">
        <v>1.1070684686561982E-3</v>
      </c>
      <c r="L663" s="25">
        <v>1.1029543134533353E-3</v>
      </c>
      <c r="M663" s="25">
        <v>1.0988401582504722E-3</v>
      </c>
      <c r="N663" s="26">
        <v>1.0947260030476093E-3</v>
      </c>
    </row>
    <row r="664" spans="1:14" x14ac:dyDescent="0.35">
      <c r="A664" s="27">
        <v>159</v>
      </c>
      <c r="B664" s="28" t="s">
        <v>29</v>
      </c>
      <c r="C664" s="31">
        <v>43332</v>
      </c>
      <c r="D664" s="28">
        <v>1.7985410271743E-3</v>
      </c>
      <c r="E664" s="28">
        <v>0.34664175000000003</v>
      </c>
      <c r="F664" s="28">
        <v>6.2344940756622717E-4</v>
      </c>
      <c r="G664" s="25">
        <f t="shared" si="6"/>
        <v>0.11040781673815335</v>
      </c>
      <c r="H664" s="28">
        <v>5.9733203132946002E-3</v>
      </c>
      <c r="I664" s="28">
        <v>6.2157473960694661E-4</v>
      </c>
      <c r="J664" s="28">
        <v>6.1970007164766604E-4</v>
      </c>
      <c r="K664" s="28">
        <v>6.1782540368838536E-4</v>
      </c>
      <c r="L664" s="28">
        <v>6.1595073572910479E-4</v>
      </c>
      <c r="M664" s="28">
        <v>6.1407606776982422E-4</v>
      </c>
      <c r="N664" s="29">
        <v>6.1220139981054366E-4</v>
      </c>
    </row>
    <row r="665" spans="1:14" x14ac:dyDescent="0.35">
      <c r="A665" s="24">
        <v>160</v>
      </c>
      <c r="B665" s="25" t="s">
        <v>29</v>
      </c>
      <c r="C665" s="30">
        <v>43333</v>
      </c>
      <c r="D665" s="25">
        <v>-2.8101724015260001E-4</v>
      </c>
      <c r="E665" s="25">
        <v>0.34920296000000001</v>
      </c>
      <c r="F665" s="25">
        <v>-9.8132052277348671E-5</v>
      </c>
      <c r="G665" s="25">
        <f t="shared" si="6"/>
        <v>0.110309684685876</v>
      </c>
      <c r="H665" s="25">
        <v>5.8748439773940002E-3</v>
      </c>
      <c r="I665" s="25">
        <v>-9.8797605718680355E-5</v>
      </c>
      <c r="J665" s="25">
        <v>-9.9463159160012053E-5</v>
      </c>
      <c r="K665" s="25">
        <v>-1.0012871260134374E-4</v>
      </c>
      <c r="L665" s="25">
        <v>-1.0079426604267544E-4</v>
      </c>
      <c r="M665" s="25">
        <v>-1.0145981948400712E-4</v>
      </c>
      <c r="N665" s="26">
        <v>-1.0212537292533881E-4</v>
      </c>
    </row>
    <row r="666" spans="1:14" x14ac:dyDescent="0.35">
      <c r="A666" s="27">
        <v>161</v>
      </c>
      <c r="B666" s="28" t="s">
        <v>29</v>
      </c>
      <c r="C666" s="31">
        <v>43334</v>
      </c>
      <c r="D666" s="28">
        <v>-1.8567193764768E-3</v>
      </c>
      <c r="E666" s="28">
        <v>0.3620237</v>
      </c>
      <c r="F666" s="28">
        <v>-6.7217643933748981E-4</v>
      </c>
      <c r="G666" s="25">
        <f t="shared" si="6"/>
        <v>0.10963750824653851</v>
      </c>
      <c r="H666" s="28">
        <v>5.7805914245986001E-3</v>
      </c>
      <c r="I666" s="28">
        <v>-6.7368218990932274E-4</v>
      </c>
      <c r="J666" s="28">
        <v>-6.7518794048115557E-4</v>
      </c>
      <c r="K666" s="28">
        <v>-6.7669369105298851E-4</v>
      </c>
      <c r="L666" s="28">
        <v>-6.7819944162482145E-4</v>
      </c>
      <c r="M666" s="28">
        <v>-6.7970519219665427E-4</v>
      </c>
      <c r="N666" s="29">
        <v>-6.8121094276848721E-4</v>
      </c>
    </row>
    <row r="667" spans="1:14" x14ac:dyDescent="0.35">
      <c r="A667" s="24">
        <v>162</v>
      </c>
      <c r="B667" s="25" t="s">
        <v>29</v>
      </c>
      <c r="C667" s="30">
        <v>43335</v>
      </c>
      <c r="D667" s="25">
        <v>1.08838496971314E-2</v>
      </c>
      <c r="E667" s="25">
        <v>0.35597099999999998</v>
      </c>
      <c r="F667" s="25">
        <v>3.874334953476929E-3</v>
      </c>
      <c r="G667" s="25">
        <f t="shared" si="6"/>
        <v>0.11351184320001544</v>
      </c>
      <c r="H667" s="25">
        <v>5.6957051703604E-3</v>
      </c>
      <c r="I667" s="25">
        <v>3.8742738618317758E-3</v>
      </c>
      <c r="J667" s="25">
        <v>3.8742127701866225E-3</v>
      </c>
      <c r="K667" s="25">
        <v>3.8741516785414693E-3</v>
      </c>
      <c r="L667" s="25">
        <v>3.874090586896316E-3</v>
      </c>
      <c r="M667" s="25">
        <v>3.8740294952511628E-3</v>
      </c>
      <c r="N667" s="26">
        <v>3.8739684036060095E-3</v>
      </c>
    </row>
    <row r="668" spans="1:14" x14ac:dyDescent="0.35">
      <c r="A668" s="27">
        <v>163</v>
      </c>
      <c r="B668" s="28" t="s">
        <v>29</v>
      </c>
      <c r="C668" s="31">
        <v>43336</v>
      </c>
      <c r="D668" s="28">
        <v>1.2537443199877899E-2</v>
      </c>
      <c r="E668" s="28">
        <v>0.24879076999999999</v>
      </c>
      <c r="F668" s="28">
        <v>3.1192001571716758E-3</v>
      </c>
      <c r="G668" s="25">
        <f t="shared" si="6"/>
        <v>0.11663104335718712</v>
      </c>
      <c r="H668" s="28">
        <v>5.6982191733337996E-3</v>
      </c>
      <c r="I668" s="28">
        <v>3.110300509653845E-3</v>
      </c>
      <c r="J668" s="28">
        <v>3.1014008621360143E-3</v>
      </c>
      <c r="K668" s="28">
        <v>3.0925012146181836E-3</v>
      </c>
      <c r="L668" s="28">
        <v>3.0836015671003528E-3</v>
      </c>
      <c r="M668" s="28">
        <v>3.0747019195825221E-3</v>
      </c>
      <c r="N668" s="29">
        <v>3.0658022720646914E-3</v>
      </c>
    </row>
    <row r="669" spans="1:14" x14ac:dyDescent="0.35">
      <c r="A669" s="24">
        <v>164</v>
      </c>
      <c r="B669" s="25" t="s">
        <v>29</v>
      </c>
      <c r="C669" s="30">
        <v>43339</v>
      </c>
      <c r="D669" s="25">
        <v>4.2677052902170002E-4</v>
      </c>
      <c r="E669" s="25">
        <v>0.25404127999999998</v>
      </c>
      <c r="F669" s="25">
        <v>1.0841733330376728E-4</v>
      </c>
      <c r="G669" s="25">
        <f t="shared" si="6"/>
        <v>0.11673946069049089</v>
      </c>
      <c r="H669" s="25">
        <v>5.7290752430610003E-3</v>
      </c>
      <c r="I669" s="25">
        <v>1.080954416275815E-4</v>
      </c>
      <c r="J669" s="25">
        <v>1.077735499513957E-4</v>
      </c>
      <c r="K669" s="25">
        <v>1.0745165827520992E-4</v>
      </c>
      <c r="L669" s="25">
        <v>1.0712976659902413E-4</v>
      </c>
      <c r="M669" s="25">
        <v>1.0680787492283834E-4</v>
      </c>
      <c r="N669" s="26">
        <v>1.0648598324665256E-4</v>
      </c>
    </row>
    <row r="670" spans="1:14" x14ac:dyDescent="0.35">
      <c r="A670" s="27">
        <v>165</v>
      </c>
      <c r="B670" s="28" t="s">
        <v>29</v>
      </c>
      <c r="C670" s="31">
        <v>43340</v>
      </c>
      <c r="D670" s="28">
        <v>8.9622424932941005E-3</v>
      </c>
      <c r="E670" s="28">
        <v>0.38432556000000001</v>
      </c>
      <c r="F670" s="28">
        <v>3.4444189001121188E-3</v>
      </c>
      <c r="G670" s="25">
        <f t="shared" si="6"/>
        <v>0.120183879590603</v>
      </c>
      <c r="H670" s="28">
        <v>5.6366404180493998E-3</v>
      </c>
      <c r="I670" s="28">
        <v>3.4331550928030702E-3</v>
      </c>
      <c r="J670" s="28">
        <v>3.4218912854940215E-3</v>
      </c>
      <c r="K670" s="28">
        <v>3.4106274781849724E-3</v>
      </c>
      <c r="L670" s="28">
        <v>3.3993636708759237E-3</v>
      </c>
      <c r="M670" s="28">
        <v>3.388099863566875E-3</v>
      </c>
      <c r="N670" s="29">
        <v>3.3768360562578259E-3</v>
      </c>
    </row>
    <row r="671" spans="1:14" x14ac:dyDescent="0.35">
      <c r="A671" s="24">
        <v>166</v>
      </c>
      <c r="B671" s="25" t="s">
        <v>29</v>
      </c>
      <c r="C671" s="30">
        <v>43341</v>
      </c>
      <c r="D671" s="25">
        <v>-7.3872940543511997E-3</v>
      </c>
      <c r="E671" s="25">
        <v>0.32370004000000002</v>
      </c>
      <c r="F671" s="25">
        <v>-2.3912673851613228E-3</v>
      </c>
      <c r="G671" s="25">
        <f t="shared" si="6"/>
        <v>0.11779261220544168</v>
      </c>
      <c r="H671" s="25">
        <v>5.5951853239589004E-3</v>
      </c>
      <c r="I671" s="25">
        <v>-2.3961479111722552E-3</v>
      </c>
      <c r="J671" s="25">
        <v>-2.401028437183188E-3</v>
      </c>
      <c r="K671" s="25">
        <v>-2.4059089631941204E-3</v>
      </c>
      <c r="L671" s="25">
        <v>-2.4107894892050528E-3</v>
      </c>
      <c r="M671" s="25">
        <v>-2.4156700152159856E-3</v>
      </c>
      <c r="N671" s="26">
        <v>-2.4205505412269179E-3</v>
      </c>
    </row>
    <row r="672" spans="1:14" x14ac:dyDescent="0.35">
      <c r="A672" s="27">
        <v>167</v>
      </c>
      <c r="B672" s="28" t="s">
        <v>29</v>
      </c>
      <c r="C672" s="31">
        <v>43342</v>
      </c>
      <c r="D672" s="28">
        <v>0</v>
      </c>
      <c r="E672" s="28">
        <v>0.46035894999999999</v>
      </c>
      <c r="F672" s="28">
        <v>0</v>
      </c>
      <c r="G672" s="25">
        <f t="shared" si="6"/>
        <v>0.11779261220544168</v>
      </c>
      <c r="H672" s="28">
        <v>5.594892028643E-3</v>
      </c>
      <c r="I672" s="28">
        <v>-1.1541469671196613E-5</v>
      </c>
      <c r="J672" s="28">
        <v>-2.3082939342393227E-5</v>
      </c>
      <c r="K672" s="28">
        <v>-3.4624409013589842E-5</v>
      </c>
      <c r="L672" s="28">
        <v>-4.6165878684786454E-5</v>
      </c>
      <c r="M672" s="28">
        <v>-5.7707348355983072E-5</v>
      </c>
      <c r="N672" s="29">
        <v>-6.9248818027179684E-5</v>
      </c>
    </row>
    <row r="673" spans="1:14" x14ac:dyDescent="0.35">
      <c r="A673" s="24">
        <v>168</v>
      </c>
      <c r="B673" s="25" t="s">
        <v>29</v>
      </c>
      <c r="C673" s="30">
        <v>43343</v>
      </c>
      <c r="D673" s="25">
        <v>-2.2177143650449998E-3</v>
      </c>
      <c r="E673" s="25">
        <v>0.40934056000000002</v>
      </c>
      <c r="F673" s="25">
        <v>-9.0780044107503983E-4</v>
      </c>
      <c r="G673" s="25">
        <f t="shared" si="6"/>
        <v>0.11688481176436664</v>
      </c>
      <c r="H673" s="25">
        <v>5.5057848788236004E-3</v>
      </c>
      <c r="I673" s="25">
        <v>-9.1154920919041618E-4</v>
      </c>
      <c r="J673" s="25">
        <v>-9.1529797730579264E-4</v>
      </c>
      <c r="K673" s="25">
        <v>-9.1904674542116899E-4</v>
      </c>
      <c r="L673" s="25">
        <v>-9.2279551353654534E-4</v>
      </c>
      <c r="M673" s="25">
        <v>-9.2654428165192169E-4</v>
      </c>
      <c r="N673" s="26">
        <v>-9.3029304976729814E-4</v>
      </c>
    </row>
    <row r="674" spans="1:14" x14ac:dyDescent="0.35">
      <c r="A674" s="27">
        <v>169</v>
      </c>
      <c r="B674" s="28" t="s">
        <v>29</v>
      </c>
      <c r="C674" s="31">
        <v>43347</v>
      </c>
      <c r="D674" s="28">
        <v>-6.0031793382154001E-3</v>
      </c>
      <c r="E674" s="28">
        <v>0.41138439999999998</v>
      </c>
      <c r="F674" s="28">
        <v>-2.4696143523895023E-3</v>
      </c>
      <c r="G674" s="25">
        <f t="shared" si="6"/>
        <v>0.11441519741197714</v>
      </c>
      <c r="H674" s="28">
        <v>5.4309252652012998E-3</v>
      </c>
      <c r="I674" s="28">
        <v>-2.4702763263362792E-3</v>
      </c>
      <c r="J674" s="28">
        <v>-2.4709383002830564E-3</v>
      </c>
      <c r="K674" s="28">
        <v>-2.4716002742298333E-3</v>
      </c>
      <c r="L674" s="28">
        <v>-2.4722622481766106E-3</v>
      </c>
      <c r="M674" s="28">
        <v>-2.4729242221233874E-3</v>
      </c>
      <c r="N674" s="29">
        <v>-2.4735861960701647E-3</v>
      </c>
    </row>
    <row r="675" spans="1:14" x14ac:dyDescent="0.35">
      <c r="A675" s="24">
        <v>170</v>
      </c>
      <c r="B675" s="25" t="s">
        <v>29</v>
      </c>
      <c r="C675" s="30">
        <v>43348</v>
      </c>
      <c r="D675" s="25">
        <v>-5.6044853880384002E-3</v>
      </c>
      <c r="E675" s="25">
        <v>0.43192111999999999</v>
      </c>
      <c r="F675" s="25">
        <v>-2.4206956308117306E-3</v>
      </c>
      <c r="G675" s="25">
        <f t="shared" si="6"/>
        <v>0.11199450178116541</v>
      </c>
      <c r="H675" s="25">
        <v>5.3996075780172997E-3</v>
      </c>
      <c r="I675" s="25">
        <v>-2.4227001232698443E-3</v>
      </c>
      <c r="J675" s="25">
        <v>-2.424704615727958E-3</v>
      </c>
      <c r="K675" s="25">
        <v>-2.4267091081860716E-3</v>
      </c>
      <c r="L675" s="25">
        <v>-2.4287136006441857E-3</v>
      </c>
      <c r="M675" s="25">
        <v>-2.4307180931022994E-3</v>
      </c>
      <c r="N675" s="26">
        <v>-2.4327225855604131E-3</v>
      </c>
    </row>
    <row r="676" spans="1:14" x14ac:dyDescent="0.35">
      <c r="A676" s="27">
        <v>171</v>
      </c>
      <c r="B676" s="28" t="s">
        <v>29</v>
      </c>
      <c r="C676" s="31">
        <v>43349</v>
      </c>
      <c r="D676" s="28">
        <v>-2.6027865746743001E-3</v>
      </c>
      <c r="E676" s="28">
        <v>0.42399573000000002</v>
      </c>
      <c r="F676" s="28">
        <v>-1.1035704022511986E-3</v>
      </c>
      <c r="G676" s="25">
        <f t="shared" si="6"/>
        <v>0.1108909313789142</v>
      </c>
      <c r="H676" s="28">
        <v>5.3591966818068004E-3</v>
      </c>
      <c r="I676" s="28">
        <v>-1.1039841154190362E-3</v>
      </c>
      <c r="J676" s="28">
        <v>-1.1043978285868736E-3</v>
      </c>
      <c r="K676" s="28">
        <v>-1.1048115417547112E-3</v>
      </c>
      <c r="L676" s="28">
        <v>-1.1052252549225488E-3</v>
      </c>
      <c r="M676" s="28">
        <v>-1.1056389680903862E-3</v>
      </c>
      <c r="N676" s="29">
        <v>-1.1060526812582238E-3</v>
      </c>
    </row>
    <row r="677" spans="1:14" x14ac:dyDescent="0.35">
      <c r="A677" s="24">
        <v>172</v>
      </c>
      <c r="B677" s="25" t="s">
        <v>29</v>
      </c>
      <c r="C677" s="30">
        <v>43350</v>
      </c>
      <c r="D677" s="25">
        <v>3.4207233726917998E-3</v>
      </c>
      <c r="E677" s="25">
        <v>0.41103718</v>
      </c>
      <c r="F677" s="25">
        <v>1.4060444778873518E-3</v>
      </c>
      <c r="G677" s="25">
        <f t="shared" si="6"/>
        <v>0.11229697585680155</v>
      </c>
      <c r="H677" s="25">
        <v>5.2848862052295997E-3</v>
      </c>
      <c r="I677" s="25">
        <v>1.405411592103881E-3</v>
      </c>
      <c r="J677" s="25">
        <v>1.4047787063204101E-3</v>
      </c>
      <c r="K677" s="25">
        <v>1.404145820536939E-3</v>
      </c>
      <c r="L677" s="25">
        <v>1.4035129347534682E-3</v>
      </c>
      <c r="M677" s="25">
        <v>1.4028800489699973E-3</v>
      </c>
      <c r="N677" s="26">
        <v>1.4022471631865265E-3</v>
      </c>
    </row>
    <row r="678" spans="1:14" x14ac:dyDescent="0.35">
      <c r="A678" s="27">
        <v>173</v>
      </c>
      <c r="B678" s="28" t="s">
        <v>29</v>
      </c>
      <c r="C678" s="31">
        <v>43353</v>
      </c>
      <c r="D678" s="28">
        <v>5.9903334224637996E-3</v>
      </c>
      <c r="E678" s="28">
        <v>0.37743154000000001</v>
      </c>
      <c r="F678" s="28">
        <v>2.260940778825468E-3</v>
      </c>
      <c r="G678" s="25">
        <f t="shared" si="6"/>
        <v>0.11455791663562702</v>
      </c>
      <c r="H678" s="28">
        <v>5.2027554488365997E-3</v>
      </c>
      <c r="I678" s="28">
        <v>2.258469163232045E-3</v>
      </c>
      <c r="J678" s="28">
        <v>2.255997547638622E-3</v>
      </c>
      <c r="K678" s="28">
        <v>2.2535259320451994E-3</v>
      </c>
      <c r="L678" s="28">
        <v>2.2510543164517764E-3</v>
      </c>
      <c r="M678" s="28">
        <v>2.2485827008583534E-3</v>
      </c>
      <c r="N678" s="29">
        <v>2.2461110852649304E-3</v>
      </c>
    </row>
    <row r="679" spans="1:14" x14ac:dyDescent="0.35">
      <c r="A679" s="24">
        <v>174</v>
      </c>
      <c r="B679" s="25" t="s">
        <v>29</v>
      </c>
      <c r="C679" s="30">
        <v>43354</v>
      </c>
      <c r="D679" s="25">
        <v>-7.9540522728100002E-4</v>
      </c>
      <c r="E679" s="25">
        <v>0.37844524000000002</v>
      </c>
      <c r="F679" s="25">
        <v>-3.0101732044536436E-4</v>
      </c>
      <c r="G679" s="25">
        <f t="shared" si="6"/>
        <v>0.11425689931518165</v>
      </c>
      <c r="H679" s="25">
        <v>5.1386884565040999E-3</v>
      </c>
      <c r="I679" s="25">
        <v>-3.0153783574106944E-4</v>
      </c>
      <c r="J679" s="25">
        <v>-3.0205835103677459E-4</v>
      </c>
      <c r="K679" s="25">
        <v>-3.0257886633247967E-4</v>
      </c>
      <c r="L679" s="25">
        <v>-3.0309938162818476E-4</v>
      </c>
      <c r="M679" s="25">
        <v>-3.036198969238899E-4</v>
      </c>
      <c r="N679" s="26">
        <v>-3.0414041221959499E-4</v>
      </c>
    </row>
    <row r="680" spans="1:14" x14ac:dyDescent="0.35">
      <c r="A680" s="27">
        <v>175</v>
      </c>
      <c r="B680" s="28" t="s">
        <v>29</v>
      </c>
      <c r="C680" s="31">
        <v>43355</v>
      </c>
      <c r="D680" s="28">
        <v>1.0832805300526801E-2</v>
      </c>
      <c r="E680" s="28">
        <v>0.43218738000000001</v>
      </c>
      <c r="F680" s="28">
        <v>4.681801723622982E-3</v>
      </c>
      <c r="G680" s="25">
        <f t="shared" si="6"/>
        <v>0.11893870103880463</v>
      </c>
      <c r="H680" s="28">
        <v>5.0581591582138999E-3</v>
      </c>
      <c r="I680" s="28">
        <v>4.6762280029854185E-3</v>
      </c>
      <c r="J680" s="28">
        <v>4.6706542823478549E-3</v>
      </c>
      <c r="K680" s="28">
        <v>4.6650805617102914E-3</v>
      </c>
      <c r="L680" s="28">
        <v>4.659506841072727E-3</v>
      </c>
      <c r="M680" s="28">
        <v>4.6539331204351634E-3</v>
      </c>
      <c r="N680" s="29">
        <v>4.6483593997975999E-3</v>
      </c>
    </row>
    <row r="681" spans="1:14" x14ac:dyDescent="0.35">
      <c r="A681" s="24">
        <v>176</v>
      </c>
      <c r="B681" s="25" t="s">
        <v>29</v>
      </c>
      <c r="C681" s="30">
        <v>43356</v>
      </c>
      <c r="D681" s="25">
        <v>6.4303292711310003E-4</v>
      </c>
      <c r="E681" s="25">
        <v>0.37226883</v>
      </c>
      <c r="F681" s="25">
        <v>2.3938111270746965E-4</v>
      </c>
      <c r="G681" s="25">
        <f t="shared" si="6"/>
        <v>0.1191780821515121</v>
      </c>
      <c r="H681" s="25">
        <v>5.0579469138050002E-3</v>
      </c>
      <c r="I681" s="25">
        <v>2.3378589706487618E-4</v>
      </c>
      <c r="J681" s="25">
        <v>2.2819068142228269E-4</v>
      </c>
      <c r="K681" s="25">
        <v>2.2259546577968922E-4</v>
      </c>
      <c r="L681" s="25">
        <v>2.1700025013709573E-4</v>
      </c>
      <c r="M681" s="25">
        <v>2.1140503449450227E-4</v>
      </c>
      <c r="N681" s="26">
        <v>2.058098188519088E-4</v>
      </c>
    </row>
    <row r="682" spans="1:14" x14ac:dyDescent="0.35">
      <c r="A682" s="27">
        <v>177</v>
      </c>
      <c r="B682" s="28" t="s">
        <v>29</v>
      </c>
      <c r="C682" s="31">
        <v>43357</v>
      </c>
      <c r="D682" s="28">
        <v>-9.9658330302249999E-3</v>
      </c>
      <c r="E682" s="28">
        <v>0.43947839999999999</v>
      </c>
      <c r="F682" s="28">
        <v>-4.3797683285741627E-3</v>
      </c>
      <c r="G682" s="25">
        <f t="shared" si="6"/>
        <v>0.11479831382293794</v>
      </c>
      <c r="H682" s="28">
        <v>4.9752425205042E-3</v>
      </c>
      <c r="I682" s="28">
        <v>-4.3867286783817365E-3</v>
      </c>
      <c r="J682" s="28">
        <v>-4.3936890281893095E-3</v>
      </c>
      <c r="K682" s="28">
        <v>-4.4006493779968833E-3</v>
      </c>
      <c r="L682" s="28">
        <v>-4.4076097278044572E-3</v>
      </c>
      <c r="M682" s="28">
        <v>-4.4145700776120301E-3</v>
      </c>
      <c r="N682" s="29">
        <v>-4.421530427419604E-3</v>
      </c>
    </row>
    <row r="683" spans="1:14" x14ac:dyDescent="0.35">
      <c r="A683" s="24">
        <v>178</v>
      </c>
      <c r="B683" s="25" t="s">
        <v>29</v>
      </c>
      <c r="C683" s="30">
        <v>43360</v>
      </c>
      <c r="D683" s="25">
        <v>1.01034956418185E-2</v>
      </c>
      <c r="E683" s="25">
        <v>0.50315266999999997</v>
      </c>
      <c r="F683" s="25">
        <v>5.0836007931176729E-3</v>
      </c>
      <c r="G683" s="25">
        <f t="shared" si="6"/>
        <v>0.11988191461605562</v>
      </c>
      <c r="H683" s="25">
        <v>5.0142148263120998E-3</v>
      </c>
      <c r="I683" s="25">
        <v>5.0779255614559014E-3</v>
      </c>
      <c r="J683" s="25">
        <v>5.072250329794129E-3</v>
      </c>
      <c r="K683" s="25">
        <v>5.0665750981323575E-3</v>
      </c>
      <c r="L683" s="25">
        <v>5.0608998664705852E-3</v>
      </c>
      <c r="M683" s="25">
        <v>5.0552246348088137E-3</v>
      </c>
      <c r="N683" s="26">
        <v>5.0495494031470413E-3</v>
      </c>
    </row>
    <row r="684" spans="1:14" x14ac:dyDescent="0.35">
      <c r="A684" s="27">
        <v>179</v>
      </c>
      <c r="B684" s="28" t="s">
        <v>29</v>
      </c>
      <c r="C684" s="31">
        <v>43361</v>
      </c>
      <c r="D684" s="28">
        <v>2.2742460384292001E-3</v>
      </c>
      <c r="E684" s="28">
        <v>0.40302628000000001</v>
      </c>
      <c r="F684" s="28">
        <v>9.1658092701191586E-4</v>
      </c>
      <c r="G684" s="25">
        <f t="shared" si="6"/>
        <v>0.12079849554306753</v>
      </c>
      <c r="H684" s="28">
        <v>5.0032391109711997E-3</v>
      </c>
      <c r="I684" s="28">
        <v>9.0722999662287826E-4</v>
      </c>
      <c r="J684" s="28">
        <v>8.9787906623384076E-4</v>
      </c>
      <c r="K684" s="28">
        <v>8.8852813584480315E-4</v>
      </c>
      <c r="L684" s="28">
        <v>8.7917720545576555E-4</v>
      </c>
      <c r="M684" s="28">
        <v>8.6982627506672794E-4</v>
      </c>
      <c r="N684" s="29">
        <v>8.6047534467769045E-4</v>
      </c>
    </row>
    <row r="685" spans="1:14" x14ac:dyDescent="0.35">
      <c r="A685" s="24">
        <v>180</v>
      </c>
      <c r="B685" s="25" t="s">
        <v>29</v>
      </c>
      <c r="C685" s="30">
        <v>43362</v>
      </c>
      <c r="D685" s="25">
        <v>1.5836228801113801E-2</v>
      </c>
      <c r="E685" s="25">
        <v>0.42151250000000001</v>
      </c>
      <c r="F685" s="25">
        <v>6.6751686198236815E-3</v>
      </c>
      <c r="G685" s="25">
        <f t="shared" si="6"/>
        <v>0.12747366416289121</v>
      </c>
      <c r="H685" s="25">
        <v>4.9210465544472001E-3</v>
      </c>
      <c r="I685" s="25">
        <v>6.6727581595411927E-3</v>
      </c>
      <c r="J685" s="25">
        <v>6.6703476992587048E-3</v>
      </c>
      <c r="K685" s="25">
        <v>6.6679372389762161E-3</v>
      </c>
      <c r="L685" s="25">
        <v>6.6655267786937282E-3</v>
      </c>
      <c r="M685" s="25">
        <v>6.6631163184112394E-3</v>
      </c>
      <c r="N685" s="26">
        <v>6.6607058581287515E-3</v>
      </c>
    </row>
    <row r="686" spans="1:14" x14ac:dyDescent="0.35">
      <c r="A686" s="27">
        <v>181</v>
      </c>
      <c r="B686" s="28" t="s">
        <v>29</v>
      </c>
      <c r="C686" s="31">
        <v>43363</v>
      </c>
      <c r="D686" s="28">
        <v>4.1379347163179999E-3</v>
      </c>
      <c r="E686" s="28">
        <v>0.35979554000000002</v>
      </c>
      <c r="F686" s="28">
        <v>1.4888104581060227E-3</v>
      </c>
      <c r="G686" s="25">
        <f t="shared" si="6"/>
        <v>0.12896247462099725</v>
      </c>
      <c r="H686" s="28">
        <v>5.0200374752016001E-3</v>
      </c>
      <c r="I686" s="28">
        <v>1.4822040317790976E-3</v>
      </c>
      <c r="J686" s="28">
        <v>1.4755976054521727E-3</v>
      </c>
      <c r="K686" s="28">
        <v>1.4689911791252476E-3</v>
      </c>
      <c r="L686" s="28">
        <v>1.4623847527983225E-3</v>
      </c>
      <c r="M686" s="28">
        <v>1.4557783264713977E-3</v>
      </c>
      <c r="N686" s="29">
        <v>1.4491719001444726E-3</v>
      </c>
    </row>
    <row r="687" spans="1:14" x14ac:dyDescent="0.35">
      <c r="A687" s="24">
        <v>182</v>
      </c>
      <c r="B687" s="25" t="s">
        <v>29</v>
      </c>
      <c r="C687" s="30">
        <v>43364</v>
      </c>
      <c r="D687" s="25">
        <v>-9.7225902925759996E-3</v>
      </c>
      <c r="E687" s="25">
        <v>0.40085924000000001</v>
      </c>
      <c r="F687" s="25">
        <v>-3.8973901235963078E-3</v>
      </c>
      <c r="G687" s="25">
        <f t="shared" si="6"/>
        <v>0.12506508449740095</v>
      </c>
      <c r="H687" s="25">
        <v>4.9412451067338001E-3</v>
      </c>
      <c r="I687" s="25">
        <v>-3.9018563690811402E-3</v>
      </c>
      <c r="J687" s="25">
        <v>-3.9063226145659722E-3</v>
      </c>
      <c r="K687" s="25">
        <v>-3.910788860050805E-3</v>
      </c>
      <c r="L687" s="25">
        <v>-3.915255105535637E-3</v>
      </c>
      <c r="M687" s="25">
        <v>-3.9197213510204689E-3</v>
      </c>
      <c r="N687" s="26">
        <v>-3.9241875965053017E-3</v>
      </c>
    </row>
    <row r="688" spans="1:14" x14ac:dyDescent="0.35">
      <c r="A688" s="27">
        <v>183</v>
      </c>
      <c r="B688" s="28" t="s">
        <v>29</v>
      </c>
      <c r="C688" s="31">
        <v>43367</v>
      </c>
      <c r="D688" s="28">
        <v>-2.7537083598553002E-3</v>
      </c>
      <c r="E688" s="28">
        <v>0.46756235000000002</v>
      </c>
      <c r="F688" s="28">
        <v>-1.287530345478829E-3</v>
      </c>
      <c r="G688" s="25">
        <f t="shared" si="6"/>
        <v>0.12377755415192211</v>
      </c>
      <c r="H688" s="28">
        <v>4.9849622429939998E-3</v>
      </c>
      <c r="I688" s="28">
        <v>-1.2935160834422594E-3</v>
      </c>
      <c r="J688" s="28">
        <v>-1.29950182140569E-3</v>
      </c>
      <c r="K688" s="28">
        <v>-1.3054875593691204E-3</v>
      </c>
      <c r="L688" s="28">
        <v>-1.3114732973325508E-3</v>
      </c>
      <c r="M688" s="28">
        <v>-1.3174590352959812E-3</v>
      </c>
      <c r="N688" s="29">
        <v>-1.3234447732594118E-3</v>
      </c>
    </row>
    <row r="689" spans="1:14" x14ac:dyDescent="0.35">
      <c r="A689" s="24">
        <v>184</v>
      </c>
      <c r="B689" s="25" t="s">
        <v>29</v>
      </c>
      <c r="C689" s="30">
        <v>43368</v>
      </c>
      <c r="D689" s="25">
        <v>-6.4091030230200999E-3</v>
      </c>
      <c r="E689" s="25">
        <v>0.42559720000000001</v>
      </c>
      <c r="F689" s="25">
        <v>-2.7276962425100354E-3</v>
      </c>
      <c r="G689" s="25">
        <f t="shared" si="6"/>
        <v>0.12104985790941207</v>
      </c>
      <c r="H689" s="25">
        <v>4.920731022838E-3</v>
      </c>
      <c r="I689" s="25">
        <v>-2.7311470185868944E-3</v>
      </c>
      <c r="J689" s="25">
        <v>-2.7345977946637537E-3</v>
      </c>
      <c r="K689" s="25">
        <v>-2.7380485707406126E-3</v>
      </c>
      <c r="L689" s="25">
        <v>-2.741499346817472E-3</v>
      </c>
      <c r="M689" s="25">
        <v>-2.7449501228943309E-3</v>
      </c>
      <c r="N689" s="26">
        <v>-2.7484008989711903E-3</v>
      </c>
    </row>
    <row r="690" spans="1:14" x14ac:dyDescent="0.35">
      <c r="A690" s="27">
        <v>185</v>
      </c>
      <c r="B690" s="28" t="s">
        <v>29</v>
      </c>
      <c r="C690" s="31">
        <v>43369</v>
      </c>
      <c r="D690" s="28">
        <v>5.6336205400172997E-3</v>
      </c>
      <c r="E690" s="28">
        <v>0.40717681999999999</v>
      </c>
      <c r="F690" s="28">
        <v>2.2938797102264566E-3</v>
      </c>
      <c r="G690" s="25">
        <f t="shared" si="6"/>
        <v>0.12334373761963853</v>
      </c>
      <c r="H690" s="28">
        <v>4.8967229033832996E-3</v>
      </c>
      <c r="I690" s="28">
        <v>2.2923027832984205E-3</v>
      </c>
      <c r="J690" s="28">
        <v>2.2907258563703843E-3</v>
      </c>
      <c r="K690" s="28">
        <v>2.2891489294423477E-3</v>
      </c>
      <c r="L690" s="28">
        <v>2.2875720025143115E-3</v>
      </c>
      <c r="M690" s="28">
        <v>2.2859950755862754E-3</v>
      </c>
      <c r="N690" s="29">
        <v>2.2844181486582392E-3</v>
      </c>
    </row>
    <row r="691" spans="1:14" x14ac:dyDescent="0.35">
      <c r="A691" s="24">
        <v>186</v>
      </c>
      <c r="B691" s="25" t="s">
        <v>29</v>
      </c>
      <c r="C691" s="30">
        <v>43370</v>
      </c>
      <c r="D691" s="25">
        <v>-6.6963927253029995E-4</v>
      </c>
      <c r="E691" s="25">
        <v>0.32546522999999999</v>
      </c>
      <c r="F691" s="25">
        <v>-2.179443012800268E-4</v>
      </c>
      <c r="G691" s="25">
        <f t="shared" si="6"/>
        <v>0.1231257933183585</v>
      </c>
      <c r="H691" s="25">
        <v>4.8324483541619997E-3</v>
      </c>
      <c r="I691" s="25">
        <v>-2.2541049617854825E-4</v>
      </c>
      <c r="J691" s="25">
        <v>-2.328766910770697E-4</v>
      </c>
      <c r="K691" s="25">
        <v>-2.4034288597559115E-4</v>
      </c>
      <c r="L691" s="25">
        <v>-2.4780908087411257E-4</v>
      </c>
      <c r="M691" s="25">
        <v>-2.5527527577263402E-4</v>
      </c>
      <c r="N691" s="26">
        <v>-2.6274147067115546E-4</v>
      </c>
    </row>
    <row r="692" spans="1:14" x14ac:dyDescent="0.35">
      <c r="A692" s="27">
        <v>187</v>
      </c>
      <c r="B692" s="28" t="s">
        <v>29</v>
      </c>
      <c r="C692" s="31">
        <v>43371</v>
      </c>
      <c r="D692" s="28">
        <v>7.4859180385695003E-3</v>
      </c>
      <c r="E692" s="28">
        <v>0.32768983000000002</v>
      </c>
      <c r="F692" s="28">
        <v>2.4530591831659334E-3</v>
      </c>
      <c r="G692" s="25">
        <f t="shared" si="6"/>
        <v>0.12557885250152442</v>
      </c>
      <c r="H692" s="28">
        <v>4.7566863005724996E-3</v>
      </c>
      <c r="I692" s="28">
        <v>2.4523314158688731E-3</v>
      </c>
      <c r="J692" s="28">
        <v>2.4516036485718127E-3</v>
      </c>
      <c r="K692" s="28">
        <v>2.4508758812747523E-3</v>
      </c>
      <c r="L692" s="28">
        <v>2.450148113977692E-3</v>
      </c>
      <c r="M692" s="28">
        <v>2.4494203466806316E-3</v>
      </c>
      <c r="N692" s="29">
        <v>2.4486925793835712E-3</v>
      </c>
    </row>
    <row r="693" spans="1:14" x14ac:dyDescent="0.35">
      <c r="A693" s="24">
        <v>188</v>
      </c>
      <c r="B693" s="25" t="s">
        <v>29</v>
      </c>
      <c r="C693" s="30">
        <v>43374</v>
      </c>
      <c r="D693" s="25">
        <v>-1.0270749008517001E-3</v>
      </c>
      <c r="E693" s="25">
        <v>0.27306837</v>
      </c>
      <c r="F693" s="25">
        <v>-2.8046166743601658E-4</v>
      </c>
      <c r="G693" s="25">
        <f t="shared" si="6"/>
        <v>0.12529839083408842</v>
      </c>
      <c r="H693" s="25">
        <v>4.7099089443737004E-3</v>
      </c>
      <c r="I693" s="25">
        <v>-2.8561754797792215E-4</v>
      </c>
      <c r="J693" s="25">
        <v>-2.9077342851982772E-4</v>
      </c>
      <c r="K693" s="25">
        <v>-2.959293090617333E-4</v>
      </c>
      <c r="L693" s="25">
        <v>-3.0108518960363887E-4</v>
      </c>
      <c r="M693" s="25">
        <v>-3.0624107014554439E-4</v>
      </c>
      <c r="N693" s="26">
        <v>-3.1139695068745001E-4</v>
      </c>
    </row>
    <row r="694" spans="1:14" x14ac:dyDescent="0.35">
      <c r="A694" s="27">
        <v>189</v>
      </c>
      <c r="B694" s="28" t="s">
        <v>29</v>
      </c>
      <c r="C694" s="31">
        <v>43375</v>
      </c>
      <c r="D694" s="28">
        <v>2.0869513660242999E-3</v>
      </c>
      <c r="E694" s="28">
        <v>0.3047147</v>
      </c>
      <c r="F694" s="28">
        <v>6.3592477928117123E-4</v>
      </c>
      <c r="G694" s="25">
        <f t="shared" si="6"/>
        <v>0.1259343156133696</v>
      </c>
      <c r="H694" s="28">
        <v>4.6382556958069997E-3</v>
      </c>
      <c r="I694" s="28">
        <v>6.322781068576421E-4</v>
      </c>
      <c r="J694" s="28">
        <v>6.2863143443411297E-4</v>
      </c>
      <c r="K694" s="28">
        <v>6.2498476201058395E-4</v>
      </c>
      <c r="L694" s="28">
        <v>6.2133808958705482E-4</v>
      </c>
      <c r="M694" s="28">
        <v>6.1769141716352569E-4</v>
      </c>
      <c r="N694" s="29">
        <v>6.1404474473999656E-4</v>
      </c>
    </row>
    <row r="695" spans="1:14" x14ac:dyDescent="0.35">
      <c r="A695" s="24">
        <v>190</v>
      </c>
      <c r="B695" s="25" t="s">
        <v>29</v>
      </c>
      <c r="C695" s="30">
        <v>43376</v>
      </c>
      <c r="D695" s="25">
        <v>-1.6781421261203501E-2</v>
      </c>
      <c r="E695" s="25">
        <v>0.30467430000000001</v>
      </c>
      <c r="F695" s="25">
        <v>-5.1128677350032797E-3</v>
      </c>
      <c r="G695" s="25">
        <f t="shared" si="6"/>
        <v>0.12082144787836632</v>
      </c>
      <c r="H695" s="25">
        <v>4.5617970975662999E-3</v>
      </c>
      <c r="I695" s="25">
        <v>-5.113383773798128E-3</v>
      </c>
      <c r="J695" s="25">
        <v>-5.1138998125929772E-3</v>
      </c>
      <c r="K695" s="25">
        <v>-5.1144158513878255E-3</v>
      </c>
      <c r="L695" s="25">
        <v>-5.1149318901826746E-3</v>
      </c>
      <c r="M695" s="25">
        <v>-5.1154479289775229E-3</v>
      </c>
      <c r="N695" s="26">
        <v>-5.1159639677723721E-3</v>
      </c>
    </row>
    <row r="696" spans="1:14" x14ac:dyDescent="0.35">
      <c r="A696" s="27">
        <v>191</v>
      </c>
      <c r="B696" s="28" t="s">
        <v>29</v>
      </c>
      <c r="C696" s="31">
        <v>43377</v>
      </c>
      <c r="D696" s="28">
        <v>-9.3832614458696992E-3</v>
      </c>
      <c r="E696" s="28">
        <v>0.42827013000000003</v>
      </c>
      <c r="F696" s="28">
        <v>-4.0185706119099125E-3</v>
      </c>
      <c r="G696" s="25">
        <f t="shared" si="6"/>
        <v>0.11680287726645641</v>
      </c>
      <c r="H696" s="28">
        <v>4.7619277869574003E-3</v>
      </c>
      <c r="I696" s="28">
        <v>-4.0295070503301922E-3</v>
      </c>
      <c r="J696" s="28">
        <v>-4.0404434887504719E-3</v>
      </c>
      <c r="K696" s="28">
        <v>-4.0513799271707524E-3</v>
      </c>
      <c r="L696" s="28">
        <v>-4.0623163655910321E-3</v>
      </c>
      <c r="M696" s="28">
        <v>-4.0732528040113118E-3</v>
      </c>
      <c r="N696" s="29">
        <v>-4.0841892424315915E-3</v>
      </c>
    </row>
    <row r="697" spans="1:14" x14ac:dyDescent="0.35">
      <c r="A697" s="24">
        <v>192</v>
      </c>
      <c r="B697" s="25" t="s">
        <v>29</v>
      </c>
      <c r="C697" s="30">
        <v>43378</v>
      </c>
      <c r="D697" s="25">
        <v>-1.7090026911990001E-4</v>
      </c>
      <c r="E697" s="25">
        <v>0.43661052</v>
      </c>
      <c r="F697" s="25">
        <v>-7.4616855349099727E-5</v>
      </c>
      <c r="G697" s="25">
        <f t="shared" si="6"/>
        <v>0.11672826041110732</v>
      </c>
      <c r="H697" s="25">
        <v>4.7762793996903004E-3</v>
      </c>
      <c r="I697" s="25">
        <v>-7.531418588464427E-5</v>
      </c>
      <c r="J697" s="25">
        <v>-7.6011516420188799E-5</v>
      </c>
      <c r="K697" s="25">
        <v>-7.6708846955733342E-5</v>
      </c>
      <c r="L697" s="25">
        <v>-7.7406177491277884E-5</v>
      </c>
      <c r="M697" s="25">
        <v>-7.8103508026822413E-5</v>
      </c>
      <c r="N697" s="26">
        <v>-7.8800838562366956E-5</v>
      </c>
    </row>
    <row r="698" spans="1:14" x14ac:dyDescent="0.35">
      <c r="A698" s="27">
        <v>193</v>
      </c>
      <c r="B698" s="28" t="s">
        <v>29</v>
      </c>
      <c r="C698" s="31">
        <v>43381</v>
      </c>
      <c r="D698" s="28">
        <v>-3.8228584315636001E-3</v>
      </c>
      <c r="E698" s="28">
        <v>0.40715119999999999</v>
      </c>
      <c r="F698" s="28">
        <v>-1.5564813688895133E-3</v>
      </c>
      <c r="G698" s="25">
        <f t="shared" ref="G698:G756" si="7">G697+F698</f>
        <v>0.1151717790422178</v>
      </c>
      <c r="H698" s="28">
        <v>4.6979074229678997E-3</v>
      </c>
      <c r="I698" s="28">
        <v>-1.5587235318748854E-3</v>
      </c>
      <c r="J698" s="28">
        <v>-1.5609656948602573E-3</v>
      </c>
      <c r="K698" s="28">
        <v>-1.5632078578456294E-3</v>
      </c>
      <c r="L698" s="28">
        <v>-1.5654500208310016E-3</v>
      </c>
      <c r="M698" s="28">
        <v>-1.5676921838163735E-3</v>
      </c>
      <c r="N698" s="29">
        <v>-1.5699343468017456E-3</v>
      </c>
    </row>
    <row r="699" spans="1:14" x14ac:dyDescent="0.35">
      <c r="A699" s="24">
        <v>194</v>
      </c>
      <c r="B699" s="25" t="s">
        <v>29</v>
      </c>
      <c r="C699" s="30">
        <v>43382</v>
      </c>
      <c r="D699" s="25">
        <v>-7.5663918506627403E-2</v>
      </c>
      <c r="E699" s="25">
        <v>0.41348513999999997</v>
      </c>
      <c r="F699" s="25">
        <v>-3.1285905907030162E-2</v>
      </c>
      <c r="G699" s="25">
        <f t="shared" si="7"/>
        <v>8.3885873135187639E-2</v>
      </c>
      <c r="H699" s="25">
        <v>4.6372945121792002E-3</v>
      </c>
      <c r="I699" s="25">
        <v>-3.1287086415357976E-2</v>
      </c>
      <c r="J699" s="25">
        <v>-3.128826692368579E-2</v>
      </c>
      <c r="K699" s="25">
        <v>-3.1289447432013603E-2</v>
      </c>
      <c r="L699" s="25">
        <v>-3.1290627940341424E-2</v>
      </c>
      <c r="M699" s="25">
        <v>-3.1291808448669238E-2</v>
      </c>
      <c r="N699" s="26">
        <v>-3.1292988956997052E-2</v>
      </c>
    </row>
    <row r="700" spans="1:14" x14ac:dyDescent="0.35">
      <c r="A700" s="27">
        <v>195</v>
      </c>
      <c r="B700" s="28" t="s">
        <v>29</v>
      </c>
      <c r="C700" s="31">
        <v>43383</v>
      </c>
      <c r="D700" s="28">
        <v>-1.48651788781986E-2</v>
      </c>
      <c r="E700" s="28">
        <v>0.79546419999999995</v>
      </c>
      <c r="F700" s="28">
        <v>-1.1824717886763996E-2</v>
      </c>
      <c r="G700" s="25">
        <f t="shared" si="7"/>
        <v>7.2061155248423645E-2</v>
      </c>
      <c r="H700" s="28">
        <v>8.1142468064257008E-3</v>
      </c>
      <c r="I700" s="28">
        <v>-1.1828907561600136E-2</v>
      </c>
      <c r="J700" s="28">
        <v>-1.1833097236436274E-2</v>
      </c>
      <c r="K700" s="28">
        <v>-1.1837286911272414E-2</v>
      </c>
      <c r="L700" s="28">
        <v>-1.1841476586108554E-2</v>
      </c>
      <c r="M700" s="28">
        <v>-1.1845666260944692E-2</v>
      </c>
      <c r="N700" s="29">
        <v>-1.1849855935780832E-2</v>
      </c>
    </row>
    <row r="701" spans="1:14" x14ac:dyDescent="0.35">
      <c r="A701" s="24">
        <v>196</v>
      </c>
      <c r="B701" s="25" t="s">
        <v>29</v>
      </c>
      <c r="C701" s="30">
        <v>43384</v>
      </c>
      <c r="D701" s="25">
        <v>9.5883510080037992E-3</v>
      </c>
      <c r="E701" s="25">
        <v>0.80229289999999998</v>
      </c>
      <c r="F701" s="25">
        <v>7.6926657772257365E-3</v>
      </c>
      <c r="G701" s="25">
        <f t="shared" si="7"/>
        <v>7.9753821025649374E-2</v>
      </c>
      <c r="H701" s="25">
        <v>8.2556914360865999E-3</v>
      </c>
      <c r="I701" s="25">
        <v>7.6922630309219885E-3</v>
      </c>
      <c r="J701" s="25">
        <v>7.6918602846182396E-3</v>
      </c>
      <c r="K701" s="25">
        <v>7.6914575383144916E-3</v>
      </c>
      <c r="L701" s="25">
        <v>7.6910547920107427E-3</v>
      </c>
      <c r="M701" s="25">
        <v>7.6906520457069947E-3</v>
      </c>
      <c r="N701" s="26">
        <v>7.6902492994032458E-3</v>
      </c>
    </row>
    <row r="702" spans="1:14" x14ac:dyDescent="0.35">
      <c r="A702" s="27">
        <v>197</v>
      </c>
      <c r="B702" s="28" t="s">
        <v>29</v>
      </c>
      <c r="C702" s="31">
        <v>43385</v>
      </c>
      <c r="D702" s="28">
        <v>-8.0130095933892004E-3</v>
      </c>
      <c r="E702" s="28">
        <v>0.71342563999999997</v>
      </c>
      <c r="F702" s="28">
        <v>-5.7166864677736153E-3</v>
      </c>
      <c r="G702" s="25">
        <f t="shared" si="7"/>
        <v>7.4037134557875764E-2</v>
      </c>
      <c r="H702" s="28">
        <v>8.3058753560943006E-3</v>
      </c>
      <c r="I702" s="28">
        <v>-5.7220188314108852E-3</v>
      </c>
      <c r="J702" s="28">
        <v>-5.727351195048155E-3</v>
      </c>
      <c r="K702" s="28">
        <v>-5.7326835586854257E-3</v>
      </c>
      <c r="L702" s="28">
        <v>-5.7380159223226956E-3</v>
      </c>
      <c r="M702" s="28">
        <v>-5.7433482859599655E-3</v>
      </c>
      <c r="N702" s="29">
        <v>-5.7486806495972353E-3</v>
      </c>
    </row>
    <row r="703" spans="1:14" x14ac:dyDescent="0.35">
      <c r="A703" s="24">
        <v>198</v>
      </c>
      <c r="B703" s="25" t="s">
        <v>29</v>
      </c>
      <c r="C703" s="30">
        <v>43388</v>
      </c>
      <c r="D703" s="25">
        <v>2.8681941298229801E-2</v>
      </c>
      <c r="E703" s="25">
        <v>0.80653213999999995</v>
      </c>
      <c r="F703" s="25">
        <v>2.3132907625018358E-2</v>
      </c>
      <c r="G703" s="25">
        <f t="shared" si="7"/>
        <v>9.7170042182894129E-2</v>
      </c>
      <c r="H703" s="25">
        <v>8.2391120405102998E-3</v>
      </c>
      <c r="I703" s="25">
        <v>2.3127239780227755E-2</v>
      </c>
      <c r="J703" s="25">
        <v>2.3121571935437155E-2</v>
      </c>
      <c r="K703" s="25">
        <v>2.3115904090646552E-2</v>
      </c>
      <c r="L703" s="25">
        <v>2.3110236245855949E-2</v>
      </c>
      <c r="M703" s="25">
        <v>2.310456840106535E-2</v>
      </c>
      <c r="N703" s="26">
        <v>2.3098900556274747E-2</v>
      </c>
    </row>
    <row r="704" spans="1:14" x14ac:dyDescent="0.35">
      <c r="A704" s="27">
        <v>199</v>
      </c>
      <c r="B704" s="28" t="s">
        <v>29</v>
      </c>
      <c r="C704" s="31">
        <v>43389</v>
      </c>
      <c r="D704" s="28">
        <v>-5.3653866987929996E-4</v>
      </c>
      <c r="E704" s="28">
        <v>0.64106739999999995</v>
      </c>
      <c r="F704" s="28">
        <v>-3.4395744241227222E-4</v>
      </c>
      <c r="G704" s="25">
        <f t="shared" si="7"/>
        <v>9.6826084740481863E-2</v>
      </c>
      <c r="H704" s="28">
        <v>9.3751615692120992E-3</v>
      </c>
      <c r="I704" s="28">
        <v>-3.5790022951807439E-4</v>
      </c>
      <c r="J704" s="28">
        <v>-3.7184301662387655E-4</v>
      </c>
      <c r="K704" s="28">
        <v>-3.8578580372967871E-4</v>
      </c>
      <c r="L704" s="28">
        <v>-3.9972859083548087E-4</v>
      </c>
      <c r="M704" s="28">
        <v>-4.1367137794128304E-4</v>
      </c>
      <c r="N704" s="29">
        <v>-4.276141650470852E-4</v>
      </c>
    </row>
    <row r="705" spans="1:14" x14ac:dyDescent="0.35">
      <c r="A705" s="24">
        <v>200</v>
      </c>
      <c r="B705" s="25" t="s">
        <v>29</v>
      </c>
      <c r="C705" s="30">
        <v>43390</v>
      </c>
      <c r="D705" s="25">
        <v>-1.6011459002677399E-2</v>
      </c>
      <c r="E705" s="25">
        <v>0.75576140000000003</v>
      </c>
      <c r="F705" s="25">
        <v>-1.2100842431157605E-2</v>
      </c>
      <c r="G705" s="25">
        <f t="shared" si="7"/>
        <v>8.4725242309324253E-2</v>
      </c>
      <c r="H705" s="25">
        <v>9.2202257116713992E-3</v>
      </c>
      <c r="I705" s="25">
        <v>-1.2107262361422675E-2</v>
      </c>
      <c r="J705" s="25">
        <v>-1.2113682291687746E-2</v>
      </c>
      <c r="K705" s="25">
        <v>-1.2120102221952818E-2</v>
      </c>
      <c r="L705" s="25">
        <v>-1.2126522152217888E-2</v>
      </c>
      <c r="M705" s="25">
        <v>-1.2132942082482959E-2</v>
      </c>
      <c r="N705" s="26">
        <v>-1.2139362012748029E-2</v>
      </c>
    </row>
    <row r="706" spans="1:14" x14ac:dyDescent="0.35">
      <c r="A706" s="27">
        <v>201</v>
      </c>
      <c r="B706" s="28" t="s">
        <v>29</v>
      </c>
      <c r="C706" s="31">
        <v>43391</v>
      </c>
      <c r="D706" s="28">
        <v>-1.7093915652816999E-3</v>
      </c>
      <c r="E706" s="28">
        <v>0.81576585999999995</v>
      </c>
      <c r="F706" s="28">
        <v>-1.3944632763912453E-3</v>
      </c>
      <c r="G706" s="25">
        <f t="shared" si="7"/>
        <v>8.3330779032933011E-2</v>
      </c>
      <c r="H706" s="28">
        <v>9.4713230411404004E-3</v>
      </c>
      <c r="I706" s="28">
        <v>-1.3964297840120281E-3</v>
      </c>
      <c r="J706" s="28">
        <v>-1.3983962916328109E-3</v>
      </c>
      <c r="K706" s="28">
        <v>-1.4003627992535937E-3</v>
      </c>
      <c r="L706" s="28">
        <v>-1.4023293068743765E-3</v>
      </c>
      <c r="M706" s="28">
        <v>-1.4042958144951593E-3</v>
      </c>
      <c r="N706" s="29">
        <v>-1.4062623221159421E-3</v>
      </c>
    </row>
    <row r="707" spans="1:14" x14ac:dyDescent="0.35">
      <c r="A707" s="24">
        <v>202</v>
      </c>
      <c r="B707" s="25" t="s">
        <v>29</v>
      </c>
      <c r="C707" s="30">
        <v>43392</v>
      </c>
      <c r="D707" s="25">
        <v>-4.0315303829349001E-3</v>
      </c>
      <c r="E707" s="25">
        <v>0.81862639999999998</v>
      </c>
      <c r="F707" s="25">
        <v>-3.3003172192270802E-3</v>
      </c>
      <c r="G707" s="25">
        <f t="shared" si="7"/>
        <v>8.0030461813705933E-2</v>
      </c>
      <c r="H707" s="25">
        <v>9.3159276523823008E-3</v>
      </c>
      <c r="I707" s="25">
        <v>-3.301141068545265E-3</v>
      </c>
      <c r="J707" s="25">
        <v>-3.3019649178634503E-3</v>
      </c>
      <c r="K707" s="25">
        <v>-3.3027887671816351E-3</v>
      </c>
      <c r="L707" s="25">
        <v>-3.30361261649982E-3</v>
      </c>
      <c r="M707" s="25">
        <v>-3.3044364658180053E-3</v>
      </c>
      <c r="N707" s="26">
        <v>-3.3052603151361901E-3</v>
      </c>
    </row>
    <row r="708" spans="1:14" x14ac:dyDescent="0.35">
      <c r="A708" s="27">
        <v>203</v>
      </c>
      <c r="B708" s="28" t="s">
        <v>29</v>
      </c>
      <c r="C708" s="31">
        <v>43395</v>
      </c>
      <c r="D708" s="28">
        <v>-3.8281799343692002E-3</v>
      </c>
      <c r="E708" s="28">
        <v>0.83614695000000006</v>
      </c>
      <c r="F708" s="28">
        <v>-3.2009209789369605E-3</v>
      </c>
      <c r="G708" s="25">
        <f t="shared" si="7"/>
        <v>7.6829540834768978E-2</v>
      </c>
      <c r="H708" s="28">
        <v>9.1783478860178007E-3</v>
      </c>
      <c r="I708" s="28">
        <v>-3.2024451644547644E-3</v>
      </c>
      <c r="J708" s="28">
        <v>-3.2039693499725688E-3</v>
      </c>
      <c r="K708" s="28">
        <v>-3.2054935354903728E-3</v>
      </c>
      <c r="L708" s="28">
        <v>-3.2070177210081771E-3</v>
      </c>
      <c r="M708" s="28">
        <v>-3.2085419065259811E-3</v>
      </c>
      <c r="N708" s="29">
        <v>-3.2100660920437851E-3</v>
      </c>
    </row>
    <row r="709" spans="1:14" x14ac:dyDescent="0.35">
      <c r="A709" s="24">
        <v>204</v>
      </c>
      <c r="B709" s="25" t="s">
        <v>29</v>
      </c>
      <c r="C709" s="30">
        <v>43396</v>
      </c>
      <c r="D709" s="25">
        <v>-3.1211459932168201E-2</v>
      </c>
      <c r="E709" s="25">
        <v>0.84038259999999998</v>
      </c>
      <c r="F709" s="25">
        <v>-2.622956709816578E-2</v>
      </c>
      <c r="G709" s="25">
        <f t="shared" si="7"/>
        <v>5.0599973736603202E-2</v>
      </c>
      <c r="H709" s="25">
        <v>9.0396306836826E-3</v>
      </c>
      <c r="I709" s="25">
        <v>-2.6230448950323441E-2</v>
      </c>
      <c r="J709" s="25">
        <v>-2.6231330802481103E-2</v>
      </c>
      <c r="K709" s="25">
        <v>-2.6232212654638761E-2</v>
      </c>
      <c r="L709" s="25">
        <v>-2.6233094506796423E-2</v>
      </c>
      <c r="M709" s="25">
        <v>-2.6233976358954084E-2</v>
      </c>
      <c r="N709" s="26">
        <v>-2.6234858211111746E-2</v>
      </c>
    </row>
    <row r="710" spans="1:14" x14ac:dyDescent="0.35">
      <c r="A710" s="27">
        <v>205</v>
      </c>
      <c r="B710" s="28" t="s">
        <v>29</v>
      </c>
      <c r="C710" s="31">
        <v>43397</v>
      </c>
      <c r="D710" s="28">
        <v>8.2794917111131995E-3</v>
      </c>
      <c r="E710" s="28">
        <v>0.84290690000000001</v>
      </c>
      <c r="F710" s="28">
        <v>6.978840628035156E-3</v>
      </c>
      <c r="G710" s="25">
        <f t="shared" si="7"/>
        <v>5.757881436463836E-2</v>
      </c>
      <c r="H710" s="28">
        <v>1.02807211629395E-2</v>
      </c>
      <c r="I710" s="28">
        <v>6.9736543004991136E-3</v>
      </c>
      <c r="J710" s="28">
        <v>6.9684679729630711E-3</v>
      </c>
      <c r="K710" s="28">
        <v>6.9632816454270286E-3</v>
      </c>
      <c r="L710" s="28">
        <v>6.9580953178909862E-3</v>
      </c>
      <c r="M710" s="28">
        <v>6.9529089903549437E-3</v>
      </c>
      <c r="N710" s="29">
        <v>6.9477226628189013E-3</v>
      </c>
    </row>
    <row r="711" spans="1:14" x14ac:dyDescent="0.35">
      <c r="A711" s="24">
        <v>206</v>
      </c>
      <c r="B711" s="25" t="s">
        <v>29</v>
      </c>
      <c r="C711" s="30">
        <v>43398</v>
      </c>
      <c r="D711" s="25">
        <v>-6.3961343576046997E-3</v>
      </c>
      <c r="E711" s="25">
        <v>0.82788609999999996</v>
      </c>
      <c r="F711" s="25">
        <v>-5.2952707577115787E-3</v>
      </c>
      <c r="G711" s="25">
        <f t="shared" si="7"/>
        <v>5.2283543606926781E-2</v>
      </c>
      <c r="H711" s="25">
        <v>1.0303980503310901E-2</v>
      </c>
      <c r="I711" s="25">
        <v>-5.2960469284088303E-3</v>
      </c>
      <c r="J711" s="25">
        <v>-5.296823099106081E-3</v>
      </c>
      <c r="K711" s="25">
        <v>-5.2975992698033325E-3</v>
      </c>
      <c r="L711" s="25">
        <v>-5.2983754405005841E-3</v>
      </c>
      <c r="M711" s="25">
        <v>-5.2991516111978356E-3</v>
      </c>
      <c r="N711" s="26">
        <v>-5.2999277818950863E-3</v>
      </c>
    </row>
    <row r="712" spans="1:14" x14ac:dyDescent="0.35">
      <c r="A712" s="27">
        <v>207</v>
      </c>
      <c r="B712" s="28" t="s">
        <v>29</v>
      </c>
      <c r="C712" s="31">
        <v>43399</v>
      </c>
      <c r="D712" s="28">
        <v>-9.0421300731112E-3</v>
      </c>
      <c r="E712" s="28">
        <v>0.84515315000000002</v>
      </c>
      <c r="F712" s="28">
        <v>-7.6419847406075528E-3</v>
      </c>
      <c r="G712" s="25">
        <f t="shared" si="7"/>
        <v>4.4641558866319229E-2</v>
      </c>
      <c r="H712" s="28">
        <v>1.0178028468236001E-2</v>
      </c>
      <c r="I712" s="28">
        <v>-7.6432560172252084E-3</v>
      </c>
      <c r="J712" s="28">
        <v>-7.6445272938428632E-3</v>
      </c>
      <c r="K712" s="28">
        <v>-7.6457985704605188E-3</v>
      </c>
      <c r="L712" s="28">
        <v>-7.6470698470781744E-3</v>
      </c>
      <c r="M712" s="28">
        <v>-7.64834112369583E-3</v>
      </c>
      <c r="N712" s="29">
        <v>-7.6496124003134847E-3</v>
      </c>
    </row>
    <row r="713" spans="1:14" x14ac:dyDescent="0.35">
      <c r="A713" s="24">
        <v>208</v>
      </c>
      <c r="B713" s="25" t="s">
        <v>29</v>
      </c>
      <c r="C713" s="30">
        <v>43402</v>
      </c>
      <c r="D713" s="25">
        <v>1.4762107885824801E-2</v>
      </c>
      <c r="E713" s="25">
        <v>0.84130185999999996</v>
      </c>
      <c r="F713" s="25">
        <v>1.2419388798616825E-2</v>
      </c>
      <c r="G713" s="25">
        <f t="shared" si="7"/>
        <v>5.7060947664936051E-2</v>
      </c>
      <c r="H713" s="25">
        <v>1.0109269601562601E-2</v>
      </c>
      <c r="I713" s="25">
        <v>1.2419301956883946E-2</v>
      </c>
      <c r="J713" s="25">
        <v>1.2419215115151067E-2</v>
      </c>
      <c r="K713" s="25">
        <v>1.2419128273418189E-2</v>
      </c>
      <c r="L713" s="25">
        <v>1.2419041431685309E-2</v>
      </c>
      <c r="M713" s="25">
        <v>1.241895458995243E-2</v>
      </c>
      <c r="N713" s="26">
        <v>1.2418867748219551E-2</v>
      </c>
    </row>
    <row r="714" spans="1:14" x14ac:dyDescent="0.35">
      <c r="A714" s="27">
        <v>209</v>
      </c>
      <c r="B714" s="28" t="s">
        <v>29</v>
      </c>
      <c r="C714" s="31">
        <v>43403</v>
      </c>
      <c r="D714" s="28">
        <v>8.6712579497830004E-3</v>
      </c>
      <c r="E714" s="28">
        <v>0.81200280000000002</v>
      </c>
      <c r="F714" s="28">
        <v>7.0410855444404171E-3</v>
      </c>
      <c r="G714" s="25">
        <f t="shared" si="7"/>
        <v>6.4102033209376463E-2</v>
      </c>
      <c r="H714" s="28">
        <v>1.04496414982993E-2</v>
      </c>
      <c r="I714" s="28">
        <v>7.0384801633683351E-3</v>
      </c>
      <c r="J714" s="28">
        <v>7.0358747822962539E-3</v>
      </c>
      <c r="K714" s="28">
        <v>7.0332694012241719E-3</v>
      </c>
      <c r="L714" s="28">
        <v>7.0306640201520908E-3</v>
      </c>
      <c r="M714" s="28">
        <v>7.0280586390800088E-3</v>
      </c>
      <c r="N714" s="29">
        <v>7.0254532580079276E-3</v>
      </c>
    </row>
    <row r="715" spans="1:14" x14ac:dyDescent="0.35">
      <c r="A715" s="24">
        <v>210</v>
      </c>
      <c r="B715" s="25" t="s">
        <v>29</v>
      </c>
      <c r="C715" s="30">
        <v>43404</v>
      </c>
      <c r="D715" s="25">
        <v>8.9890122763459004E-3</v>
      </c>
      <c r="E715" s="25">
        <v>0.78867774999999996</v>
      </c>
      <c r="F715" s="25">
        <v>7.0894339949704637E-3</v>
      </c>
      <c r="G715" s="25">
        <f t="shared" si="7"/>
        <v>7.1191467204346923E-2</v>
      </c>
      <c r="H715" s="25">
        <v>1.0469194339873001E-2</v>
      </c>
      <c r="I715" s="25">
        <v>7.0883128119807034E-3</v>
      </c>
      <c r="J715" s="25">
        <v>7.0871916289909432E-3</v>
      </c>
      <c r="K715" s="25">
        <v>7.086070446001182E-3</v>
      </c>
      <c r="L715" s="25">
        <v>7.0849492630114218E-3</v>
      </c>
      <c r="M715" s="25">
        <v>7.0838280800216615E-3</v>
      </c>
      <c r="N715" s="26">
        <v>7.0827068970319013E-3</v>
      </c>
    </row>
    <row r="716" spans="1:14" x14ac:dyDescent="0.35">
      <c r="A716" s="27">
        <v>211</v>
      </c>
      <c r="B716" s="28" t="s">
        <v>29</v>
      </c>
      <c r="C716" s="31">
        <v>43405</v>
      </c>
      <c r="D716" s="28">
        <v>-4.5243587485275004E-3</v>
      </c>
      <c r="E716" s="28">
        <v>0.75960450000000002</v>
      </c>
      <c r="F716" s="28">
        <v>-3.4367233267315117E-3</v>
      </c>
      <c r="G716" s="25">
        <f t="shared" si="7"/>
        <v>6.7754743877615417E-2</v>
      </c>
      <c r="H716" s="28">
        <v>1.0488254306126699E-2</v>
      </c>
      <c r="I716" s="28">
        <v>-3.438097644841476E-3</v>
      </c>
      <c r="J716" s="28">
        <v>-3.4394719629514403E-3</v>
      </c>
      <c r="K716" s="28">
        <v>-3.4408462810614046E-3</v>
      </c>
      <c r="L716" s="28">
        <v>-3.4422205991713689E-3</v>
      </c>
      <c r="M716" s="28">
        <v>-3.4435949172813333E-3</v>
      </c>
      <c r="N716" s="29">
        <v>-3.4449692353912976E-3</v>
      </c>
    </row>
    <row r="717" spans="1:14" x14ac:dyDescent="0.35">
      <c r="A717" s="24">
        <v>212</v>
      </c>
      <c r="B717" s="25" t="s">
        <v>29</v>
      </c>
      <c r="C717" s="30">
        <v>43406</v>
      </c>
      <c r="D717" s="25">
        <v>5.1142415590784002E-3</v>
      </c>
      <c r="E717" s="25">
        <v>0.73635519999999999</v>
      </c>
      <c r="F717" s="25">
        <v>3.765898291971622E-3</v>
      </c>
      <c r="G717" s="25">
        <f t="shared" si="7"/>
        <v>7.1520642169587034E-2</v>
      </c>
      <c r="H717" s="25">
        <v>1.03426692310717E-2</v>
      </c>
      <c r="I717" s="25">
        <v>3.7653179067063938E-3</v>
      </c>
      <c r="J717" s="25">
        <v>3.7647375214411661E-3</v>
      </c>
      <c r="K717" s="25">
        <v>3.7641571361759379E-3</v>
      </c>
      <c r="L717" s="25">
        <v>3.7635767509107097E-3</v>
      </c>
      <c r="M717" s="25">
        <v>3.762996365645482E-3</v>
      </c>
      <c r="N717" s="26">
        <v>3.7624159803802538E-3</v>
      </c>
    </row>
    <row r="718" spans="1:14" x14ac:dyDescent="0.35">
      <c r="A718" s="27">
        <v>213</v>
      </c>
      <c r="B718" s="28" t="s">
        <v>29</v>
      </c>
      <c r="C718" s="31">
        <v>43409</v>
      </c>
      <c r="D718" s="28">
        <v>6.5687901316102996E-3</v>
      </c>
      <c r="E718" s="28">
        <v>0.72325194000000004</v>
      </c>
      <c r="F718" s="28">
        <v>4.7508901983880783E-3</v>
      </c>
      <c r="G718" s="25">
        <f t="shared" si="7"/>
        <v>7.6271532367975112E-2</v>
      </c>
      <c r="H718" s="28">
        <v>1.02392679604123E-2</v>
      </c>
      <c r="I718" s="28">
        <v>4.7506252747069174E-3</v>
      </c>
      <c r="J718" s="28">
        <v>4.7503603510257566E-3</v>
      </c>
      <c r="K718" s="28">
        <v>4.7500954273445957E-3</v>
      </c>
      <c r="L718" s="28">
        <v>4.7498305036634348E-3</v>
      </c>
      <c r="M718" s="28">
        <v>4.7495655799822747E-3</v>
      </c>
      <c r="N718" s="29">
        <v>4.7493006563011139E-3</v>
      </c>
    </row>
    <row r="719" spans="1:14" x14ac:dyDescent="0.35">
      <c r="A719" s="24">
        <v>214</v>
      </c>
      <c r="B719" s="25" t="s">
        <v>29</v>
      </c>
      <c r="C719" s="30">
        <v>43410</v>
      </c>
      <c r="D719" s="25">
        <v>1.9367251904479601E-2</v>
      </c>
      <c r="E719" s="25">
        <v>0.69859150000000003</v>
      </c>
      <c r="F719" s="25">
        <v>1.3529796991723823E-2</v>
      </c>
      <c r="G719" s="25">
        <f t="shared" si="7"/>
        <v>8.9801329359698936E-2</v>
      </c>
      <c r="H719" s="25">
        <v>1.0168084145311101E-2</v>
      </c>
      <c r="I719" s="25">
        <v>1.35288847831114E-2</v>
      </c>
      <c r="J719" s="25">
        <v>1.3527972574498977E-2</v>
      </c>
      <c r="K719" s="25">
        <v>1.3527060365886554E-2</v>
      </c>
      <c r="L719" s="25">
        <v>1.3526148157274133E-2</v>
      </c>
      <c r="M719" s="25">
        <v>1.352523594866171E-2</v>
      </c>
      <c r="N719" s="26">
        <v>1.3524323740049287E-2</v>
      </c>
    </row>
    <row r="720" spans="1:14" x14ac:dyDescent="0.35">
      <c r="A720" s="27">
        <v>215</v>
      </c>
      <c r="B720" s="28" t="s">
        <v>29</v>
      </c>
      <c r="C720" s="31">
        <v>43411</v>
      </c>
      <c r="D720" s="28">
        <v>-2.4283068410496001E-3</v>
      </c>
      <c r="E720" s="28">
        <v>0.65155107000000001</v>
      </c>
      <c r="F720" s="28">
        <v>-1.5821659153026535E-3</v>
      </c>
      <c r="G720" s="25">
        <f t="shared" si="7"/>
        <v>8.8219163444396287E-2</v>
      </c>
      <c r="H720" s="28">
        <v>1.07072852373634E-2</v>
      </c>
      <c r="I720" s="28">
        <v>-1.5858761786638144E-3</v>
      </c>
      <c r="J720" s="28">
        <v>-1.5895864420249753E-3</v>
      </c>
      <c r="K720" s="28">
        <v>-1.5932967053861361E-3</v>
      </c>
      <c r="L720" s="28">
        <v>-1.597006968747297E-3</v>
      </c>
      <c r="M720" s="28">
        <v>-1.6007172321084579E-3</v>
      </c>
      <c r="N720" s="29">
        <v>-1.6044274954696187E-3</v>
      </c>
    </row>
    <row r="721" spans="1:14" x14ac:dyDescent="0.35">
      <c r="A721" s="24">
        <v>216</v>
      </c>
      <c r="B721" s="25" t="s">
        <v>29</v>
      </c>
      <c r="C721" s="30">
        <v>43412</v>
      </c>
      <c r="D721" s="25">
        <v>-9.4921389836121993E-3</v>
      </c>
      <c r="E721" s="25">
        <v>0.63534415</v>
      </c>
      <c r="F721" s="25">
        <v>-6.0307749522239811E-3</v>
      </c>
      <c r="G721" s="25">
        <f t="shared" si="7"/>
        <v>8.2188388492172304E-2</v>
      </c>
      <c r="H721" s="25">
        <v>1.05438880170317E-2</v>
      </c>
      <c r="I721" s="25">
        <v>-6.0310556318403106E-3</v>
      </c>
      <c r="J721" s="25">
        <v>-6.03133631145664E-3</v>
      </c>
      <c r="K721" s="25">
        <v>-6.0316169910729694E-3</v>
      </c>
      <c r="L721" s="25">
        <v>-6.0318976706892988E-3</v>
      </c>
      <c r="M721" s="25">
        <v>-6.0321783503056283E-3</v>
      </c>
      <c r="N721" s="26">
        <v>-6.0324590299219577E-3</v>
      </c>
    </row>
    <row r="722" spans="1:14" x14ac:dyDescent="0.35">
      <c r="A722" s="27">
        <v>217</v>
      </c>
      <c r="B722" s="28" t="s">
        <v>29</v>
      </c>
      <c r="C722" s="31">
        <v>43413</v>
      </c>
      <c r="D722" s="28">
        <v>-1.65223632861018E-2</v>
      </c>
      <c r="E722" s="28">
        <v>0.65622239999999998</v>
      </c>
      <c r="F722" s="28">
        <v>-1.0842344939662045E-2</v>
      </c>
      <c r="G722" s="25">
        <f t="shared" si="7"/>
        <v>7.1346043552510258E-2</v>
      </c>
      <c r="H722" s="28">
        <v>1.05468833970572E-2</v>
      </c>
      <c r="I722" s="28">
        <v>-1.0843272111975732E-2</v>
      </c>
      <c r="J722" s="28">
        <v>-1.0844199284289419E-2</v>
      </c>
      <c r="K722" s="28">
        <v>-1.0845126456603106E-2</v>
      </c>
      <c r="L722" s="28">
        <v>-1.0846053628916792E-2</v>
      </c>
      <c r="M722" s="28">
        <v>-1.0846980801230479E-2</v>
      </c>
      <c r="N722" s="29">
        <v>-1.0847907973544166E-2</v>
      </c>
    </row>
    <row r="723" spans="1:14" x14ac:dyDescent="0.35">
      <c r="A723" s="24">
        <v>218</v>
      </c>
      <c r="B723" s="25" t="s">
        <v>29</v>
      </c>
      <c r="C723" s="30">
        <v>43416</v>
      </c>
      <c r="D723" s="25">
        <v>-7.9623113505585051E-5</v>
      </c>
      <c r="E723" s="25">
        <v>0.67160989999999998</v>
      </c>
      <c r="F723" s="25">
        <v>-5.3475669590465721E-5</v>
      </c>
      <c r="G723" s="25">
        <f t="shared" si="7"/>
        <v>7.1292567882919794E-2</v>
      </c>
      <c r="H723" s="25">
        <v>1.0876452739295999E-2</v>
      </c>
      <c r="I723" s="25">
        <v>-5.3697996997258173E-5</v>
      </c>
      <c r="J723" s="25">
        <v>-5.3920324404050632E-5</v>
      </c>
      <c r="K723" s="25">
        <v>-5.4142651810843084E-5</v>
      </c>
      <c r="L723" s="25">
        <v>-5.4364979217635542E-5</v>
      </c>
      <c r="M723" s="25">
        <v>-5.4587306624427994E-5</v>
      </c>
      <c r="N723" s="26">
        <v>-5.4809634031220453E-5</v>
      </c>
    </row>
    <row r="724" spans="1:14" x14ac:dyDescent="0.35">
      <c r="A724" s="27">
        <v>219</v>
      </c>
      <c r="B724" s="28" t="s">
        <v>29</v>
      </c>
      <c r="C724" s="31">
        <v>43417</v>
      </c>
      <c r="D724" s="28">
        <v>-9.3916866413427998E-3</v>
      </c>
      <c r="E724" s="28">
        <v>0.68633580000000005</v>
      </c>
      <c r="F724" s="28">
        <v>-6.4458507838535692E-3</v>
      </c>
      <c r="G724" s="25">
        <f t="shared" si="7"/>
        <v>6.4846717099066226E-2</v>
      </c>
      <c r="H724" s="28">
        <v>1.06974590734389E-2</v>
      </c>
      <c r="I724" s="28">
        <v>-6.446989301303576E-3</v>
      </c>
      <c r="J724" s="28">
        <v>-6.4481278187535837E-3</v>
      </c>
      <c r="K724" s="28">
        <v>-6.4492663362035905E-3</v>
      </c>
      <c r="L724" s="28">
        <v>-6.4504048536535973E-3</v>
      </c>
      <c r="M724" s="28">
        <v>-6.451543371103605E-3</v>
      </c>
      <c r="N724" s="29">
        <v>-6.4526818885536118E-3</v>
      </c>
    </row>
    <row r="725" spans="1:14" x14ac:dyDescent="0.35">
      <c r="A725" s="24">
        <v>220</v>
      </c>
      <c r="B725" s="25" t="s">
        <v>29</v>
      </c>
      <c r="C725" s="30">
        <v>43418</v>
      </c>
      <c r="D725" s="25">
        <v>1.18165292472128E-2</v>
      </c>
      <c r="E725" s="25">
        <v>0.66674940000000005</v>
      </c>
      <c r="F725" s="25">
        <v>7.8786639957810975E-3</v>
      </c>
      <c r="G725" s="25">
        <f t="shared" si="7"/>
        <v>7.272538109484733E-2</v>
      </c>
      <c r="H725" s="25">
        <v>1.0667953961799001E-2</v>
      </c>
      <c r="I725" s="25">
        <v>7.8778804028953025E-3</v>
      </c>
      <c r="J725" s="25">
        <v>7.8770968100095057E-3</v>
      </c>
      <c r="K725" s="25">
        <v>7.8763132171237107E-3</v>
      </c>
      <c r="L725" s="25">
        <v>7.8755296242379157E-3</v>
      </c>
      <c r="M725" s="25">
        <v>7.874746031352119E-3</v>
      </c>
      <c r="N725" s="26">
        <v>7.873962438466324E-3</v>
      </c>
    </row>
    <row r="726" spans="1:14" x14ac:dyDescent="0.35">
      <c r="A726" s="27">
        <v>221</v>
      </c>
      <c r="B726" s="28" t="s">
        <v>29</v>
      </c>
      <c r="C726" s="31">
        <v>43419</v>
      </c>
      <c r="D726" s="28">
        <v>2.7175882695780998E-3</v>
      </c>
      <c r="E726" s="28">
        <v>0.65805000000000002</v>
      </c>
      <c r="F726" s="28">
        <v>1.7883089626100546E-3</v>
      </c>
      <c r="G726" s="25">
        <f t="shared" si="7"/>
        <v>7.451369005745738E-2</v>
      </c>
      <c r="H726" s="28">
        <v>1.0808074445577E-2</v>
      </c>
      <c r="I726" s="28">
        <v>1.7875458630088072E-3</v>
      </c>
      <c r="J726" s="28">
        <v>1.7867827634075598E-3</v>
      </c>
      <c r="K726" s="28">
        <v>1.7860196638063122E-3</v>
      </c>
      <c r="L726" s="28">
        <v>1.7852565642050649E-3</v>
      </c>
      <c r="M726" s="28">
        <v>1.7844934646038175E-3</v>
      </c>
      <c r="N726" s="29">
        <v>1.7837303650025701E-3</v>
      </c>
    </row>
    <row r="727" spans="1:14" x14ac:dyDescent="0.35">
      <c r="A727" s="24">
        <v>222</v>
      </c>
      <c r="B727" s="25" t="s">
        <v>29</v>
      </c>
      <c r="C727" s="30">
        <v>43420</v>
      </c>
      <c r="D727" s="25">
        <v>-1.51205320580814E-2</v>
      </c>
      <c r="E727" s="25">
        <v>0.61377174000000001</v>
      </c>
      <c r="F727" s="25">
        <v>-9.2805552199350782E-3</v>
      </c>
      <c r="G727" s="25">
        <f t="shared" si="7"/>
        <v>6.52331348375223E-2</v>
      </c>
      <c r="H727" s="25">
        <v>1.06507385264842E-2</v>
      </c>
      <c r="I727" s="25">
        <v>-9.2820944245576627E-3</v>
      </c>
      <c r="J727" s="25">
        <v>-9.2836336291802473E-3</v>
      </c>
      <c r="K727" s="25">
        <v>-9.2851728338028301E-3</v>
      </c>
      <c r="L727" s="25">
        <v>-9.2867120384254147E-3</v>
      </c>
      <c r="M727" s="25">
        <v>-9.2882512430479992E-3</v>
      </c>
      <c r="N727" s="26">
        <v>-9.2897904476705838E-3</v>
      </c>
    </row>
    <row r="728" spans="1:14" x14ac:dyDescent="0.35">
      <c r="A728" s="27">
        <v>223</v>
      </c>
      <c r="B728" s="28" t="s">
        <v>29</v>
      </c>
      <c r="C728" s="31">
        <v>43423</v>
      </c>
      <c r="D728" s="28">
        <v>-1.8107137614612599E-2</v>
      </c>
      <c r="E728" s="28">
        <v>0.57124819999999998</v>
      </c>
      <c r="F728" s="28">
        <v>-1.0343669293529801E-2</v>
      </c>
      <c r="G728" s="25">
        <f t="shared" si="7"/>
        <v>5.4889465543992502E-2</v>
      </c>
      <c r="H728" s="28">
        <v>1.0886882986250899E-2</v>
      </c>
      <c r="I728" s="28">
        <v>-1.0346105238008845E-2</v>
      </c>
      <c r="J728" s="28">
        <v>-1.0348541182487889E-2</v>
      </c>
      <c r="K728" s="28">
        <v>-1.0350977126966933E-2</v>
      </c>
      <c r="L728" s="28">
        <v>-1.0353413071445976E-2</v>
      </c>
      <c r="M728" s="28">
        <v>-1.035584901592502E-2</v>
      </c>
      <c r="N728" s="29">
        <v>-1.0358284960404064E-2</v>
      </c>
    </row>
    <row r="729" spans="1:14" x14ac:dyDescent="0.35">
      <c r="A729" s="24">
        <v>224</v>
      </c>
      <c r="B729" s="25" t="s">
        <v>29</v>
      </c>
      <c r="C729" s="30">
        <v>43424</v>
      </c>
      <c r="D729" s="25">
        <v>2.8552571325219001E-3</v>
      </c>
      <c r="E729" s="25">
        <v>0.53654029999999997</v>
      </c>
      <c r="F729" s="25">
        <v>1.5319606025658344E-3</v>
      </c>
      <c r="G729" s="25">
        <f t="shared" si="7"/>
        <v>5.6421426146558339E-2</v>
      </c>
      <c r="H729" s="25">
        <v>1.1281954558651301E-2</v>
      </c>
      <c r="I729" s="25">
        <v>1.5296390310642219E-3</v>
      </c>
      <c r="J729" s="25">
        <v>1.5273174595626096E-3</v>
      </c>
      <c r="K729" s="25">
        <v>1.524995888060997E-3</v>
      </c>
      <c r="L729" s="25">
        <v>1.5226743165593847E-3</v>
      </c>
      <c r="M729" s="25">
        <v>1.5203527450577722E-3</v>
      </c>
      <c r="N729" s="26">
        <v>1.5180311735561597E-3</v>
      </c>
    </row>
    <row r="730" spans="1:14" x14ac:dyDescent="0.35">
      <c r="A730" s="27">
        <v>225</v>
      </c>
      <c r="B730" s="28" t="s">
        <v>29</v>
      </c>
      <c r="C730" s="31">
        <v>43425</v>
      </c>
      <c r="D730" s="28">
        <v>-6.2475876827826002E-3</v>
      </c>
      <c r="E730" s="28">
        <v>0.5914102</v>
      </c>
      <c r="F730" s="28">
        <v>-3.6948872038779332E-3</v>
      </c>
      <c r="G730" s="25">
        <f t="shared" si="7"/>
        <v>5.2726538942680402E-2</v>
      </c>
      <c r="H730" s="28">
        <v>1.11334889318623E-2</v>
      </c>
      <c r="I730" s="28">
        <v>-3.6975152595833979E-3</v>
      </c>
      <c r="J730" s="28">
        <v>-3.7001433152888631E-3</v>
      </c>
      <c r="K730" s="28">
        <v>-3.7027713709943278E-3</v>
      </c>
      <c r="L730" s="28">
        <v>-3.7053994266997925E-3</v>
      </c>
      <c r="M730" s="28">
        <v>-3.7080274824052573E-3</v>
      </c>
      <c r="N730" s="29">
        <v>-3.7106555381107224E-3</v>
      </c>
    </row>
    <row r="731" spans="1:14" x14ac:dyDescent="0.35">
      <c r="A731" s="24">
        <v>226</v>
      </c>
      <c r="B731" s="25" t="s">
        <v>29</v>
      </c>
      <c r="C731" s="30">
        <v>43427</v>
      </c>
      <c r="D731" s="25">
        <v>1.32315849191997E-2</v>
      </c>
      <c r="E731" s="25">
        <v>0.53350710000000001</v>
      </c>
      <c r="F731" s="25">
        <v>7.0591446136066662E-3</v>
      </c>
      <c r="G731" s="25">
        <f t="shared" si="7"/>
        <v>5.9785683556287071E-2</v>
      </c>
      <c r="H731" s="25">
        <v>1.0999196691480299E-2</v>
      </c>
      <c r="I731" s="25">
        <v>7.0569638770057565E-3</v>
      </c>
      <c r="J731" s="25">
        <v>7.0547831404048468E-3</v>
      </c>
      <c r="K731" s="25">
        <v>7.0526024038039372E-3</v>
      </c>
      <c r="L731" s="25">
        <v>7.0504216672030275E-3</v>
      </c>
      <c r="M731" s="25">
        <v>7.0482409306021178E-3</v>
      </c>
      <c r="N731" s="26">
        <v>7.0460601940012082E-3</v>
      </c>
    </row>
    <row r="732" spans="1:14" x14ac:dyDescent="0.35">
      <c r="A732" s="27">
        <v>227</v>
      </c>
      <c r="B732" s="28" t="s">
        <v>29</v>
      </c>
      <c r="C732" s="31">
        <v>43430</v>
      </c>
      <c r="D732" s="28">
        <v>4.2480916258977996E-3</v>
      </c>
      <c r="E732" s="28">
        <v>0.60334690000000002</v>
      </c>
      <c r="F732" s="28">
        <v>2.5630728464966766E-3</v>
      </c>
      <c r="G732" s="25">
        <f t="shared" si="7"/>
        <v>6.2348756402783749E-2</v>
      </c>
      <c r="H732" s="28">
        <v>1.1246557822302401E-2</v>
      </c>
      <c r="I732" s="28">
        <v>2.5606429776751359E-3</v>
      </c>
      <c r="J732" s="28">
        <v>2.5582131088535951E-3</v>
      </c>
      <c r="K732" s="28">
        <v>2.5557832400320548E-3</v>
      </c>
      <c r="L732" s="28">
        <v>2.5533533712105141E-3</v>
      </c>
      <c r="M732" s="28">
        <v>2.5509235023889734E-3</v>
      </c>
      <c r="N732" s="29">
        <v>2.5484936335674327E-3</v>
      </c>
    </row>
    <row r="733" spans="1:14" x14ac:dyDescent="0.35">
      <c r="A733" s="24">
        <v>228</v>
      </c>
      <c r="B733" s="25" t="s">
        <v>29</v>
      </c>
      <c r="C733" s="30">
        <v>43431</v>
      </c>
      <c r="D733" s="25">
        <v>1.83707880198484E-2</v>
      </c>
      <c r="E733" s="25">
        <v>0.54967880000000002</v>
      </c>
      <c r="F733" s="25">
        <v>1.0098032759552213E-2</v>
      </c>
      <c r="G733" s="25">
        <f t="shared" si="7"/>
        <v>7.2446789162335962E-2</v>
      </c>
      <c r="H733" s="25">
        <v>1.1117050966972099E-2</v>
      </c>
      <c r="I733" s="25">
        <v>1.0096047221246914E-2</v>
      </c>
      <c r="J733" s="25">
        <v>1.0094061682941616E-2</v>
      </c>
      <c r="K733" s="25">
        <v>1.0092076144636317E-2</v>
      </c>
      <c r="L733" s="25">
        <v>1.0090090606331018E-2</v>
      </c>
      <c r="M733" s="25">
        <v>1.0088105068025719E-2</v>
      </c>
      <c r="N733" s="26">
        <v>1.0086119529720421E-2</v>
      </c>
    </row>
    <row r="734" spans="1:14" x14ac:dyDescent="0.35">
      <c r="A734" s="27">
        <v>229</v>
      </c>
      <c r="B734" s="28" t="s">
        <v>29</v>
      </c>
      <c r="C734" s="31">
        <v>43432</v>
      </c>
      <c r="D734" s="28">
        <v>8.1282438434380003E-4</v>
      </c>
      <c r="E734" s="28">
        <v>0.56823380000000001</v>
      </c>
      <c r="F734" s="28">
        <v>4.618742789053846E-4</v>
      </c>
      <c r="G734" s="25">
        <f t="shared" si="7"/>
        <v>7.2908663441241348E-2</v>
      </c>
      <c r="H734" s="28">
        <v>1.16610782199615E-2</v>
      </c>
      <c r="I734" s="28">
        <v>4.6153620793310538E-4</v>
      </c>
      <c r="J734" s="28">
        <v>4.6119813696082616E-4</v>
      </c>
      <c r="K734" s="28">
        <v>4.6086006598854693E-4</v>
      </c>
      <c r="L734" s="28">
        <v>4.6052199501626765E-4</v>
      </c>
      <c r="M734" s="28">
        <v>4.6018392404398843E-4</v>
      </c>
      <c r="N734" s="29">
        <v>4.5984585307170921E-4</v>
      </c>
    </row>
    <row r="735" spans="1:14" x14ac:dyDescent="0.35">
      <c r="A735" s="24">
        <v>230</v>
      </c>
      <c r="B735" s="25" t="s">
        <v>29</v>
      </c>
      <c r="C735" s="30">
        <v>43433</v>
      </c>
      <c r="D735" s="25">
        <v>4.2025703565485998E-3</v>
      </c>
      <c r="E735" s="25">
        <v>0.51431879999999996</v>
      </c>
      <c r="F735" s="25">
        <v>2.1614610427773064E-3</v>
      </c>
      <c r="G735" s="25">
        <f t="shared" si="7"/>
        <v>7.507012448401866E-2</v>
      </c>
      <c r="H735" s="25">
        <v>1.1470447424462E-2</v>
      </c>
      <c r="I735" s="25">
        <v>2.1596229567059657E-3</v>
      </c>
      <c r="J735" s="25">
        <v>2.1577848706346254E-3</v>
      </c>
      <c r="K735" s="25">
        <v>2.1559467845632847E-3</v>
      </c>
      <c r="L735" s="25">
        <v>2.1541086984919445E-3</v>
      </c>
      <c r="M735" s="25">
        <v>2.1522706124206038E-3</v>
      </c>
      <c r="N735" s="26">
        <v>2.1504325263492631E-3</v>
      </c>
    </row>
    <row r="736" spans="1:14" x14ac:dyDescent="0.35">
      <c r="A736" s="27">
        <v>231</v>
      </c>
      <c r="B736" s="28" t="s">
        <v>29</v>
      </c>
      <c r="C736" s="31">
        <v>43434</v>
      </c>
      <c r="D736" s="28">
        <v>9.8348047377220006E-3</v>
      </c>
      <c r="E736" s="28">
        <v>0.51855176999999997</v>
      </c>
      <c r="F736" s="28">
        <v>5.0998553735908531E-3</v>
      </c>
      <c r="G736" s="25">
        <f t="shared" si="7"/>
        <v>8.0169979857609514E-2</v>
      </c>
      <c r="H736" s="28">
        <v>1.1320744296522601E-2</v>
      </c>
      <c r="I736" s="28">
        <v>5.0993985823748035E-3</v>
      </c>
      <c r="J736" s="28">
        <v>5.0989417911587532E-3</v>
      </c>
      <c r="K736" s="28">
        <v>5.0984849999427036E-3</v>
      </c>
      <c r="L736" s="28">
        <v>5.0980282087266533E-3</v>
      </c>
      <c r="M736" s="28">
        <v>5.0975714175106037E-3</v>
      </c>
      <c r="N736" s="29">
        <v>5.0971146262945534E-3</v>
      </c>
    </row>
    <row r="737" spans="1:14" x14ac:dyDescent="0.35">
      <c r="A737" s="24">
        <v>232</v>
      </c>
      <c r="B737" s="25" t="s">
        <v>29</v>
      </c>
      <c r="C737" s="30">
        <v>43437</v>
      </c>
      <c r="D737" s="25">
        <v>-2.6588986122498399E-2</v>
      </c>
      <c r="E737" s="25">
        <v>0.50187329999999997</v>
      </c>
      <c r="F737" s="25">
        <v>-1.3344302591319267E-2</v>
      </c>
      <c r="G737" s="25">
        <f t="shared" si="7"/>
        <v>6.682567726629024E-2</v>
      </c>
      <c r="H737" s="25">
        <v>1.1333349570771501E-2</v>
      </c>
      <c r="I737" s="25">
        <v>-1.3345021937815022E-2</v>
      </c>
      <c r="J737" s="25">
        <v>-1.3345741284310779E-2</v>
      </c>
      <c r="K737" s="25">
        <v>-1.3346460630806535E-2</v>
      </c>
      <c r="L737" s="25">
        <v>-1.334717997730229E-2</v>
      </c>
      <c r="M737" s="25">
        <v>-1.3347899323798047E-2</v>
      </c>
      <c r="N737" s="26">
        <v>-1.3348618670293803E-2</v>
      </c>
    </row>
    <row r="738" spans="1:14" x14ac:dyDescent="0.35">
      <c r="A738" s="27">
        <v>233</v>
      </c>
      <c r="B738" s="28" t="s">
        <v>29</v>
      </c>
      <c r="C738" s="31">
        <v>43438</v>
      </c>
      <c r="D738" s="28">
        <v>0</v>
      </c>
      <c r="E738" s="28">
        <v>0.42755853999999999</v>
      </c>
      <c r="F738" s="28">
        <v>0</v>
      </c>
      <c r="G738" s="25">
        <f t="shared" si="7"/>
        <v>6.682567726629024E-2</v>
      </c>
      <c r="H738" s="28">
        <v>1.25620464812327E-2</v>
      </c>
      <c r="I738" s="28">
        <v>-4.8413170956329305E-6</v>
      </c>
      <c r="J738" s="28">
        <v>-9.6826341912658611E-6</v>
      </c>
      <c r="K738" s="28">
        <v>-1.4523951286898792E-5</v>
      </c>
      <c r="L738" s="28">
        <v>-1.9365268382531722E-5</v>
      </c>
      <c r="M738" s="28">
        <v>-2.4206585478164649E-5</v>
      </c>
      <c r="N738" s="29">
        <v>-2.9047902573797583E-5</v>
      </c>
    </row>
    <row r="739" spans="1:14" x14ac:dyDescent="0.35">
      <c r="A739" s="24">
        <v>234</v>
      </c>
      <c r="B739" s="25" t="s">
        <v>29</v>
      </c>
      <c r="C739" s="30">
        <v>43439</v>
      </c>
      <c r="D739" s="25">
        <v>-3.0430656088382998E-3</v>
      </c>
      <c r="E739" s="25">
        <v>0.50991489999999995</v>
      </c>
      <c r="F739" s="25">
        <v>-1.5517044196404475E-3</v>
      </c>
      <c r="G739" s="25">
        <f t="shared" si="7"/>
        <v>6.5273972846649791E-2</v>
      </c>
      <c r="H739" s="25">
        <v>1.2355006461818099E-2</v>
      </c>
      <c r="I739" s="25">
        <v>-1.5551231950129219E-3</v>
      </c>
      <c r="J739" s="25">
        <v>-1.5585419703853963E-3</v>
      </c>
      <c r="K739" s="25">
        <v>-1.5619607457578704E-3</v>
      </c>
      <c r="L739" s="25">
        <v>-1.5653795211303448E-3</v>
      </c>
      <c r="M739" s="25">
        <v>-1.5687982965028192E-3</v>
      </c>
      <c r="N739" s="26">
        <v>-1.5722170718752936E-3</v>
      </c>
    </row>
    <row r="740" spans="1:14" x14ac:dyDescent="0.35">
      <c r="A740" s="27">
        <v>235</v>
      </c>
      <c r="B740" s="28" t="s">
        <v>29</v>
      </c>
      <c r="C740" s="31">
        <v>43440</v>
      </c>
      <c r="D740" s="28">
        <v>-1.5875035582054001E-2</v>
      </c>
      <c r="E740" s="28">
        <v>0.48129126</v>
      </c>
      <c r="F740" s="28">
        <v>-7.6405159460240573E-3</v>
      </c>
      <c r="G740" s="25">
        <f t="shared" si="7"/>
        <v>5.7633456900625733E-2</v>
      </c>
      <c r="H740" s="28">
        <v>1.21653686224477E-2</v>
      </c>
      <c r="I740" s="28">
        <v>-7.6413236175612827E-3</v>
      </c>
      <c r="J740" s="28">
        <v>-7.6421312890985072E-3</v>
      </c>
      <c r="K740" s="28">
        <v>-7.6429389606357326E-3</v>
      </c>
      <c r="L740" s="28">
        <v>-7.643746632172958E-3</v>
      </c>
      <c r="M740" s="28">
        <v>-7.6445543037101825E-3</v>
      </c>
      <c r="N740" s="29">
        <v>-7.6453619752474078E-3</v>
      </c>
    </row>
    <row r="741" spans="1:14" x14ac:dyDescent="0.35">
      <c r="A741" s="24">
        <v>236</v>
      </c>
      <c r="B741" s="25" t="s">
        <v>29</v>
      </c>
      <c r="C741" s="30">
        <v>43441</v>
      </c>
      <c r="D741" s="25">
        <v>2.0114669651557001E-3</v>
      </c>
      <c r="E741" s="25">
        <v>0.38270852</v>
      </c>
      <c r="F741" s="25">
        <v>7.6980554465453592E-4</v>
      </c>
      <c r="G741" s="25">
        <f t="shared" si="7"/>
        <v>5.8403262445280268E-2</v>
      </c>
      <c r="H741" s="25">
        <v>1.24747174673423E-2</v>
      </c>
      <c r="I741" s="25">
        <v>7.65608403529117E-4</v>
      </c>
      <c r="J741" s="25">
        <v>7.6141126240369809E-4</v>
      </c>
      <c r="K741" s="25">
        <v>7.5721412127827917E-4</v>
      </c>
      <c r="L741" s="25">
        <v>7.5301698015286026E-4</v>
      </c>
      <c r="M741" s="25">
        <v>7.4881983902744134E-4</v>
      </c>
      <c r="N741" s="26">
        <v>7.4462269790202243E-4</v>
      </c>
    </row>
    <row r="742" spans="1:14" x14ac:dyDescent="0.35">
      <c r="A742" s="27">
        <v>237</v>
      </c>
      <c r="B742" s="28" t="s">
        <v>29</v>
      </c>
      <c r="C742" s="31">
        <v>43444</v>
      </c>
      <c r="D742" s="28">
        <v>-5.0906156739279995E-4</v>
      </c>
      <c r="E742" s="28">
        <v>0.44567509999999999</v>
      </c>
      <c r="F742" s="28">
        <v>-2.2687606742619583E-4</v>
      </c>
      <c r="G742" s="25">
        <f t="shared" si="7"/>
        <v>5.8176386377854071E-2</v>
      </c>
      <c r="H742" s="28">
        <v>1.2290273962792799E-2</v>
      </c>
      <c r="I742" s="28">
        <v>-2.2951411235556062E-4</v>
      </c>
      <c r="J742" s="28">
        <v>-2.3215215728492538E-4</v>
      </c>
      <c r="K742" s="28">
        <v>-2.3479020221429017E-4</v>
      </c>
      <c r="L742" s="28">
        <v>-2.3742824714365496E-4</v>
      </c>
      <c r="M742" s="28">
        <v>-2.4006629207301973E-4</v>
      </c>
      <c r="N742" s="29">
        <v>-2.4270433700238452E-4</v>
      </c>
    </row>
    <row r="743" spans="1:14" x14ac:dyDescent="0.35">
      <c r="A743" s="24">
        <v>238</v>
      </c>
      <c r="B743" s="25" t="s">
        <v>29</v>
      </c>
      <c r="C743" s="30">
        <v>43445</v>
      </c>
      <c r="D743" s="25">
        <v>3.3296066084918998E-3</v>
      </c>
      <c r="E743" s="25">
        <v>0.39677456</v>
      </c>
      <c r="F743" s="25">
        <v>1.3211031977669683E-3</v>
      </c>
      <c r="G743" s="25">
        <f t="shared" si="7"/>
        <v>5.9497489575621038E-2</v>
      </c>
      <c r="H743" s="25">
        <v>1.2087627727324799E-2</v>
      </c>
      <c r="I743" s="25">
        <v>1.3194790982096634E-3</v>
      </c>
      <c r="J743" s="25">
        <v>1.3178549986523583E-3</v>
      </c>
      <c r="K743" s="25">
        <v>1.3162308990950534E-3</v>
      </c>
      <c r="L743" s="25">
        <v>1.3146067995377484E-3</v>
      </c>
      <c r="M743" s="25">
        <v>1.3129826999804435E-3</v>
      </c>
      <c r="N743" s="26">
        <v>1.3113586004231386E-3</v>
      </c>
    </row>
    <row r="744" spans="1:14" x14ac:dyDescent="0.35">
      <c r="A744" s="27">
        <v>239</v>
      </c>
      <c r="B744" s="28" t="s">
        <v>29</v>
      </c>
      <c r="C744" s="31">
        <v>43446</v>
      </c>
      <c r="D744" s="28">
        <v>-2.0903844844003998E-3</v>
      </c>
      <c r="E744" s="28">
        <v>0.40082476</v>
      </c>
      <c r="F744" s="28">
        <v>-8.3787784971492006E-4</v>
      </c>
      <c r="G744" s="25">
        <f t="shared" si="7"/>
        <v>5.865961172590612E-2</v>
      </c>
      <c r="H744" s="28">
        <v>1.1929094057012399E-2</v>
      </c>
      <c r="I744" s="28">
        <v>-8.3824435851624071E-4</v>
      </c>
      <c r="J744" s="28">
        <v>-8.3861086731756124E-4</v>
      </c>
      <c r="K744" s="28">
        <v>-8.3897737611888189E-4</v>
      </c>
      <c r="L744" s="28">
        <v>-8.3934388492020253E-4</v>
      </c>
      <c r="M744" s="28">
        <v>-8.3971039372152307E-4</v>
      </c>
      <c r="N744" s="29">
        <v>-8.4007690252284372E-4</v>
      </c>
    </row>
    <row r="745" spans="1:14" x14ac:dyDescent="0.35">
      <c r="A745" s="24">
        <v>240</v>
      </c>
      <c r="B745" s="25" t="s">
        <v>29</v>
      </c>
      <c r="C745" s="30">
        <v>43447</v>
      </c>
      <c r="D745" s="25">
        <v>-1.32397694373045E-2</v>
      </c>
      <c r="E745" s="25">
        <v>0.35571357999999997</v>
      </c>
      <c r="F745" s="25">
        <v>-4.7095657329972868E-3</v>
      </c>
      <c r="G745" s="25">
        <f t="shared" si="7"/>
        <v>5.3950045992908834E-2</v>
      </c>
      <c r="H745" s="25">
        <v>1.17352422071937E-2</v>
      </c>
      <c r="I745" s="25">
        <v>-4.7111196566846699E-3</v>
      </c>
      <c r="J745" s="25">
        <v>-4.7126735803720539E-3</v>
      </c>
      <c r="K745" s="25">
        <v>-4.7142275040594371E-3</v>
      </c>
      <c r="L745" s="25">
        <v>-4.7157814277468202E-3</v>
      </c>
      <c r="M745" s="25">
        <v>-4.7173353514342042E-3</v>
      </c>
      <c r="N745" s="26">
        <v>-4.7188892751215874E-3</v>
      </c>
    </row>
    <row r="746" spans="1:14" x14ac:dyDescent="0.35">
      <c r="A746" s="27">
        <v>241</v>
      </c>
      <c r="B746" s="28" t="s">
        <v>29</v>
      </c>
      <c r="C746" s="31">
        <v>43448</v>
      </c>
      <c r="D746" s="28">
        <v>-1.5151229102771301E-2</v>
      </c>
      <c r="E746" s="28">
        <v>0.26293817000000003</v>
      </c>
      <c r="F746" s="28">
        <v>-3.9838364781562561E-3</v>
      </c>
      <c r="G746" s="25">
        <f t="shared" si="7"/>
        <v>4.9966209514752578E-2</v>
      </c>
      <c r="H746" s="28">
        <v>1.1864270234493299E-2</v>
      </c>
      <c r="I746" s="28">
        <v>-3.9876866980928325E-3</v>
      </c>
      <c r="J746" s="28">
        <v>-3.9915369180294098E-3</v>
      </c>
      <c r="K746" s="28">
        <v>-3.9953871379659863E-3</v>
      </c>
      <c r="L746" s="28">
        <v>-3.9992373579025627E-3</v>
      </c>
      <c r="M746" s="28">
        <v>-4.00308757783914E-3</v>
      </c>
      <c r="N746" s="29">
        <v>-4.0069377977757165E-3</v>
      </c>
    </row>
    <row r="747" spans="1:14" x14ac:dyDescent="0.35">
      <c r="A747" s="24">
        <v>242</v>
      </c>
      <c r="B747" s="25" t="s">
        <v>29</v>
      </c>
      <c r="C747" s="30">
        <v>43451</v>
      </c>
      <c r="D747" s="25">
        <v>-5.1335150743473E-3</v>
      </c>
      <c r="E747" s="25">
        <v>0.20880798</v>
      </c>
      <c r="F747" s="25">
        <v>-1.0719188875825518E-3</v>
      </c>
      <c r="G747" s="25">
        <f t="shared" si="7"/>
        <v>4.8894290627170024E-2</v>
      </c>
      <c r="H747" s="25">
        <v>1.20788394193793E-2</v>
      </c>
      <c r="I747" s="25">
        <v>-1.0742221550195928E-3</v>
      </c>
      <c r="J747" s="25">
        <v>-1.0765254224566335E-3</v>
      </c>
      <c r="K747" s="25">
        <v>-1.0788286898936745E-3</v>
      </c>
      <c r="L747" s="25">
        <v>-1.0811319573307153E-3</v>
      </c>
      <c r="M747" s="25">
        <v>-1.0834352247677563E-3</v>
      </c>
      <c r="N747" s="26">
        <v>-1.085738492204797E-3</v>
      </c>
    </row>
    <row r="748" spans="1:14" x14ac:dyDescent="0.35">
      <c r="A748" s="27">
        <v>243</v>
      </c>
      <c r="B748" s="28" t="s">
        <v>29</v>
      </c>
      <c r="C748" s="31">
        <v>43452</v>
      </c>
      <c r="D748" s="28">
        <v>-1.01728138004779E-2</v>
      </c>
      <c r="E748" s="28">
        <v>0.25469255000000002</v>
      </c>
      <c r="F748" s="28">
        <v>-2.5909399330308249E-3</v>
      </c>
      <c r="G748" s="25">
        <f t="shared" si="7"/>
        <v>4.6303350694139198E-2</v>
      </c>
      <c r="H748" s="28">
        <v>1.1904929285990601E-2</v>
      </c>
      <c r="I748" s="28">
        <v>-2.5928802061524724E-3</v>
      </c>
      <c r="J748" s="28">
        <v>-2.5948204792741198E-3</v>
      </c>
      <c r="K748" s="28">
        <v>-2.5967607523957673E-3</v>
      </c>
      <c r="L748" s="28">
        <v>-2.5987010255174147E-3</v>
      </c>
      <c r="M748" s="28">
        <v>-2.6006412986390622E-3</v>
      </c>
      <c r="N748" s="29">
        <v>-2.6025815717607096E-3</v>
      </c>
    </row>
    <row r="749" spans="1:14" x14ac:dyDescent="0.35">
      <c r="A749" s="24">
        <v>244</v>
      </c>
      <c r="B749" s="25" t="s">
        <v>29</v>
      </c>
      <c r="C749" s="30">
        <v>43453</v>
      </c>
      <c r="D749" s="25">
        <v>-5.5706777144981998E-3</v>
      </c>
      <c r="E749" s="25">
        <v>0.16181720999999999</v>
      </c>
      <c r="F749" s="25">
        <v>-9.0143151405174438E-4</v>
      </c>
      <c r="G749" s="25">
        <f t="shared" si="7"/>
        <v>4.5401919180087451E-2</v>
      </c>
      <c r="H749" s="25">
        <v>1.1858145612147999E-2</v>
      </c>
      <c r="I749" s="25">
        <v>-9.0509200247038406E-4</v>
      </c>
      <c r="J749" s="25">
        <v>-9.0875249088902385E-4</v>
      </c>
      <c r="K749" s="25">
        <v>-9.1241297930766353E-4</v>
      </c>
      <c r="L749" s="25">
        <v>-9.1607346772630332E-4</v>
      </c>
      <c r="M749" s="25">
        <v>-9.19733956144943E-4</v>
      </c>
      <c r="N749" s="26">
        <v>-9.2339444456358279E-4</v>
      </c>
    </row>
    <row r="750" spans="1:14" x14ac:dyDescent="0.35">
      <c r="A750" s="27">
        <v>245</v>
      </c>
      <c r="B750" s="28" t="s">
        <v>29</v>
      </c>
      <c r="C750" s="31">
        <v>43454</v>
      </c>
      <c r="D750" s="28">
        <v>-8.7327229535524003E-3</v>
      </c>
      <c r="E750" s="28">
        <v>0.17424049999999999</v>
      </c>
      <c r="F750" s="28">
        <v>-1.5215940114732148E-3</v>
      </c>
      <c r="G750" s="25">
        <f t="shared" si="7"/>
        <v>4.3880325168614238E-2</v>
      </c>
      <c r="H750" s="28">
        <v>1.1687675582172E-2</v>
      </c>
      <c r="I750" s="28">
        <v>-1.5221902382194308E-3</v>
      </c>
      <c r="J750" s="28">
        <v>-1.5227864649656469E-3</v>
      </c>
      <c r="K750" s="28">
        <v>-1.5233826917118629E-3</v>
      </c>
      <c r="L750" s="28">
        <v>-1.523978918458079E-3</v>
      </c>
      <c r="M750" s="28">
        <v>-1.524575145204295E-3</v>
      </c>
      <c r="N750" s="29">
        <v>-1.5251713719505111E-3</v>
      </c>
    </row>
    <row r="751" spans="1:14" x14ac:dyDescent="0.35">
      <c r="A751" s="24">
        <v>246</v>
      </c>
      <c r="B751" s="25" t="s">
        <v>29</v>
      </c>
      <c r="C751" s="30">
        <v>43455</v>
      </c>
      <c r="D751" s="25">
        <v>-3.8865291409407601E-2</v>
      </c>
      <c r="E751" s="25">
        <v>0.12953392</v>
      </c>
      <c r="F751" s="25">
        <v>-5.0343734204063217E-3</v>
      </c>
      <c r="G751" s="25">
        <f t="shared" si="7"/>
        <v>3.8845951748207916E-2</v>
      </c>
      <c r="H751" s="25">
        <v>1.1583251507074E-2</v>
      </c>
      <c r="I751" s="25">
        <v>-5.0361334078818237E-3</v>
      </c>
      <c r="J751" s="25">
        <v>-5.0378933953573258E-3</v>
      </c>
      <c r="K751" s="25">
        <v>-5.0396533828328286E-3</v>
      </c>
      <c r="L751" s="25">
        <v>-5.0414133703083307E-3</v>
      </c>
      <c r="M751" s="25">
        <v>-5.0431733577838327E-3</v>
      </c>
      <c r="N751" s="26">
        <v>-5.0449333452593347E-3</v>
      </c>
    </row>
    <row r="752" spans="1:14" x14ac:dyDescent="0.35">
      <c r="A752" s="27">
        <v>247</v>
      </c>
      <c r="B752" s="28" t="s">
        <v>29</v>
      </c>
      <c r="C752" s="31">
        <v>43458</v>
      </c>
      <c r="D752" s="28">
        <v>3.7465049050582497E-2</v>
      </c>
      <c r="E752" s="28">
        <v>-0.18049997000000001</v>
      </c>
      <c r="F752" s="28">
        <v>-6.7624402638817617E-3</v>
      </c>
      <c r="G752" s="25">
        <f t="shared" si="7"/>
        <v>3.2083511484326158E-2</v>
      </c>
      <c r="H752" s="28">
        <v>1.3920495876298299E-2</v>
      </c>
      <c r="I752" s="28">
        <v>-6.7738497610954369E-3</v>
      </c>
      <c r="J752" s="28">
        <v>-6.7852592583091129E-3</v>
      </c>
      <c r="K752" s="28">
        <v>-6.7966687555227881E-3</v>
      </c>
      <c r="L752" s="28">
        <v>-6.8080782527364641E-3</v>
      </c>
      <c r="M752" s="28">
        <v>-6.8194877499501393E-3</v>
      </c>
      <c r="N752" s="29">
        <v>-6.8308972471638153E-3</v>
      </c>
    </row>
    <row r="753" spans="1:14" x14ac:dyDescent="0.35">
      <c r="A753" s="24">
        <v>248</v>
      </c>
      <c r="B753" s="25" t="s">
        <v>29</v>
      </c>
      <c r="C753" s="30">
        <v>43460</v>
      </c>
      <c r="D753" s="25">
        <v>5.2763397782861999E-3</v>
      </c>
      <c r="E753" s="25">
        <v>0.54851985000000003</v>
      </c>
      <c r="F753" s="25">
        <v>2.8941771025591256E-3</v>
      </c>
      <c r="G753" s="25">
        <f t="shared" si="7"/>
        <v>3.4977688586885283E-2</v>
      </c>
      <c r="H753" s="25">
        <v>1.7393890435476698E-2</v>
      </c>
      <c r="I753" s="25">
        <v>2.8731520280576655E-3</v>
      </c>
      <c r="J753" s="25">
        <v>2.8521269535562053E-3</v>
      </c>
      <c r="K753" s="25">
        <v>2.8311018790547452E-3</v>
      </c>
      <c r="L753" s="25">
        <v>2.810076804553285E-3</v>
      </c>
      <c r="M753" s="25">
        <v>2.7890517300518248E-3</v>
      </c>
      <c r="N753" s="26">
        <v>2.7680266555503647E-3</v>
      </c>
    </row>
    <row r="754" spans="1:14" x14ac:dyDescent="0.35">
      <c r="A754" s="27">
        <v>249</v>
      </c>
      <c r="B754" s="28" t="s">
        <v>29</v>
      </c>
      <c r="C754" s="31">
        <v>43461</v>
      </c>
      <c r="D754" s="28">
        <v>-1.9761069178029001E-3</v>
      </c>
      <c r="E754" s="28">
        <v>0.33528935999999998</v>
      </c>
      <c r="F754" s="28">
        <v>-6.6256762196880965E-4</v>
      </c>
      <c r="G754" s="25">
        <f t="shared" si="7"/>
        <v>3.4315120964916471E-2</v>
      </c>
      <c r="H754" s="28">
        <v>1.7248546730335001E-2</v>
      </c>
      <c r="I754" s="28">
        <v>-6.6828268202789897E-4</v>
      </c>
      <c r="J754" s="28">
        <v>-6.7399774208698839E-4</v>
      </c>
      <c r="K754" s="28">
        <v>-6.7971280214607771E-4</v>
      </c>
      <c r="L754" s="28">
        <v>-6.8542786220516713E-4</v>
      </c>
      <c r="M754" s="28">
        <v>-6.9114292226425645E-4</v>
      </c>
      <c r="N754" s="29">
        <v>-6.9685798232334588E-4</v>
      </c>
    </row>
    <row r="755" spans="1:14" x14ac:dyDescent="0.35">
      <c r="A755" s="24">
        <v>250</v>
      </c>
      <c r="B755" s="25" t="s">
        <v>29</v>
      </c>
      <c r="C755" s="30">
        <v>43462</v>
      </c>
      <c r="D755" s="25">
        <v>4.3127886975420004E-3</v>
      </c>
      <c r="E755" s="25">
        <v>0.2290816</v>
      </c>
      <c r="F755" s="25">
        <v>9.8798053919560273E-4</v>
      </c>
      <c r="G755" s="25">
        <f t="shared" si="7"/>
        <v>3.5303101504112075E-2</v>
      </c>
      <c r="H755" s="25">
        <v>1.6965334133635001E-2</v>
      </c>
      <c r="I755" s="25">
        <v>9.8517614739112658E-4</v>
      </c>
      <c r="J755" s="25">
        <v>9.8237175558665022E-4</v>
      </c>
      <c r="K755" s="25">
        <v>9.7956736378217407E-4</v>
      </c>
      <c r="L755" s="25">
        <v>9.7676297197769771E-4</v>
      </c>
      <c r="M755" s="25">
        <v>9.7395858017322156E-4</v>
      </c>
      <c r="N755" s="26">
        <v>9.711541883687453E-4</v>
      </c>
    </row>
    <row r="756" spans="1:14" x14ac:dyDescent="0.35">
      <c r="A756" s="27">
        <v>251</v>
      </c>
      <c r="B756" s="28" t="s">
        <v>29</v>
      </c>
      <c r="C756" s="31">
        <v>43465</v>
      </c>
      <c r="D756" s="28">
        <v>1.292387764562E-3</v>
      </c>
      <c r="E756" s="28">
        <v>0.25505185000000002</v>
      </c>
      <c r="F756" s="28">
        <v>3.2962589191357322E-4</v>
      </c>
      <c r="G756" s="25">
        <f t="shared" si="7"/>
        <v>3.5632727396025646E-2</v>
      </c>
      <c r="H756" s="28">
        <v>1.67808874581525E-2</v>
      </c>
      <c r="I756" s="28">
        <v>3.2882459527434942E-4</v>
      </c>
      <c r="J756" s="28">
        <v>3.2802329863512562E-4</v>
      </c>
      <c r="K756" s="28">
        <v>3.2722200199590182E-4</v>
      </c>
      <c r="L756" s="28">
        <v>3.2642070535667802E-4</v>
      </c>
      <c r="M756" s="28">
        <v>3.2561940871745428E-4</v>
      </c>
      <c r="N756" s="29">
        <v>3.2481811207823048E-4</v>
      </c>
    </row>
    <row r="757" spans="1:14" x14ac:dyDescent="0.35">
      <c r="A757">
        <v>0</v>
      </c>
      <c r="B757" t="s">
        <v>29</v>
      </c>
      <c r="C757" s="23">
        <v>43467</v>
      </c>
      <c r="D757">
        <v>-1.44070347713415E-2</v>
      </c>
      <c r="E757">
        <v>1.8757889E-2</v>
      </c>
      <c r="F757">
        <v>-2.7024555974091352E-4</v>
      </c>
      <c r="G757" s="32">
        <f>G756+F757</f>
        <v>3.536248183628473E-2</v>
      </c>
      <c r="H757">
        <v>1.6520766820031799E-2</v>
      </c>
      <c r="I757">
        <v>-2.7024555974091352E-4</v>
      </c>
      <c r="J757">
        <v>-2.7024555974091352E-4</v>
      </c>
      <c r="K757">
        <v>-2.7024555974091352E-4</v>
      </c>
      <c r="L757">
        <v>-2.7024555974091352E-4</v>
      </c>
      <c r="M757">
        <v>-2.7024555974091352E-4</v>
      </c>
      <c r="N757">
        <v>-2.7024555974091352E-4</v>
      </c>
    </row>
    <row r="758" spans="1:14" x14ac:dyDescent="0.35">
      <c r="A758">
        <v>1</v>
      </c>
      <c r="B758" t="s">
        <v>29</v>
      </c>
      <c r="C758" s="23">
        <v>43468</v>
      </c>
      <c r="D758">
        <v>1.9206098051866901E-2</v>
      </c>
      <c r="E758">
        <v>-6.9220710000000005E-2</v>
      </c>
      <c r="F758">
        <v>-1.3294596824138241E-3</v>
      </c>
      <c r="G758" s="32">
        <f t="shared" ref="G758:G821" si="8">G757+F758</f>
        <v>3.4033022153870905E-2</v>
      </c>
      <c r="H758">
        <v>1.6783064482824E-2</v>
      </c>
      <c r="I758">
        <v>-1.3319447283840216E-3</v>
      </c>
      <c r="J758">
        <v>-1.334429774354219E-3</v>
      </c>
      <c r="K758">
        <v>-1.3369148203244165E-3</v>
      </c>
      <c r="L758">
        <v>-1.339399866294614E-3</v>
      </c>
      <c r="M758">
        <v>-1.3418849122648112E-3</v>
      </c>
      <c r="N758">
        <v>-1.3443699582350087E-3</v>
      </c>
    </row>
    <row r="759" spans="1:14" x14ac:dyDescent="0.35">
      <c r="A759">
        <v>2</v>
      </c>
      <c r="B759" t="s">
        <v>29</v>
      </c>
      <c r="C759" s="23">
        <v>43469</v>
      </c>
      <c r="D759">
        <v>4.0439656522684997E-3</v>
      </c>
      <c r="E759">
        <v>2.4683842000000001E-2</v>
      </c>
      <c r="F759">
        <v>9.9820610975085374E-5</v>
      </c>
      <c r="G759" s="32">
        <f t="shared" si="8"/>
        <v>3.4132842764845989E-2</v>
      </c>
      <c r="H759">
        <v>1.7769664317514901E-2</v>
      </c>
      <c r="I759">
        <v>9.7215708967518614E-5</v>
      </c>
      <c r="J759">
        <v>9.4610806959951853E-5</v>
      </c>
      <c r="K759">
        <v>9.2005904952385093E-5</v>
      </c>
      <c r="L759">
        <v>8.9401002944818319E-5</v>
      </c>
      <c r="M759">
        <v>8.6796100937251559E-5</v>
      </c>
      <c r="N759">
        <v>8.4191198929684798E-5</v>
      </c>
    </row>
    <row r="760" spans="1:14" x14ac:dyDescent="0.35">
      <c r="A760">
        <v>3</v>
      </c>
      <c r="B760" t="s">
        <v>29</v>
      </c>
      <c r="C760" s="23">
        <v>43472</v>
      </c>
      <c r="D760">
        <v>4.6443169668815999E-3</v>
      </c>
      <c r="E760">
        <v>-3.1651545000000003E-2</v>
      </c>
      <c r="F760">
        <v>-1.4699980893903198E-4</v>
      </c>
      <c r="G760" s="32">
        <f t="shared" si="8"/>
        <v>3.398584295590696E-2</v>
      </c>
      <c r="H760">
        <v>1.75495703972369E-2</v>
      </c>
      <c r="I760">
        <v>-1.4850819487794442E-4</v>
      </c>
      <c r="J760">
        <v>-1.5001658081685687E-4</v>
      </c>
      <c r="K760">
        <v>-1.5152496675576932E-4</v>
      </c>
      <c r="L760">
        <v>-1.5303335269468177E-4</v>
      </c>
      <c r="M760">
        <v>-1.5454173863359421E-4</v>
      </c>
      <c r="N760">
        <v>-1.5605012457250666E-4</v>
      </c>
    </row>
    <row r="761" spans="1:14" x14ac:dyDescent="0.35">
      <c r="A761">
        <v>4</v>
      </c>
      <c r="B761" t="s">
        <v>29</v>
      </c>
      <c r="C761" s="23">
        <v>43473</v>
      </c>
      <c r="D761">
        <v>2.1174859313617999E-3</v>
      </c>
      <c r="E761">
        <v>-6.4677479999999996E-2</v>
      </c>
      <c r="F761">
        <v>-1.3695364737559198E-4</v>
      </c>
      <c r="G761" s="32">
        <f t="shared" si="8"/>
        <v>3.3848889308531367E-2</v>
      </c>
      <c r="H761">
        <v>1.73466282628413E-2</v>
      </c>
      <c r="I761">
        <v>-1.3786311589250277E-4</v>
      </c>
      <c r="J761">
        <v>-1.3877258440941355E-4</v>
      </c>
      <c r="K761">
        <v>-1.3968205292632434E-4</v>
      </c>
      <c r="L761">
        <v>-1.4059152144323513E-4</v>
      </c>
      <c r="M761">
        <v>-1.4150098996014592E-4</v>
      </c>
      <c r="N761">
        <v>-1.4241045847705671E-4</v>
      </c>
    </row>
    <row r="762" spans="1:14" x14ac:dyDescent="0.35">
      <c r="A762">
        <v>5</v>
      </c>
      <c r="B762" t="s">
        <v>29</v>
      </c>
      <c r="C762" s="23">
        <v>43474</v>
      </c>
      <c r="D762">
        <v>2.4635446891831999E-3</v>
      </c>
      <c r="E762">
        <v>-0.119092144</v>
      </c>
      <c r="F762">
        <v>-2.9338881905215363E-4</v>
      </c>
      <c r="G762" s="32">
        <f t="shared" si="8"/>
        <v>3.3555500489479216E-2</v>
      </c>
      <c r="H762">
        <v>1.7080007378140999E-2</v>
      </c>
      <c r="I762">
        <v>-2.9492149920028589E-4</v>
      </c>
      <c r="J762">
        <v>-2.964541793484182E-4</v>
      </c>
      <c r="K762">
        <v>-2.9798685949655046E-4</v>
      </c>
      <c r="L762">
        <v>-2.9951953964468272E-4</v>
      </c>
      <c r="M762">
        <v>-3.0105221979281497E-4</v>
      </c>
      <c r="N762">
        <v>-3.0258489994094729E-4</v>
      </c>
    </row>
    <row r="763" spans="1:14" x14ac:dyDescent="0.35">
      <c r="A763">
        <v>6</v>
      </c>
      <c r="B763" t="s">
        <v>29</v>
      </c>
      <c r="C763" s="23">
        <v>43475</v>
      </c>
      <c r="D763">
        <v>2.165433981142E-4</v>
      </c>
      <c r="E763">
        <v>-0.15746023000000001</v>
      </c>
      <c r="F763">
        <v>-3.4096972754219094E-5</v>
      </c>
      <c r="G763" s="32">
        <f t="shared" si="8"/>
        <v>3.3521403516724994E-2</v>
      </c>
      <c r="H763">
        <v>1.68219395981947E-2</v>
      </c>
      <c r="I763">
        <v>-3.5225103858375387E-5</v>
      </c>
      <c r="J763">
        <v>-3.6353234962531679E-5</v>
      </c>
      <c r="K763">
        <v>-3.7481366066687972E-5</v>
      </c>
      <c r="L763">
        <v>-3.8609497170844264E-5</v>
      </c>
      <c r="M763">
        <v>-3.9737628275000556E-5</v>
      </c>
      <c r="N763">
        <v>-4.0865759379156856E-5</v>
      </c>
    </row>
    <row r="764" spans="1:14" x14ac:dyDescent="0.35">
      <c r="A764">
        <v>7</v>
      </c>
      <c r="B764" t="s">
        <v>29</v>
      </c>
      <c r="C764" s="23">
        <v>43476</v>
      </c>
      <c r="D764">
        <v>-3.1913042699593E-3</v>
      </c>
      <c r="E764">
        <v>-0.19785564999999999</v>
      </c>
      <c r="F764">
        <v>6.3141758508020564E-4</v>
      </c>
      <c r="G764" s="32">
        <f t="shared" si="8"/>
        <v>3.4152821101805203E-2</v>
      </c>
      <c r="H764">
        <v>1.6544491190901199E-2</v>
      </c>
      <c r="I764">
        <v>6.3018986377838201E-4</v>
      </c>
      <c r="J764">
        <v>6.2896214247655838E-4</v>
      </c>
      <c r="K764">
        <v>6.2773442117473465E-4</v>
      </c>
      <c r="L764">
        <v>6.2650669987291102E-4</v>
      </c>
      <c r="M764">
        <v>6.2527897857108739E-4</v>
      </c>
      <c r="N764">
        <v>6.2405125726926376E-4</v>
      </c>
    </row>
    <row r="765" spans="1:14" x14ac:dyDescent="0.35">
      <c r="A765">
        <v>8</v>
      </c>
      <c r="B765" t="s">
        <v>29</v>
      </c>
      <c r="C765" s="23">
        <v>43479</v>
      </c>
      <c r="D765">
        <v>5.6169165265702002E-3</v>
      </c>
      <c r="E765">
        <v>-0.23263476999999999</v>
      </c>
      <c r="F765">
        <v>-1.3066900724160316E-3</v>
      </c>
      <c r="G765" s="32">
        <f t="shared" si="8"/>
        <v>3.2846131029389172E-2</v>
      </c>
      <c r="H765">
        <v>1.6297806757723101E-2</v>
      </c>
      <c r="I765">
        <v>-1.3077838010024691E-3</v>
      </c>
      <c r="J765">
        <v>-1.3088775295889068E-3</v>
      </c>
      <c r="K765">
        <v>-1.3099712581753442E-3</v>
      </c>
      <c r="L765">
        <v>-1.3110649867617817E-3</v>
      </c>
      <c r="M765">
        <v>-1.3121587153482191E-3</v>
      </c>
      <c r="N765">
        <v>-1.3132524439346568E-3</v>
      </c>
    </row>
    <row r="766" spans="1:14" x14ac:dyDescent="0.35">
      <c r="A766">
        <v>9</v>
      </c>
      <c r="B766" t="s">
        <v>29</v>
      </c>
      <c r="C766" s="23">
        <v>43480</v>
      </c>
      <c r="D766">
        <v>1.7420857298763E-3</v>
      </c>
      <c r="E766">
        <v>-0.20843867999999999</v>
      </c>
      <c r="F766">
        <v>-3.63118049243469E-4</v>
      </c>
      <c r="G766" s="32">
        <f t="shared" si="8"/>
        <v>3.2483012980145706E-2</v>
      </c>
      <c r="H766">
        <v>1.6133629908481301E-2</v>
      </c>
      <c r="I766">
        <v>-3.637579792888252E-4</v>
      </c>
      <c r="J766">
        <v>-3.6439790933418139E-4</v>
      </c>
      <c r="K766">
        <v>-3.6503783937953758E-4</v>
      </c>
      <c r="L766">
        <v>-3.6567776942489377E-4</v>
      </c>
      <c r="M766">
        <v>-3.6631769947024996E-4</v>
      </c>
      <c r="N766">
        <v>-3.6695762951560615E-4</v>
      </c>
    </row>
    <row r="767" spans="1:14" x14ac:dyDescent="0.35">
      <c r="A767">
        <v>10</v>
      </c>
      <c r="B767" t="s">
        <v>29</v>
      </c>
      <c r="C767" s="23">
        <v>43481</v>
      </c>
      <c r="D767">
        <v>5.0102088755267999E-3</v>
      </c>
      <c r="E767">
        <v>-0.22792346999999999</v>
      </c>
      <c r="F767">
        <v>-1.1419441810885391E-3</v>
      </c>
      <c r="G767" s="32">
        <f t="shared" si="8"/>
        <v>3.1341068799057167E-2</v>
      </c>
      <c r="H767">
        <v>1.5877308321999999E-2</v>
      </c>
      <c r="I767">
        <v>-1.1426225237411325E-3</v>
      </c>
      <c r="J767">
        <v>-1.1433008663937259E-3</v>
      </c>
      <c r="K767">
        <v>-1.1439792090463196E-3</v>
      </c>
      <c r="L767">
        <v>-1.144657551698913E-3</v>
      </c>
      <c r="M767">
        <v>-1.1453358943515064E-3</v>
      </c>
      <c r="N767">
        <v>-1.1460142370040998E-3</v>
      </c>
    </row>
    <row r="768" spans="1:14" x14ac:dyDescent="0.35">
      <c r="A768">
        <v>11</v>
      </c>
      <c r="B768" t="s">
        <v>29</v>
      </c>
      <c r="C768" s="23">
        <v>43482</v>
      </c>
      <c r="D768">
        <v>8.2843311292610002E-3</v>
      </c>
      <c r="E768">
        <v>-0.23022281999999999</v>
      </c>
      <c r="F768">
        <v>-1.9072420846288417E-3</v>
      </c>
      <c r="G768" s="32">
        <f t="shared" si="8"/>
        <v>2.9433826714428325E-2</v>
      </c>
      <c r="H768">
        <v>1.56898838295082E-2</v>
      </c>
      <c r="I768">
        <v>-1.9073923412989229E-3</v>
      </c>
      <c r="J768">
        <v>-1.9075425979690041E-3</v>
      </c>
      <c r="K768">
        <v>-1.9076928546390851E-3</v>
      </c>
      <c r="L768">
        <v>-1.9078431113091663E-3</v>
      </c>
      <c r="M768">
        <v>-1.9079933679792475E-3</v>
      </c>
      <c r="N768">
        <v>-1.9081436246493287E-3</v>
      </c>
    </row>
    <row r="769" spans="1:14" x14ac:dyDescent="0.35">
      <c r="A769">
        <v>12</v>
      </c>
      <c r="B769" t="s">
        <v>29</v>
      </c>
      <c r="C769" s="23">
        <v>43483</v>
      </c>
      <c r="D769">
        <v>-8.9430541808709005E-3</v>
      </c>
      <c r="E769">
        <v>-0.22104753999999999</v>
      </c>
      <c r="F769">
        <v>1.9768400868703422E-3</v>
      </c>
      <c r="G769" s="32">
        <f t="shared" si="8"/>
        <v>3.141066680129867E-2</v>
      </c>
      <c r="H769">
        <v>1.5622374476811101E-2</v>
      </c>
      <c r="I769">
        <v>1.9765925631015421E-3</v>
      </c>
      <c r="J769">
        <v>1.9763450393327415E-3</v>
      </c>
      <c r="K769">
        <v>1.9760975155639414E-3</v>
      </c>
      <c r="L769">
        <v>1.9758499917951408E-3</v>
      </c>
      <c r="M769">
        <v>1.9756024680263407E-3</v>
      </c>
      <c r="N769">
        <v>1.9753549442575401E-3</v>
      </c>
    </row>
    <row r="770" spans="1:14" x14ac:dyDescent="0.35">
      <c r="A770">
        <v>13</v>
      </c>
      <c r="B770" t="s">
        <v>29</v>
      </c>
      <c r="C770" s="23">
        <v>43487</v>
      </c>
      <c r="D770">
        <v>1.4373309948519E-3</v>
      </c>
      <c r="E770">
        <v>-0.31532732000000002</v>
      </c>
      <c r="F770">
        <v>-4.5322972556140613E-4</v>
      </c>
      <c r="G770" s="32">
        <f t="shared" si="8"/>
        <v>3.0957437075737265E-2</v>
      </c>
      <c r="H770">
        <v>1.5610913962900499E-2</v>
      </c>
      <c r="I770">
        <v>-4.5608795784089491E-4</v>
      </c>
      <c r="J770">
        <v>-4.5894619012038364E-4</v>
      </c>
      <c r="K770">
        <v>-4.6180442239987242E-4</v>
      </c>
      <c r="L770">
        <v>-4.646626546793612E-4</v>
      </c>
      <c r="M770">
        <v>-4.6752088695884998E-4</v>
      </c>
      <c r="N770">
        <v>-4.7037911923833876E-4</v>
      </c>
    </row>
    <row r="771" spans="1:14" x14ac:dyDescent="0.35">
      <c r="A771">
        <v>14</v>
      </c>
      <c r="B771" t="s">
        <v>29</v>
      </c>
      <c r="C771" s="23">
        <v>43488</v>
      </c>
      <c r="D771">
        <v>-9.9110939858080009E-4</v>
      </c>
      <c r="E771">
        <v>-0.30319427999999998</v>
      </c>
      <c r="F771">
        <v>3.0049870490355947E-4</v>
      </c>
      <c r="G771" s="32">
        <f t="shared" si="8"/>
        <v>3.1257935780640823E-2</v>
      </c>
      <c r="H771">
        <v>1.5358272797891301E-2</v>
      </c>
      <c r="I771">
        <v>3.0028244961858246E-4</v>
      </c>
      <c r="J771">
        <v>3.000661943336054E-4</v>
      </c>
      <c r="K771">
        <v>2.9984993904862839E-4</v>
      </c>
      <c r="L771">
        <v>2.9963368376365138E-4</v>
      </c>
      <c r="M771">
        <v>2.9941742847867437E-4</v>
      </c>
      <c r="N771">
        <v>2.9920117319369731E-4</v>
      </c>
    </row>
    <row r="772" spans="1:14" x14ac:dyDescent="0.35">
      <c r="A772">
        <v>15</v>
      </c>
      <c r="B772" t="s">
        <v>29</v>
      </c>
      <c r="C772" s="23">
        <v>43489</v>
      </c>
      <c r="D772">
        <v>7.0047942461597002E-3</v>
      </c>
      <c r="E772">
        <v>-0.31563989999999997</v>
      </c>
      <c r="F772">
        <v>-2.2109926470160017E-3</v>
      </c>
      <c r="G772" s="32">
        <f t="shared" si="8"/>
        <v>2.9046943133624822E-2</v>
      </c>
      <c r="H772">
        <v>1.51078217052422E-2</v>
      </c>
      <c r="I772">
        <v>-2.2115364679230133E-3</v>
      </c>
      <c r="J772">
        <v>-2.212080288830025E-3</v>
      </c>
      <c r="K772">
        <v>-2.2126241097370366E-3</v>
      </c>
      <c r="L772">
        <v>-2.2131679306440486E-3</v>
      </c>
      <c r="M772">
        <v>-2.2137117515510603E-3</v>
      </c>
      <c r="N772">
        <v>-2.2142555724580719E-3</v>
      </c>
    </row>
    <row r="773" spans="1:14" x14ac:dyDescent="0.35">
      <c r="A773">
        <v>16</v>
      </c>
      <c r="B773" t="s">
        <v>29</v>
      </c>
      <c r="C773" s="23">
        <v>43490</v>
      </c>
      <c r="D773">
        <v>-5.0880907192307999E-3</v>
      </c>
      <c r="E773">
        <v>-0.31284339999999999</v>
      </c>
      <c r="F773">
        <v>1.5917756619882361E-3</v>
      </c>
      <c r="G773" s="32">
        <f t="shared" si="8"/>
        <v>3.0638718795613057E-2</v>
      </c>
      <c r="H773">
        <v>1.49906996006497E-2</v>
      </c>
      <c r="I773">
        <v>1.5917646460222089E-3</v>
      </c>
      <c r="J773">
        <v>1.5917536300561817E-3</v>
      </c>
      <c r="K773">
        <v>1.5917426140901545E-3</v>
      </c>
      <c r="L773">
        <v>1.5917315981241274E-3</v>
      </c>
      <c r="M773">
        <v>1.5917205821581E-3</v>
      </c>
      <c r="N773">
        <v>1.5917095661920728E-3</v>
      </c>
    </row>
    <row r="774" spans="1:14" x14ac:dyDescent="0.35">
      <c r="A774">
        <v>17</v>
      </c>
      <c r="B774" t="s">
        <v>29</v>
      </c>
      <c r="C774" s="23">
        <v>43493</v>
      </c>
      <c r="D774">
        <v>-4.2224765316029999E-4</v>
      </c>
      <c r="E774">
        <v>-0.32428279999999998</v>
      </c>
      <c r="F774">
        <v>1.3692764922958222E-4</v>
      </c>
      <c r="G774" s="32">
        <f t="shared" si="8"/>
        <v>3.0775646444842639E-2</v>
      </c>
      <c r="H774">
        <v>1.4822756680862199E-2</v>
      </c>
      <c r="I774">
        <v>1.3645132193818664E-4</v>
      </c>
      <c r="J774">
        <v>1.3597499464679109E-4</v>
      </c>
      <c r="K774">
        <v>1.3549866735539551E-4</v>
      </c>
      <c r="L774">
        <v>1.3502234006399996E-4</v>
      </c>
      <c r="M774">
        <v>1.3454601277260438E-4</v>
      </c>
      <c r="N774">
        <v>1.3406968548120883E-4</v>
      </c>
    </row>
    <row r="775" spans="1:14" x14ac:dyDescent="0.35">
      <c r="A775">
        <v>18</v>
      </c>
      <c r="B775" t="s">
        <v>29</v>
      </c>
      <c r="C775" s="23">
        <v>43494</v>
      </c>
      <c r="D775">
        <v>1.03718892724182E-2</v>
      </c>
      <c r="E775">
        <v>-0.29665804000000001</v>
      </c>
      <c r="F775">
        <v>-3.0769043332454877E-3</v>
      </c>
      <c r="G775" s="32">
        <f t="shared" si="8"/>
        <v>2.769874211159715E-2</v>
      </c>
      <c r="H775">
        <v>1.45785650475938E-2</v>
      </c>
      <c r="I775">
        <v>-3.0776264544104233E-3</v>
      </c>
      <c r="J775">
        <v>-3.0783485755753589E-3</v>
      </c>
      <c r="K775">
        <v>-3.0790706967402941E-3</v>
      </c>
      <c r="L775">
        <v>-3.0797928179052297E-3</v>
      </c>
      <c r="M775">
        <v>-3.0805149390701653E-3</v>
      </c>
      <c r="N775">
        <v>-3.0812370602351009E-3</v>
      </c>
    </row>
    <row r="776" spans="1:14" x14ac:dyDescent="0.35">
      <c r="A776">
        <v>19</v>
      </c>
      <c r="B776" t="s">
        <v>29</v>
      </c>
      <c r="C776" s="23">
        <v>43495</v>
      </c>
      <c r="D776">
        <v>5.3018572370589004E-3</v>
      </c>
      <c r="E776">
        <v>-0.23629718999999999</v>
      </c>
      <c r="F776">
        <v>-1.2528139679021501E-3</v>
      </c>
      <c r="G776" s="32">
        <f t="shared" si="8"/>
        <v>2.6445928143695001E-2</v>
      </c>
      <c r="H776">
        <v>1.4616584766275901E-2</v>
      </c>
      <c r="I776">
        <v>-1.2547900343677666E-3</v>
      </c>
      <c r="J776">
        <v>-1.2567661008333832E-3</v>
      </c>
      <c r="K776">
        <v>-1.2587421672989995E-3</v>
      </c>
      <c r="L776">
        <v>-1.260718233764616E-3</v>
      </c>
      <c r="M776">
        <v>-1.2626943002302326E-3</v>
      </c>
      <c r="N776">
        <v>-1.2646703666958491E-3</v>
      </c>
    </row>
    <row r="777" spans="1:14" x14ac:dyDescent="0.35">
      <c r="A777">
        <v>20</v>
      </c>
      <c r="B777" t="s">
        <v>29</v>
      </c>
      <c r="C777" s="23">
        <v>43496</v>
      </c>
      <c r="D777">
        <v>-6.0497224026460523E-5</v>
      </c>
      <c r="E777">
        <v>-0.22058398000000001</v>
      </c>
      <c r="F777">
        <v>1.3344718171284479E-5</v>
      </c>
      <c r="G777" s="32">
        <f t="shared" si="8"/>
        <v>2.6459272861866286E-2</v>
      </c>
      <c r="H777">
        <v>1.4438050764561099E-2</v>
      </c>
      <c r="I777">
        <v>1.2924981661538035E-5</v>
      </c>
      <c r="J777">
        <v>1.2505245151791592E-5</v>
      </c>
      <c r="K777">
        <v>1.2085508642045148E-5</v>
      </c>
      <c r="L777">
        <v>1.1665772132298706E-5</v>
      </c>
      <c r="M777">
        <v>1.1246035622552261E-5</v>
      </c>
      <c r="N777">
        <v>1.0826299112805817E-5</v>
      </c>
    </row>
    <row r="778" spans="1:14" x14ac:dyDescent="0.35">
      <c r="A778">
        <v>21</v>
      </c>
      <c r="B778" t="s">
        <v>29</v>
      </c>
      <c r="C778" s="23">
        <v>43497</v>
      </c>
      <c r="D778">
        <v>4.1829857027998003E-3</v>
      </c>
      <c r="E778">
        <v>-0.23100821999999999</v>
      </c>
      <c r="F778">
        <v>-9.6630406784726326E-4</v>
      </c>
      <c r="G778" s="32">
        <f t="shared" si="8"/>
        <v>2.5492968794019022E-2</v>
      </c>
      <c r="H778">
        <v>1.4200599902134001E-2</v>
      </c>
      <c r="I778">
        <v>-9.6677158021204665E-4</v>
      </c>
      <c r="J778">
        <v>-9.6723909257683005E-4</v>
      </c>
      <c r="K778">
        <v>-9.6770660494161344E-4</v>
      </c>
      <c r="L778">
        <v>-9.6817411730639672E-4</v>
      </c>
      <c r="M778">
        <v>-9.6864162967118012E-4</v>
      </c>
      <c r="N778">
        <v>-9.6910914203596351E-4</v>
      </c>
    </row>
    <row r="779" spans="1:14" x14ac:dyDescent="0.35">
      <c r="A779">
        <v>22</v>
      </c>
      <c r="B779" t="s">
        <v>29</v>
      </c>
      <c r="C779" s="23">
        <v>43500</v>
      </c>
      <c r="D779">
        <v>2.4183694696994001E-3</v>
      </c>
      <c r="E779">
        <v>-0.22603002</v>
      </c>
      <c r="F779">
        <v>-5.466241042127129E-4</v>
      </c>
      <c r="G779" s="32">
        <f t="shared" si="8"/>
        <v>2.4946344689806308E-2</v>
      </c>
      <c r="H779">
        <v>1.39992416676742E-2</v>
      </c>
      <c r="I779">
        <v>-5.4668156501441376E-4</v>
      </c>
      <c r="J779">
        <v>-5.4673902581611452E-4</v>
      </c>
      <c r="K779">
        <v>-5.4679648661781538E-4</v>
      </c>
      <c r="L779">
        <v>-5.4685394741951624E-4</v>
      </c>
      <c r="M779">
        <v>-5.46911408221217E-4</v>
      </c>
      <c r="N779">
        <v>-5.4696886902291786E-4</v>
      </c>
    </row>
    <row r="780" spans="1:14" x14ac:dyDescent="0.35">
      <c r="A780">
        <v>23</v>
      </c>
      <c r="B780" t="s">
        <v>29</v>
      </c>
      <c r="C780" s="23">
        <v>43501</v>
      </c>
      <c r="D780">
        <v>-3.7675944704959998E-4</v>
      </c>
      <c r="E780">
        <v>-0.2011754</v>
      </c>
      <c r="F780">
        <v>7.5794734941251926E-5</v>
      </c>
      <c r="G780" s="32">
        <f t="shared" si="8"/>
        <v>2.5022139424747559E-2</v>
      </c>
      <c r="H780">
        <v>1.37751519059283E-2</v>
      </c>
      <c r="I780">
        <v>7.5066372860497132E-5</v>
      </c>
      <c r="J780">
        <v>7.4338010779742352E-5</v>
      </c>
      <c r="K780">
        <v>7.3609648698987558E-5</v>
      </c>
      <c r="L780">
        <v>7.2881286618232778E-5</v>
      </c>
      <c r="M780">
        <v>7.2152924537477984E-5</v>
      </c>
      <c r="N780">
        <v>7.1424562456723204E-5</v>
      </c>
    </row>
    <row r="781" spans="1:14" x14ac:dyDescent="0.35">
      <c r="A781">
        <v>24</v>
      </c>
      <c r="B781" t="s">
        <v>29</v>
      </c>
      <c r="C781" s="23">
        <v>43502</v>
      </c>
      <c r="D781">
        <v>-6.5144614293195001E-3</v>
      </c>
      <c r="E781">
        <v>-0.18765689999999999</v>
      </c>
      <c r="F781">
        <v>1.2224836000339805E-3</v>
      </c>
      <c r="G781" s="32">
        <f t="shared" si="8"/>
        <v>2.624462302478154E-2</v>
      </c>
      <c r="H781">
        <v>1.3550944089019801E-2</v>
      </c>
      <c r="I781">
        <v>1.2221264371260047E-3</v>
      </c>
      <c r="J781">
        <v>1.2217692742180289E-3</v>
      </c>
      <c r="K781">
        <v>1.2214121113100528E-3</v>
      </c>
      <c r="L781">
        <v>1.221054948402077E-3</v>
      </c>
      <c r="M781">
        <v>1.2206977854941012E-3</v>
      </c>
      <c r="N781">
        <v>1.2203406225861253E-3</v>
      </c>
    </row>
    <row r="782" spans="1:14" x14ac:dyDescent="0.35">
      <c r="A782">
        <v>25</v>
      </c>
      <c r="B782" t="s">
        <v>29</v>
      </c>
      <c r="C782" s="23">
        <v>43503</v>
      </c>
      <c r="D782">
        <v>5.8421379829840003E-4</v>
      </c>
      <c r="E782">
        <v>-0.18606967999999999</v>
      </c>
      <c r="F782">
        <v>-1.0870447580989076E-4</v>
      </c>
      <c r="G782" s="32">
        <f t="shared" si="8"/>
        <v>2.613591854897165E-2</v>
      </c>
      <c r="H782">
        <v>1.34584488826964E-2</v>
      </c>
      <c r="I782">
        <v>-1.0871522883850991E-4</v>
      </c>
      <c r="J782">
        <v>-1.0872598186712905E-4</v>
      </c>
      <c r="K782">
        <v>-1.087367348957482E-4</v>
      </c>
      <c r="L782">
        <v>-1.0874748792436735E-4</v>
      </c>
      <c r="M782">
        <v>-1.087582409529865E-4</v>
      </c>
      <c r="N782">
        <v>-1.0876899398160564E-4</v>
      </c>
    </row>
    <row r="783" spans="1:14" x14ac:dyDescent="0.35">
      <c r="A783">
        <v>26</v>
      </c>
      <c r="B783" t="s">
        <v>29</v>
      </c>
      <c r="C783" s="23">
        <v>43504</v>
      </c>
      <c r="D783">
        <v>5.2759029476779999E-4</v>
      </c>
      <c r="E783">
        <v>-0.13392778</v>
      </c>
      <c r="F783">
        <v>-7.0658995561102646E-5</v>
      </c>
      <c r="G783" s="32">
        <f t="shared" si="8"/>
        <v>2.6065259553410547E-2</v>
      </c>
      <c r="H783">
        <v>1.32359851947201E-2</v>
      </c>
      <c r="I783">
        <v>-7.2410404142659516E-5</v>
      </c>
      <c r="J783">
        <v>-7.4161812724216387E-5</v>
      </c>
      <c r="K783">
        <v>-7.5913221305773257E-5</v>
      </c>
      <c r="L783">
        <v>-7.7664629887330127E-5</v>
      </c>
      <c r="M783">
        <v>-7.9416038468886998E-5</v>
      </c>
      <c r="N783">
        <v>-8.1167447050443868E-5</v>
      </c>
    </row>
    <row r="784" spans="1:14" x14ac:dyDescent="0.35">
      <c r="A784">
        <v>27</v>
      </c>
      <c r="B784" t="s">
        <v>29</v>
      </c>
      <c r="C784" s="23">
        <v>43507</v>
      </c>
      <c r="D784">
        <v>9.7831273154885996E-3</v>
      </c>
      <c r="E784">
        <v>-9.3395660000000005E-2</v>
      </c>
      <c r="F784">
        <v>-9.1370161133700581E-4</v>
      </c>
      <c r="G784" s="32">
        <f t="shared" si="8"/>
        <v>2.5151557942073542E-2</v>
      </c>
      <c r="H784">
        <v>1.30171945569061E-2</v>
      </c>
      <c r="I784">
        <v>-9.150923638741353E-4</v>
      </c>
      <c r="J784">
        <v>-9.164831164112648E-4</v>
      </c>
      <c r="K784">
        <v>-9.1787386894839429E-4</v>
      </c>
      <c r="L784">
        <v>-9.1926462148552378E-4</v>
      </c>
      <c r="M784">
        <v>-9.2065537402265328E-4</v>
      </c>
      <c r="N784">
        <v>-9.2204612655978266E-4</v>
      </c>
    </row>
    <row r="785" spans="1:14" x14ac:dyDescent="0.35">
      <c r="A785">
        <v>28</v>
      </c>
      <c r="B785" t="s">
        <v>29</v>
      </c>
      <c r="C785" s="23">
        <v>43508</v>
      </c>
      <c r="D785">
        <v>1.2574999942098E-3</v>
      </c>
      <c r="E785">
        <v>-3.0305767000000001E-2</v>
      </c>
      <c r="F785">
        <v>-3.8109502370081465E-5</v>
      </c>
      <c r="G785" s="32">
        <f t="shared" si="8"/>
        <v>2.5113448439703461E-2</v>
      </c>
      <c r="H785">
        <v>1.3003905739877799E-2</v>
      </c>
      <c r="I785">
        <v>-4.039820910197551E-5</v>
      </c>
      <c r="J785">
        <v>-4.2686915833869548E-5</v>
      </c>
      <c r="K785">
        <v>-4.4975622565763592E-5</v>
      </c>
      <c r="L785">
        <v>-4.726432929765763E-5</v>
      </c>
      <c r="M785">
        <v>-4.9553036029551675E-5</v>
      </c>
      <c r="N785">
        <v>-5.1841742761445713E-5</v>
      </c>
    </row>
    <row r="786" spans="1:14" x14ac:dyDescent="0.35">
      <c r="A786">
        <v>29</v>
      </c>
      <c r="B786" t="s">
        <v>29</v>
      </c>
      <c r="C786" s="23">
        <v>43509</v>
      </c>
      <c r="D786">
        <v>-1.6122813005503001E-3</v>
      </c>
      <c r="E786">
        <v>-4.3810908000000003E-2</v>
      </c>
      <c r="F786">
        <v>7.0635507327590315E-5</v>
      </c>
      <c r="G786" s="32">
        <f t="shared" si="8"/>
        <v>2.518408394703105E-2</v>
      </c>
      <c r="H786">
        <v>1.2789327188085699E-2</v>
      </c>
      <c r="I786">
        <v>7.0118134928204943E-5</v>
      </c>
      <c r="J786">
        <v>6.9600762528819571E-5</v>
      </c>
      <c r="K786">
        <v>6.9083390129434199E-5</v>
      </c>
      <c r="L786">
        <v>6.8566017730048827E-5</v>
      </c>
      <c r="M786">
        <v>6.8048645330663456E-5</v>
      </c>
      <c r="N786">
        <v>6.7531272931278084E-5</v>
      </c>
    </row>
    <row r="787" spans="1:14" x14ac:dyDescent="0.35">
      <c r="A787">
        <v>30</v>
      </c>
      <c r="B787" t="s">
        <v>29</v>
      </c>
      <c r="C787" s="23">
        <v>43510</v>
      </c>
      <c r="D787">
        <v>9.1625369060273996E-3</v>
      </c>
      <c r="E787">
        <v>-5.1413830000000001E-2</v>
      </c>
      <c r="F787">
        <v>-4.7108111824270869E-4</v>
      </c>
      <c r="G787" s="32">
        <f t="shared" si="8"/>
        <v>2.4713002828788341E-2</v>
      </c>
      <c r="H787">
        <v>1.2592590891348201E-2</v>
      </c>
      <c r="I787">
        <v>-4.7139165391907502E-4</v>
      </c>
      <c r="J787">
        <v>-4.717021895954414E-4</v>
      </c>
      <c r="K787">
        <v>-4.7201272527180773E-4</v>
      </c>
      <c r="L787">
        <v>-4.7232326094817406E-4</v>
      </c>
      <c r="M787">
        <v>-4.7263379662454039E-4</v>
      </c>
      <c r="N787">
        <v>-4.7294433230090678E-4</v>
      </c>
    </row>
    <row r="788" spans="1:14" x14ac:dyDescent="0.35">
      <c r="A788">
        <v>31</v>
      </c>
      <c r="B788" t="s">
        <v>29</v>
      </c>
      <c r="C788" s="23">
        <v>43511</v>
      </c>
      <c r="D788">
        <v>4.74682680713E-4</v>
      </c>
      <c r="E788">
        <v>-1.7197123000000002E-2</v>
      </c>
      <c r="F788">
        <v>-8.1631763500062172E-6</v>
      </c>
      <c r="G788" s="32">
        <f t="shared" si="8"/>
        <v>2.4704839652438335E-2</v>
      </c>
      <c r="H788">
        <v>1.25443964610591E-2</v>
      </c>
      <c r="I788">
        <v>-9.4444584447904558E-6</v>
      </c>
      <c r="J788">
        <v>-1.0725740539574694E-5</v>
      </c>
      <c r="K788">
        <v>-1.2007022634358935E-5</v>
      </c>
      <c r="L788">
        <v>-1.3288304729143173E-5</v>
      </c>
      <c r="M788">
        <v>-1.4569586823927412E-5</v>
      </c>
      <c r="N788">
        <v>-1.585086891871165E-5</v>
      </c>
    </row>
    <row r="789" spans="1:14" x14ac:dyDescent="0.35">
      <c r="A789">
        <v>32</v>
      </c>
      <c r="B789" t="s">
        <v>29</v>
      </c>
      <c r="C789" s="23">
        <v>43515</v>
      </c>
      <c r="D789">
        <v>2.2738052739593E-3</v>
      </c>
      <c r="E789">
        <v>-2.6212969999999999E-2</v>
      </c>
      <c r="F789">
        <v>-5.960318896570992E-5</v>
      </c>
      <c r="G789" s="32">
        <f t="shared" si="8"/>
        <v>2.4645236463472626E-2</v>
      </c>
      <c r="H789">
        <v>1.23379268783928E-2</v>
      </c>
      <c r="I789">
        <v>-5.9959271165189945E-5</v>
      </c>
      <c r="J789">
        <v>-6.0315353364669971E-5</v>
      </c>
      <c r="K789">
        <v>-6.0671435564149997E-5</v>
      </c>
      <c r="L789">
        <v>-6.1027517763630022E-5</v>
      </c>
      <c r="M789">
        <v>-6.1383599963110041E-5</v>
      </c>
      <c r="N789">
        <v>-6.1739682162590073E-5</v>
      </c>
    </row>
    <row r="790" spans="1:14" x14ac:dyDescent="0.35">
      <c r="A790">
        <v>33</v>
      </c>
      <c r="B790" t="s">
        <v>29</v>
      </c>
      <c r="C790" s="23">
        <v>43516</v>
      </c>
      <c r="D790">
        <v>-3.5616239791130999E-3</v>
      </c>
      <c r="E790">
        <v>-1.174157E-2</v>
      </c>
      <c r="F790">
        <v>4.1819057966238059E-5</v>
      </c>
      <c r="G790" s="32">
        <f t="shared" si="8"/>
        <v>2.4687055521438864E-2</v>
      </c>
      <c r="H790">
        <v>1.21371337573282E-2</v>
      </c>
      <c r="I790">
        <v>4.1272343766123539E-5</v>
      </c>
      <c r="J790">
        <v>4.0725629566009026E-5</v>
      </c>
      <c r="K790">
        <v>4.0178915365894506E-5</v>
      </c>
      <c r="L790">
        <v>3.9632201165779993E-5</v>
      </c>
      <c r="M790">
        <v>3.9085486965665474E-5</v>
      </c>
      <c r="N790">
        <v>3.8538772765550961E-5</v>
      </c>
    </row>
    <row r="791" spans="1:14" x14ac:dyDescent="0.35">
      <c r="A791">
        <v>34</v>
      </c>
      <c r="B791" t="s">
        <v>29</v>
      </c>
      <c r="C791" s="23">
        <v>43517</v>
      </c>
      <c r="D791">
        <v>4.8308473834599002E-3</v>
      </c>
      <c r="E791">
        <v>-4.1376000000000003E-2</v>
      </c>
      <c r="F791">
        <v>-1.9988113364540662E-4</v>
      </c>
      <c r="G791" s="32">
        <f t="shared" si="8"/>
        <v>2.4487174387793458E-2</v>
      </c>
      <c r="H791">
        <v>1.1985909601637699E-2</v>
      </c>
      <c r="I791">
        <v>-2.0105501790113232E-4</v>
      </c>
      <c r="J791">
        <v>-2.0222890215685805E-4</v>
      </c>
      <c r="K791">
        <v>-2.0340278641258375E-4</v>
      </c>
      <c r="L791">
        <v>-2.0457667066830948E-4</v>
      </c>
      <c r="M791">
        <v>-2.0575055492403518E-4</v>
      </c>
      <c r="N791">
        <v>-2.069244391797609E-4</v>
      </c>
    </row>
    <row r="792" spans="1:14" x14ac:dyDescent="0.35">
      <c r="A792">
        <v>35</v>
      </c>
      <c r="B792" t="s">
        <v>29</v>
      </c>
      <c r="C792" s="23">
        <v>43518</v>
      </c>
      <c r="D792">
        <v>1.6468233819009999E-3</v>
      </c>
      <c r="E792">
        <v>-3.4146982999999999E-2</v>
      </c>
      <c r="F792">
        <v>-5.6234050316390551E-5</v>
      </c>
      <c r="G792" s="32">
        <f t="shared" si="8"/>
        <v>2.4430940337477065E-2</v>
      </c>
      <c r="H792">
        <v>1.1819880143461E-2</v>
      </c>
      <c r="I792">
        <v>-5.6500094007655431E-5</v>
      </c>
      <c r="J792">
        <v>-5.6766137698920305E-5</v>
      </c>
      <c r="K792">
        <v>-5.7032181390185186E-5</v>
      </c>
      <c r="L792">
        <v>-5.7298225081450059E-5</v>
      </c>
      <c r="M792">
        <v>-5.756426877271494E-5</v>
      </c>
      <c r="N792">
        <v>-5.7830312463979821E-5</v>
      </c>
    </row>
    <row r="793" spans="1:14" x14ac:dyDescent="0.35">
      <c r="A793">
        <v>36</v>
      </c>
      <c r="B793" t="s">
        <v>29</v>
      </c>
      <c r="C793" s="23">
        <v>43521</v>
      </c>
      <c r="D793">
        <v>-1.598332340439E-3</v>
      </c>
      <c r="E793">
        <v>-4.7426484999999997E-2</v>
      </c>
      <c r="F793">
        <v>7.5803284009962852E-5</v>
      </c>
      <c r="G793" s="32">
        <f t="shared" si="8"/>
        <v>2.4506743621487029E-2</v>
      </c>
      <c r="H793">
        <v>1.1625031136728E-2</v>
      </c>
      <c r="I793">
        <v>7.5240711406448404E-5</v>
      </c>
      <c r="J793">
        <v>7.4678138802933955E-5</v>
      </c>
      <c r="K793">
        <v>7.4115566199419507E-5</v>
      </c>
      <c r="L793">
        <v>7.3552993595905059E-5</v>
      </c>
      <c r="M793">
        <v>7.2990420992390611E-5</v>
      </c>
      <c r="N793">
        <v>7.2427848388876163E-5</v>
      </c>
    </row>
    <row r="794" spans="1:14" x14ac:dyDescent="0.35">
      <c r="A794">
        <v>37</v>
      </c>
      <c r="B794" t="s">
        <v>29</v>
      </c>
      <c r="C794" s="23">
        <v>43522</v>
      </c>
      <c r="D794">
        <v>1.0347566592831001E-3</v>
      </c>
      <c r="E794">
        <v>-6.2520414999999996E-2</v>
      </c>
      <c r="F794">
        <v>-6.4693415339007408E-5</v>
      </c>
      <c r="G794" s="32">
        <f t="shared" si="8"/>
        <v>2.4442050206148022E-2</v>
      </c>
      <c r="H794">
        <v>1.14494116659908E-2</v>
      </c>
      <c r="I794">
        <v>-6.5345825523732671E-5</v>
      </c>
      <c r="J794">
        <v>-6.599823570845792E-5</v>
      </c>
      <c r="K794">
        <v>-6.6650645893183183E-5</v>
      </c>
      <c r="L794">
        <v>-6.7303056077908433E-5</v>
      </c>
      <c r="M794">
        <v>-6.7955466262633696E-5</v>
      </c>
      <c r="N794">
        <v>-6.8607876447358945E-5</v>
      </c>
    </row>
    <row r="795" spans="1:14" x14ac:dyDescent="0.35">
      <c r="A795">
        <v>38</v>
      </c>
      <c r="B795" t="s">
        <v>29</v>
      </c>
      <c r="C795" s="23">
        <v>43523</v>
      </c>
      <c r="D795">
        <v>-3.0774308239680998E-3</v>
      </c>
      <c r="E795">
        <v>-6.6355533999999994E-2</v>
      </c>
      <c r="F795">
        <v>2.0420456535818601E-4</v>
      </c>
      <c r="G795" s="32">
        <f t="shared" si="8"/>
        <v>2.4646254771506209E-2</v>
      </c>
      <c r="H795">
        <v>1.12601646874673E-2</v>
      </c>
      <c r="I795">
        <v>2.04000291465432E-4</v>
      </c>
      <c r="J795">
        <v>2.03796017572678E-4</v>
      </c>
      <c r="K795">
        <v>2.0359174367992397E-4</v>
      </c>
      <c r="L795">
        <v>2.0338746978716996E-4</v>
      </c>
      <c r="M795">
        <v>2.0318319589441596E-4</v>
      </c>
      <c r="N795">
        <v>2.0297892200166196E-4</v>
      </c>
    </row>
    <row r="796" spans="1:14" x14ac:dyDescent="0.35">
      <c r="A796">
        <v>39</v>
      </c>
      <c r="B796" t="s">
        <v>29</v>
      </c>
      <c r="C796" s="23">
        <v>43524</v>
      </c>
      <c r="D796">
        <v>6.1843561965118001E-3</v>
      </c>
      <c r="E796">
        <v>-7.7318239999999996E-2</v>
      </c>
      <c r="F796">
        <v>-4.7816355942056389E-4</v>
      </c>
      <c r="G796" s="32">
        <f t="shared" si="8"/>
        <v>2.4168091212085643E-2</v>
      </c>
      <c r="H796">
        <v>1.11105436053497E-2</v>
      </c>
      <c r="I796">
        <v>-4.7866722170862992E-4</v>
      </c>
      <c r="J796">
        <v>-4.7917088399669589E-4</v>
      </c>
      <c r="K796">
        <v>-4.7967454628476192E-4</v>
      </c>
      <c r="L796">
        <v>-4.8017820857282795E-4</v>
      </c>
      <c r="M796">
        <v>-4.8068187086089392E-4</v>
      </c>
      <c r="N796">
        <v>-4.8118553314895995E-4</v>
      </c>
    </row>
    <row r="797" spans="1:14" x14ac:dyDescent="0.35">
      <c r="A797">
        <v>40</v>
      </c>
      <c r="B797" t="s">
        <v>29</v>
      </c>
      <c r="C797" s="23">
        <v>43525</v>
      </c>
      <c r="D797">
        <v>-4.1412339697086001E-3</v>
      </c>
      <c r="E797">
        <v>-2.9316287E-2</v>
      </c>
      <c r="F797">
        <v>1.2140560560999396E-4</v>
      </c>
      <c r="G797" s="32">
        <f t="shared" si="8"/>
        <v>2.4289496817695638E-2</v>
      </c>
      <c r="H797">
        <v>1.09815115777512E-2</v>
      </c>
      <c r="I797">
        <v>1.1937905779615622E-4</v>
      </c>
      <c r="J797">
        <v>1.1735250998231848E-4</v>
      </c>
      <c r="K797">
        <v>1.1532596216848074E-4</v>
      </c>
      <c r="L797">
        <v>1.1329941435464299E-4</v>
      </c>
      <c r="M797">
        <v>1.1127286654080524E-4</v>
      </c>
      <c r="N797">
        <v>1.0924631872696751E-4</v>
      </c>
    </row>
    <row r="798" spans="1:14" x14ac:dyDescent="0.35">
      <c r="A798">
        <v>41</v>
      </c>
      <c r="B798" t="s">
        <v>29</v>
      </c>
      <c r="C798" s="23">
        <v>43528</v>
      </c>
      <c r="D798">
        <v>0</v>
      </c>
      <c r="E798">
        <v>-2.4022249999999998E-2</v>
      </c>
      <c r="F798">
        <v>0</v>
      </c>
      <c r="G798" s="32">
        <f t="shared" si="8"/>
        <v>2.4289496817695638E-2</v>
      </c>
      <c r="H798">
        <v>1.08570894413191E-2</v>
      </c>
      <c r="I798">
        <v>-2.1592055138417807E-7</v>
      </c>
      <c r="J798">
        <v>-4.3184110276835614E-7</v>
      </c>
      <c r="K798">
        <v>-6.4776165415253432E-7</v>
      </c>
      <c r="L798">
        <v>-8.6368220553671228E-7</v>
      </c>
      <c r="M798">
        <v>-1.0796027569208905E-6</v>
      </c>
      <c r="N798">
        <v>-1.2955233083050686E-6</v>
      </c>
    </row>
    <row r="799" spans="1:14" x14ac:dyDescent="0.35">
      <c r="A799">
        <v>42</v>
      </c>
      <c r="B799" t="s">
        <v>29</v>
      </c>
      <c r="C799" s="23">
        <v>43529</v>
      </c>
      <c r="D799">
        <v>-6.3390448269186996E-3</v>
      </c>
      <c r="E799">
        <v>1.1129600000000001E-3</v>
      </c>
      <c r="F799">
        <v>-7.055103623160255E-6</v>
      </c>
      <c r="G799" s="32">
        <f t="shared" si="8"/>
        <v>2.4282441714072477E-2</v>
      </c>
      <c r="H799">
        <v>1.0679711704872599E-2</v>
      </c>
      <c r="I799">
        <v>-8.1496883310634015E-6</v>
      </c>
      <c r="J799">
        <v>-9.244273038966548E-6</v>
      </c>
      <c r="K799">
        <v>-1.0338857746869695E-5</v>
      </c>
      <c r="L799">
        <v>-1.1433442454772841E-5</v>
      </c>
      <c r="M799">
        <v>-1.2528027162675988E-5</v>
      </c>
      <c r="N799">
        <v>-1.3622611870579136E-5</v>
      </c>
    </row>
    <row r="800" spans="1:14" x14ac:dyDescent="0.35">
      <c r="A800">
        <v>43</v>
      </c>
      <c r="B800" t="s">
        <v>29</v>
      </c>
      <c r="C800" s="23">
        <v>43530</v>
      </c>
      <c r="D800">
        <v>-6.9097367751469003E-3</v>
      </c>
      <c r="E800">
        <v>1.1448652E-2</v>
      </c>
      <c r="F800">
        <v>-7.910716865608118E-5</v>
      </c>
      <c r="G800" s="32">
        <f t="shared" si="8"/>
        <v>2.4203334545416396E-2</v>
      </c>
      <c r="H800">
        <v>1.06084775661556E-2</v>
      </c>
      <c r="I800">
        <v>-7.9567806175976486E-5</v>
      </c>
      <c r="J800">
        <v>-8.0028443695871792E-5</v>
      </c>
      <c r="K800">
        <v>-8.0489081215767098E-5</v>
      </c>
      <c r="L800">
        <v>-8.0949718735662417E-5</v>
      </c>
      <c r="M800">
        <v>-8.1410356255557723E-5</v>
      </c>
      <c r="N800">
        <v>-8.1870993775453029E-5</v>
      </c>
    </row>
    <row r="801" spans="1:14" x14ac:dyDescent="0.35">
      <c r="A801">
        <v>44</v>
      </c>
      <c r="B801" t="s">
        <v>29</v>
      </c>
      <c r="C801" s="23">
        <v>43531</v>
      </c>
      <c r="D801">
        <v>-9.7731191002490008E-4</v>
      </c>
      <c r="E801">
        <v>1.7493960999999999E-2</v>
      </c>
      <c r="F801">
        <v>-1.7097056809145867E-5</v>
      </c>
      <c r="G801" s="32">
        <f t="shared" si="8"/>
        <v>2.4186237488607251E-2</v>
      </c>
      <c r="H801">
        <v>1.05474228702464E-2</v>
      </c>
      <c r="I801">
        <v>-1.7370798601640321E-5</v>
      </c>
      <c r="J801">
        <v>-1.7644540394134774E-5</v>
      </c>
      <c r="K801">
        <v>-1.7918282186629227E-5</v>
      </c>
      <c r="L801">
        <v>-1.8192023979123684E-5</v>
      </c>
      <c r="M801">
        <v>-1.8465765771618137E-5</v>
      </c>
      <c r="N801">
        <v>-1.8739507564112591E-5</v>
      </c>
    </row>
    <row r="802" spans="1:14" x14ac:dyDescent="0.35">
      <c r="A802">
        <v>45</v>
      </c>
      <c r="B802" t="s">
        <v>29</v>
      </c>
      <c r="C802" s="23">
        <v>43532</v>
      </c>
      <c r="D802">
        <v>1.22643432361578E-2</v>
      </c>
      <c r="E802">
        <v>4.4755016000000002E-2</v>
      </c>
      <c r="F802">
        <v>5.4889087190434106E-4</v>
      </c>
      <c r="G802" s="32">
        <f t="shared" si="8"/>
        <v>2.4735128360511591E-2</v>
      </c>
      <c r="H802">
        <v>1.0377428670042E-2</v>
      </c>
      <c r="I802">
        <v>5.4763691503962567E-4</v>
      </c>
      <c r="J802">
        <v>5.4638295817491039E-4</v>
      </c>
      <c r="K802">
        <v>5.45129001310195E-4</v>
      </c>
      <c r="L802">
        <v>5.4387504444547972E-4</v>
      </c>
      <c r="M802">
        <v>5.4262108758076433E-4</v>
      </c>
      <c r="N802">
        <v>5.4136713071604905E-4</v>
      </c>
    </row>
    <row r="803" spans="1:14" x14ac:dyDescent="0.35">
      <c r="A803">
        <v>46</v>
      </c>
      <c r="B803" t="s">
        <v>29</v>
      </c>
      <c r="C803" s="23">
        <v>43535</v>
      </c>
      <c r="D803">
        <v>2.5940828236212E-3</v>
      </c>
      <c r="E803">
        <v>9.0063989999999997E-2</v>
      </c>
      <c r="F803">
        <v>2.3363344731310465E-4</v>
      </c>
      <c r="G803" s="32">
        <f t="shared" si="8"/>
        <v>2.4968761807824695E-2</v>
      </c>
      <c r="H803">
        <v>1.0467136954994899E-2</v>
      </c>
      <c r="I803">
        <v>2.3160579725618044E-4</v>
      </c>
      <c r="J803">
        <v>2.2957814719925626E-4</v>
      </c>
      <c r="K803">
        <v>2.2755049714233205E-4</v>
      </c>
      <c r="L803">
        <v>2.2552284708540787E-4</v>
      </c>
      <c r="M803">
        <v>2.2349519702848366E-4</v>
      </c>
      <c r="N803">
        <v>2.2146754697155947E-4</v>
      </c>
    </row>
    <row r="804" spans="1:14" x14ac:dyDescent="0.35">
      <c r="A804">
        <v>47</v>
      </c>
      <c r="B804" t="s">
        <v>29</v>
      </c>
      <c r="C804" s="23">
        <v>43536</v>
      </c>
      <c r="D804">
        <v>7.393079261973E-3</v>
      </c>
      <c r="E804">
        <v>5.6845166000000003E-2</v>
      </c>
      <c r="F804">
        <v>4.2026081633901444E-4</v>
      </c>
      <c r="G804" s="32">
        <f t="shared" si="8"/>
        <v>2.5389022624163711E-2</v>
      </c>
      <c r="H804">
        <v>1.02998934128409E-2</v>
      </c>
      <c r="I804">
        <v>4.188030792438286E-4</v>
      </c>
      <c r="J804">
        <v>4.1734534214864271E-4</v>
      </c>
      <c r="K804">
        <v>4.1588760505345687E-4</v>
      </c>
      <c r="L804">
        <v>4.1442986795827102E-4</v>
      </c>
      <c r="M804">
        <v>4.1297213086308518E-4</v>
      </c>
      <c r="N804">
        <v>4.1151439376789929E-4</v>
      </c>
    </row>
    <row r="805" spans="1:14" x14ac:dyDescent="0.35">
      <c r="A805">
        <v>48</v>
      </c>
      <c r="B805" t="s">
        <v>29</v>
      </c>
      <c r="C805" s="23">
        <v>43537</v>
      </c>
      <c r="D805">
        <v>-2.3843746097439002E-3</v>
      </c>
      <c r="E805">
        <v>4.1703653E-2</v>
      </c>
      <c r="F805">
        <v>-9.9437130370400175E-5</v>
      </c>
      <c r="G805" s="32">
        <f t="shared" si="8"/>
        <v>2.5289585493793312E-2</v>
      </c>
      <c r="H805">
        <v>1.0208295983865899E-2</v>
      </c>
      <c r="I805">
        <v>-1.0011450629662153E-4</v>
      </c>
      <c r="J805">
        <v>-1.0079188222284289E-4</v>
      </c>
      <c r="K805">
        <v>-1.0146925814906425E-4</v>
      </c>
      <c r="L805">
        <v>-1.021466340752856E-4</v>
      </c>
      <c r="M805">
        <v>-1.0282401000150696E-4</v>
      </c>
      <c r="N805">
        <v>-1.0350138592772832E-4</v>
      </c>
    </row>
    <row r="806" spans="1:14" x14ac:dyDescent="0.35">
      <c r="A806">
        <v>49</v>
      </c>
      <c r="B806" t="s">
        <v>29</v>
      </c>
      <c r="C806" s="23">
        <v>43538</v>
      </c>
      <c r="D806">
        <v>1.5520323849177E-3</v>
      </c>
      <c r="E806">
        <v>2.0918836999999999E-3</v>
      </c>
      <c r="F806">
        <v>3.2466712195018281E-6</v>
      </c>
      <c r="G806" s="32">
        <f t="shared" si="8"/>
        <v>2.5292832165012814E-2</v>
      </c>
      <c r="H806">
        <v>1.0062991356319601E-2</v>
      </c>
      <c r="I806">
        <v>1.4147757607509349E-6</v>
      </c>
      <c r="J806">
        <v>-4.1711969799995837E-7</v>
      </c>
      <c r="K806">
        <v>-2.2490151567508523E-6</v>
      </c>
      <c r="L806">
        <v>-4.0809106155017453E-6</v>
      </c>
      <c r="M806">
        <v>-5.9128060742526379E-6</v>
      </c>
      <c r="N806">
        <v>-7.7447015330035322E-6</v>
      </c>
    </row>
    <row r="807" spans="1:14" x14ac:dyDescent="0.35">
      <c r="A807">
        <v>50</v>
      </c>
      <c r="B807" t="s">
        <v>29</v>
      </c>
      <c r="C807" s="23">
        <v>43539</v>
      </c>
      <c r="D807">
        <v>9.7140898530135005E-3</v>
      </c>
      <c r="E807">
        <v>-8.126599E-3</v>
      </c>
      <c r="F807">
        <v>-7.8942510775872557E-5</v>
      </c>
      <c r="G807" s="32">
        <f t="shared" si="8"/>
        <v>2.5213889654236942E-2</v>
      </c>
      <c r="H807">
        <v>9.8971101308897007E-3</v>
      </c>
      <c r="I807">
        <v>-7.9428661526318424E-5</v>
      </c>
      <c r="J807">
        <v>-7.9914812276764291E-5</v>
      </c>
      <c r="K807">
        <v>-8.0400963027210158E-5</v>
      </c>
      <c r="L807">
        <v>-8.0887113777656025E-5</v>
      </c>
      <c r="M807">
        <v>-8.1373264528101878E-5</v>
      </c>
      <c r="N807">
        <v>-8.1859415278547746E-5</v>
      </c>
    </row>
    <row r="808" spans="1:14" x14ac:dyDescent="0.35">
      <c r="A808">
        <v>51</v>
      </c>
      <c r="B808" t="s">
        <v>29</v>
      </c>
      <c r="C808" s="23">
        <v>43542</v>
      </c>
      <c r="D808">
        <v>-1.3484466049074001E-3</v>
      </c>
      <c r="E808">
        <v>-8.1947759999999998E-4</v>
      </c>
      <c r="F808">
        <v>1.1050217900906993E-6</v>
      </c>
      <c r="G808" s="32">
        <f t="shared" si="8"/>
        <v>2.5214994676027034E-2</v>
      </c>
      <c r="H808">
        <v>9.8678475690009999E-3</v>
      </c>
      <c r="I808">
        <v>7.5631977964787425E-7</v>
      </c>
      <c r="J808">
        <v>4.0761776920504921E-7</v>
      </c>
      <c r="K808">
        <v>5.8915758762224162E-8</v>
      </c>
      <c r="L808">
        <v>-2.8978625168060088E-7</v>
      </c>
      <c r="M808">
        <v>-6.3848826212342593E-7</v>
      </c>
      <c r="N808">
        <v>-9.8719027256625097E-7</v>
      </c>
    </row>
    <row r="809" spans="1:14" x14ac:dyDescent="0.35">
      <c r="A809">
        <v>52</v>
      </c>
      <c r="B809" t="s">
        <v>29</v>
      </c>
      <c r="C809" s="23">
        <v>43543</v>
      </c>
      <c r="D809">
        <v>-3.2564777879733001E-3</v>
      </c>
      <c r="E809">
        <v>-3.581728E-2</v>
      </c>
      <c r="F809">
        <v>1.1663817808637826E-4</v>
      </c>
      <c r="G809" s="32">
        <f t="shared" si="8"/>
        <v>2.5331632854113412E-2</v>
      </c>
      <c r="H809">
        <v>9.7181519618054994E-3</v>
      </c>
      <c r="I809">
        <v>1.1493612798507225E-4</v>
      </c>
      <c r="J809">
        <v>1.1323407788376622E-4</v>
      </c>
      <c r="K809">
        <v>1.115320277824602E-4</v>
      </c>
      <c r="L809">
        <v>1.0982997768115417E-4</v>
      </c>
      <c r="M809">
        <v>1.0812792757984815E-4</v>
      </c>
      <c r="N809">
        <v>1.0642587747854214E-4</v>
      </c>
    </row>
    <row r="810" spans="1:14" x14ac:dyDescent="0.35">
      <c r="A810">
        <v>53</v>
      </c>
      <c r="B810" t="s">
        <v>29</v>
      </c>
      <c r="C810" s="23">
        <v>43544</v>
      </c>
      <c r="D810">
        <v>1.2367115203367701E-2</v>
      </c>
      <c r="E810">
        <v>-7.2979630000000004E-2</v>
      </c>
      <c r="F810">
        <v>-9.0254747983380536E-4</v>
      </c>
      <c r="G810" s="32">
        <f t="shared" si="8"/>
        <v>2.4429085374279607E-2</v>
      </c>
      <c r="H810">
        <v>9.5945614086534008E-3</v>
      </c>
      <c r="I810">
        <v>-9.0439985895373481E-4</v>
      </c>
      <c r="J810">
        <v>-9.0625223807366427E-4</v>
      </c>
      <c r="K810">
        <v>-9.0810461719359383E-4</v>
      </c>
      <c r="L810">
        <v>-9.0995699631352329E-4</v>
      </c>
      <c r="M810">
        <v>-9.1180937543345274E-4</v>
      </c>
      <c r="N810">
        <v>-9.136617545533822E-4</v>
      </c>
    </row>
    <row r="811" spans="1:14" x14ac:dyDescent="0.35">
      <c r="A811">
        <v>54</v>
      </c>
      <c r="B811" t="s">
        <v>29</v>
      </c>
      <c r="C811" s="23">
        <v>43545</v>
      </c>
      <c r="D811">
        <v>-1.7694297727577801E-2</v>
      </c>
      <c r="E811">
        <v>-6.8849414999999997E-2</v>
      </c>
      <c r="F811">
        <v>1.2182420400721854E-3</v>
      </c>
      <c r="G811" s="32">
        <f t="shared" si="8"/>
        <v>2.5647327414351793E-2</v>
      </c>
      <c r="H811">
        <v>9.6543383880597008E-3</v>
      </c>
      <c r="I811">
        <v>1.2180176684511419E-3</v>
      </c>
      <c r="J811">
        <v>1.2177932968300985E-3</v>
      </c>
      <c r="K811">
        <v>1.217568925209055E-3</v>
      </c>
      <c r="L811">
        <v>1.2173445535880116E-3</v>
      </c>
      <c r="M811">
        <v>1.2171201819669681E-3</v>
      </c>
      <c r="N811">
        <v>1.2168958103459246E-3</v>
      </c>
    </row>
    <row r="812" spans="1:14" x14ac:dyDescent="0.35">
      <c r="A812">
        <v>55</v>
      </c>
      <c r="B812" t="s">
        <v>29</v>
      </c>
      <c r="C812" s="23">
        <v>43546</v>
      </c>
      <c r="D812">
        <v>-1.2446578898644E-3</v>
      </c>
      <c r="E812">
        <v>-0.13989691000000001</v>
      </c>
      <c r="F812">
        <v>1.74123798229477E-4</v>
      </c>
      <c r="G812" s="32">
        <f t="shared" si="8"/>
        <v>2.5821451212581271E-2</v>
      </c>
      <c r="H812">
        <v>1.01286144679414E-2</v>
      </c>
      <c r="I812">
        <v>1.7096751123386059E-4</v>
      </c>
      <c r="J812">
        <v>1.6781122423824418E-4</v>
      </c>
      <c r="K812">
        <v>1.646549372426278E-4</v>
      </c>
      <c r="L812">
        <v>1.6149865024701139E-4</v>
      </c>
      <c r="M812">
        <v>1.5834236325139498E-4</v>
      </c>
      <c r="N812">
        <v>1.5518607625577858E-4</v>
      </c>
    </row>
    <row r="813" spans="1:14" x14ac:dyDescent="0.35">
      <c r="A813">
        <v>56</v>
      </c>
      <c r="B813" t="s">
        <v>29</v>
      </c>
      <c r="C813" s="23">
        <v>43549</v>
      </c>
      <c r="D813">
        <v>5.4025670679361997E-3</v>
      </c>
      <c r="E813">
        <v>-0.14106598000000001</v>
      </c>
      <c r="F813">
        <v>-7.6211844477449241E-4</v>
      </c>
      <c r="G813" s="32">
        <f t="shared" si="8"/>
        <v>2.505933276780678E-2</v>
      </c>
      <c r="H813">
        <v>9.9693855445465007E-3</v>
      </c>
      <c r="I813">
        <v>-7.622780729659689E-4</v>
      </c>
      <c r="J813">
        <v>-7.624377011574454E-4</v>
      </c>
      <c r="K813">
        <v>-7.6259732934892189E-4</v>
      </c>
      <c r="L813">
        <v>-7.6275695754039839E-4</v>
      </c>
      <c r="M813">
        <v>-7.6291658573187488E-4</v>
      </c>
      <c r="N813">
        <v>-7.6307621392335137E-4</v>
      </c>
    </row>
    <row r="814" spans="1:14" x14ac:dyDescent="0.35">
      <c r="A814">
        <v>57</v>
      </c>
      <c r="B814" t="s">
        <v>29</v>
      </c>
      <c r="C814" s="23">
        <v>43550</v>
      </c>
      <c r="D814">
        <v>-4.2505858031671997E-3</v>
      </c>
      <c r="E814">
        <v>-0.13252987999999999</v>
      </c>
      <c r="F814">
        <v>5.6332964587752301E-4</v>
      </c>
      <c r="G814" s="32">
        <f t="shared" si="8"/>
        <v>2.5622662413684303E-2</v>
      </c>
      <c r="H814">
        <v>9.8433139302973992E-3</v>
      </c>
      <c r="I814">
        <v>5.6300555627062385E-4</v>
      </c>
      <c r="J814">
        <v>5.6268146666372458E-4</v>
      </c>
      <c r="K814">
        <v>5.6235737705682542E-4</v>
      </c>
      <c r="L814">
        <v>5.6203328744992614E-4</v>
      </c>
      <c r="M814">
        <v>5.6170919784302698E-4</v>
      </c>
      <c r="N814">
        <v>5.6138510823612771E-4</v>
      </c>
    </row>
    <row r="815" spans="1:14" x14ac:dyDescent="0.35">
      <c r="A815">
        <v>58</v>
      </c>
      <c r="B815" t="s">
        <v>29</v>
      </c>
      <c r="C815" s="23">
        <v>43551</v>
      </c>
      <c r="D815">
        <v>3.6282905052958999E-3</v>
      </c>
      <c r="E815">
        <v>-0.16660337</v>
      </c>
      <c r="F815">
        <v>-6.0448543096725113E-4</v>
      </c>
      <c r="G815" s="32">
        <f t="shared" si="8"/>
        <v>2.5018176982717053E-2</v>
      </c>
      <c r="H815">
        <v>9.7295923767499008E-3</v>
      </c>
      <c r="I815">
        <v>-6.0621434286497382E-4</v>
      </c>
      <c r="J815">
        <v>-6.0794325476269651E-4</v>
      </c>
      <c r="K815">
        <v>-6.0967216666041909E-4</v>
      </c>
      <c r="L815">
        <v>-6.1140107855814179E-4</v>
      </c>
      <c r="M815">
        <v>-6.1312999045586448E-4</v>
      </c>
      <c r="N815">
        <v>-6.1485890235358717E-4</v>
      </c>
    </row>
    <row r="816" spans="1:14" x14ac:dyDescent="0.35">
      <c r="A816">
        <v>59</v>
      </c>
      <c r="B816" t="s">
        <v>29</v>
      </c>
      <c r="C816" s="23">
        <v>43552</v>
      </c>
      <c r="D816">
        <v>5.8546298129865003E-3</v>
      </c>
      <c r="E816">
        <v>-0.17047029999999999</v>
      </c>
      <c r="F816">
        <v>-9.9804048501540496E-4</v>
      </c>
      <c r="G816" s="32">
        <f t="shared" si="8"/>
        <v>2.4020136497701648E-2</v>
      </c>
      <c r="H816">
        <v>9.5830394051040005E-3</v>
      </c>
      <c r="I816">
        <v>-9.9835484965274325E-4</v>
      </c>
      <c r="J816">
        <v>-9.9866921429008176E-4</v>
      </c>
      <c r="K816">
        <v>-9.9898357892742005E-4</v>
      </c>
      <c r="L816">
        <v>-9.9929794356475856E-4</v>
      </c>
      <c r="M816">
        <v>-9.9961230820209686E-4</v>
      </c>
      <c r="N816">
        <v>-9.9992667283943515E-4</v>
      </c>
    </row>
    <row r="817" spans="1:14" x14ac:dyDescent="0.35">
      <c r="A817">
        <v>60</v>
      </c>
      <c r="B817" t="s">
        <v>29</v>
      </c>
      <c r="C817" s="23">
        <v>43553</v>
      </c>
      <c r="D817">
        <v>1.1518278331394001E-2</v>
      </c>
      <c r="E817">
        <v>-0.16988039999999999</v>
      </c>
      <c r="F817">
        <v>-1.956729788627759E-3</v>
      </c>
      <c r="G817" s="32">
        <f t="shared" si="8"/>
        <v>2.2063406709073891E-2</v>
      </c>
      <c r="H817">
        <v>9.4676150618358008E-3</v>
      </c>
      <c r="I817">
        <v>-1.9568028140098987E-3</v>
      </c>
      <c r="J817">
        <v>-1.9568758393920384E-3</v>
      </c>
      <c r="K817">
        <v>-1.9569488647741781E-3</v>
      </c>
      <c r="L817">
        <v>-1.9570218901563173E-3</v>
      </c>
      <c r="M817">
        <v>-1.957094915538457E-3</v>
      </c>
      <c r="N817">
        <v>-1.9571679409205968E-3</v>
      </c>
    </row>
    <row r="818" spans="1:14" x14ac:dyDescent="0.35">
      <c r="A818">
        <v>61</v>
      </c>
      <c r="B818" t="s">
        <v>29</v>
      </c>
      <c r="C818" s="23">
        <v>43556</v>
      </c>
      <c r="D818">
        <v>-1.2129490967077001E-3</v>
      </c>
      <c r="E818">
        <v>-0.16320628000000001</v>
      </c>
      <c r="F818">
        <v>1.9796090902703397E-4</v>
      </c>
      <c r="G818" s="32">
        <f t="shared" si="8"/>
        <v>2.2261367618100925E-2</v>
      </c>
      <c r="H818">
        <v>9.4985848458981007E-3</v>
      </c>
      <c r="I818">
        <v>1.9760130027224497E-4</v>
      </c>
      <c r="J818">
        <v>1.9724169151745595E-4</v>
      </c>
      <c r="K818">
        <v>1.9688208276266695E-4</v>
      </c>
      <c r="L818">
        <v>1.9652247400787795E-4</v>
      </c>
      <c r="M818">
        <v>1.9616286525308893E-4</v>
      </c>
      <c r="N818">
        <v>1.9580325649829993E-4</v>
      </c>
    </row>
    <row r="819" spans="1:14" x14ac:dyDescent="0.35">
      <c r="A819">
        <v>62</v>
      </c>
      <c r="B819" t="s">
        <v>29</v>
      </c>
      <c r="C819" s="23">
        <v>43557</v>
      </c>
      <c r="D819">
        <v>4.4925432334403997E-3</v>
      </c>
      <c r="E819">
        <v>-0.18679794999999999</v>
      </c>
      <c r="F819">
        <v>-8.3919785142951746E-4</v>
      </c>
      <c r="G819" s="32">
        <f t="shared" si="8"/>
        <v>2.1422169766671408E-2</v>
      </c>
      <c r="H819">
        <v>9.3536521559068001E-3</v>
      </c>
      <c r="I819">
        <v>-8.4051525678438467E-4</v>
      </c>
      <c r="J819">
        <v>-8.4183266213925189E-4</v>
      </c>
      <c r="K819">
        <v>-8.4315006749411921E-4</v>
      </c>
      <c r="L819">
        <v>-8.4446747284898642E-4</v>
      </c>
      <c r="M819">
        <v>-8.4578487820385364E-4</v>
      </c>
      <c r="N819">
        <v>-8.4710228355872085E-4</v>
      </c>
    </row>
    <row r="820" spans="1:14" x14ac:dyDescent="0.35">
      <c r="A820">
        <v>63</v>
      </c>
      <c r="B820" t="s">
        <v>29</v>
      </c>
      <c r="C820" s="23">
        <v>43558</v>
      </c>
      <c r="D820">
        <v>1.0681143863073999E-3</v>
      </c>
      <c r="E820">
        <v>-0.1946206</v>
      </c>
      <c r="F820">
        <v>-2.078770567314169E-4</v>
      </c>
      <c r="G820" s="32">
        <f t="shared" si="8"/>
        <v>2.1214292709939991E-2</v>
      </c>
      <c r="H820">
        <v>9.2159411297048008E-3</v>
      </c>
      <c r="I820">
        <v>-2.0841907280354772E-4</v>
      </c>
      <c r="J820">
        <v>-2.0896108887567854E-4</v>
      </c>
      <c r="K820">
        <v>-2.0950310494780938E-4</v>
      </c>
      <c r="L820">
        <v>-2.100451210199402E-4</v>
      </c>
      <c r="M820">
        <v>-2.1058713709207102E-4</v>
      </c>
      <c r="N820">
        <v>-2.1112915316420184E-4</v>
      </c>
    </row>
    <row r="821" spans="1:14" x14ac:dyDescent="0.35">
      <c r="A821">
        <v>64</v>
      </c>
      <c r="B821" t="s">
        <v>29</v>
      </c>
      <c r="C821" s="23">
        <v>43559</v>
      </c>
      <c r="D821">
        <v>4.7916539620477998E-3</v>
      </c>
      <c r="E821">
        <v>-0.218693</v>
      </c>
      <c r="F821">
        <v>-1.0479011945770747E-3</v>
      </c>
      <c r="G821" s="32">
        <f t="shared" si="8"/>
        <v>2.0166391515362918E-2</v>
      </c>
      <c r="H821">
        <v>9.0638860912966995E-3</v>
      </c>
      <c r="I821">
        <v>-1.0493233479452798E-3</v>
      </c>
      <c r="J821">
        <v>-1.0507455013134851E-3</v>
      </c>
      <c r="K821">
        <v>-1.0521676546816903E-3</v>
      </c>
      <c r="L821">
        <v>-1.0535898080498956E-3</v>
      </c>
      <c r="M821">
        <v>-1.0550119614181007E-3</v>
      </c>
      <c r="N821">
        <v>-1.0564341147863059E-3</v>
      </c>
    </row>
    <row r="822" spans="1:14" x14ac:dyDescent="0.35">
      <c r="A822">
        <v>65</v>
      </c>
      <c r="B822" t="s">
        <v>29</v>
      </c>
      <c r="C822" s="23">
        <v>43560</v>
      </c>
      <c r="D822">
        <v>8.2189637997720001E-4</v>
      </c>
      <c r="E822">
        <v>-0.23464844000000001</v>
      </c>
      <c r="F822">
        <v>-1.9285670036877942E-4</v>
      </c>
      <c r="G822" s="32">
        <f t="shared" ref="G822:G885" si="9">G821+F822</f>
        <v>1.9973534814994139E-2</v>
      </c>
      <c r="H822">
        <v>8.9321885417651993E-3</v>
      </c>
      <c r="I822">
        <v>-1.9386871414476135E-4</v>
      </c>
      <c r="J822">
        <v>-1.948807279207433E-4</v>
      </c>
      <c r="K822">
        <v>-1.9589274169672522E-4</v>
      </c>
      <c r="L822">
        <v>-1.9690475547270715E-4</v>
      </c>
      <c r="M822">
        <v>-1.9791676924868907E-4</v>
      </c>
      <c r="N822">
        <v>-1.9892878302467103E-4</v>
      </c>
    </row>
    <row r="823" spans="1:14" x14ac:dyDescent="0.35">
      <c r="A823">
        <v>66</v>
      </c>
      <c r="B823" t="s">
        <v>29</v>
      </c>
      <c r="C823" s="23">
        <v>43563</v>
      </c>
      <c r="D823">
        <v>-5.8447359382275002E-3</v>
      </c>
      <c r="E823">
        <v>-0.23727302</v>
      </c>
      <c r="F823">
        <v>1.3867981619673504E-3</v>
      </c>
      <c r="G823" s="32">
        <f t="shared" si="9"/>
        <v>2.136033297696149E-2</v>
      </c>
      <c r="H823">
        <v>8.7855874803136995E-3</v>
      </c>
      <c r="I823">
        <v>1.3864499180715254E-3</v>
      </c>
      <c r="J823">
        <v>1.3861016741757006E-3</v>
      </c>
      <c r="K823">
        <v>1.3857534302798755E-3</v>
      </c>
      <c r="L823">
        <v>1.3854051863840505E-3</v>
      </c>
      <c r="M823">
        <v>1.3850569424882257E-3</v>
      </c>
      <c r="N823">
        <v>1.3847086985924006E-3</v>
      </c>
    </row>
    <row r="824" spans="1:14" x14ac:dyDescent="0.35">
      <c r="A824">
        <v>67</v>
      </c>
      <c r="B824" t="s">
        <v>29</v>
      </c>
      <c r="C824" s="23">
        <v>43564</v>
      </c>
      <c r="D824">
        <v>4.5060561283881998E-3</v>
      </c>
      <c r="E824">
        <v>-0.21895637000000001</v>
      </c>
      <c r="F824">
        <v>-9.8662967568118932E-4</v>
      </c>
      <c r="G824" s="32">
        <f t="shared" si="9"/>
        <v>2.0373703301280299E-2</v>
      </c>
      <c r="H824">
        <v>8.7298407559228998E-3</v>
      </c>
      <c r="I824">
        <v>-9.8753948590241548E-4</v>
      </c>
      <c r="J824">
        <v>-9.8844929612364163E-4</v>
      </c>
      <c r="K824">
        <v>-9.8935910634486801E-4</v>
      </c>
      <c r="L824">
        <v>-9.9026891656609417E-4</v>
      </c>
      <c r="M824">
        <v>-9.9117872678732032E-4</v>
      </c>
      <c r="N824">
        <v>-9.9208853700854648E-4</v>
      </c>
    </row>
    <row r="825" spans="1:14" x14ac:dyDescent="0.35">
      <c r="A825">
        <v>68</v>
      </c>
      <c r="B825" t="s">
        <v>29</v>
      </c>
      <c r="C825" s="23">
        <v>43565</v>
      </c>
      <c r="D825">
        <v>-1.0437456633197999E-3</v>
      </c>
      <c r="E825">
        <v>-0.19206749000000001</v>
      </c>
      <c r="F825">
        <v>2.0046960873767422E-4</v>
      </c>
      <c r="G825" s="32">
        <f t="shared" si="9"/>
        <v>2.0574172910017972E-2</v>
      </c>
      <c r="H825">
        <v>8.6011286688397002E-3</v>
      </c>
      <c r="I825">
        <v>1.9916994428647282E-4</v>
      </c>
      <c r="J825">
        <v>1.9787027983527141E-4</v>
      </c>
      <c r="K825">
        <v>1.9657061538407001E-4</v>
      </c>
      <c r="L825">
        <v>1.952709509328686E-4</v>
      </c>
      <c r="M825">
        <v>1.939712864816672E-4</v>
      </c>
      <c r="N825">
        <v>1.9267162203046579E-4</v>
      </c>
    </row>
    <row r="826" spans="1:14" x14ac:dyDescent="0.35">
      <c r="A826">
        <v>69</v>
      </c>
      <c r="B826" t="s">
        <v>29</v>
      </c>
      <c r="C826" s="23">
        <v>43566</v>
      </c>
      <c r="D826">
        <v>8.0057759388994006E-3</v>
      </c>
      <c r="E826">
        <v>-0.15878310000000001</v>
      </c>
      <c r="F826">
        <v>-1.2711818662025794E-3</v>
      </c>
      <c r="G826" s="32">
        <f t="shared" si="9"/>
        <v>1.9302991043815394E-2</v>
      </c>
      <c r="H826">
        <v>8.4692492493294996E-3</v>
      </c>
      <c r="I826">
        <v>-1.2728743481073719E-3</v>
      </c>
      <c r="J826">
        <v>-1.2745668300121644E-3</v>
      </c>
      <c r="K826">
        <v>-1.276259311916957E-3</v>
      </c>
      <c r="L826">
        <v>-1.2779517938217497E-3</v>
      </c>
      <c r="M826">
        <v>-1.2796442757265422E-3</v>
      </c>
      <c r="N826">
        <v>-1.2813367576313347E-3</v>
      </c>
    </row>
    <row r="827" spans="1:14" x14ac:dyDescent="0.35">
      <c r="A827">
        <v>70</v>
      </c>
      <c r="B827" t="s">
        <v>29</v>
      </c>
      <c r="C827" s="23">
        <v>43567</v>
      </c>
      <c r="D827">
        <v>-1.1592622680259E-3</v>
      </c>
      <c r="E827">
        <v>-0.13573328000000001</v>
      </c>
      <c r="F827">
        <v>1.5735046608440173E-4</v>
      </c>
      <c r="G827" s="32">
        <f t="shared" si="9"/>
        <v>1.9460341509899795E-2</v>
      </c>
      <c r="H827">
        <v>8.3958487994628007E-3</v>
      </c>
      <c r="I827">
        <v>1.5613083310448182E-4</v>
      </c>
      <c r="J827">
        <v>1.549112001245619E-4</v>
      </c>
      <c r="K827">
        <v>1.5369156714464198E-4</v>
      </c>
      <c r="L827">
        <v>1.5247193416472203E-4</v>
      </c>
      <c r="M827">
        <v>1.5125230118480211E-4</v>
      </c>
      <c r="N827">
        <v>1.5003266820488219E-4</v>
      </c>
    </row>
    <row r="828" spans="1:14" x14ac:dyDescent="0.35">
      <c r="A828">
        <v>71</v>
      </c>
      <c r="B828" t="s">
        <v>29</v>
      </c>
      <c r="C828" s="23">
        <v>43570</v>
      </c>
      <c r="D828">
        <v>7.8546152978999995E-4</v>
      </c>
      <c r="E828">
        <v>-0.12345825000000001</v>
      </c>
      <c r="F828">
        <v>-9.6971706976129254E-5</v>
      </c>
      <c r="G828" s="32">
        <f t="shared" si="9"/>
        <v>1.9363369802923667E-2</v>
      </c>
      <c r="H828">
        <v>8.2694705275403995E-3</v>
      </c>
      <c r="I828">
        <v>-9.7556281589703038E-5</v>
      </c>
      <c r="J828">
        <v>-9.8140856203276835E-5</v>
      </c>
      <c r="K828">
        <v>-9.8725430816850619E-5</v>
      </c>
      <c r="L828">
        <v>-9.9310005430424417E-5</v>
      </c>
      <c r="M828">
        <v>-9.9894580043998201E-5</v>
      </c>
      <c r="N828">
        <v>-1.0047915465757198E-4</v>
      </c>
    </row>
    <row r="829" spans="1:14" x14ac:dyDescent="0.35">
      <c r="A829">
        <v>72</v>
      </c>
      <c r="B829" t="s">
        <v>29</v>
      </c>
      <c r="C829" s="23">
        <v>43571</v>
      </c>
      <c r="D829">
        <v>-4.3890751173348E-3</v>
      </c>
      <c r="E829">
        <v>-0.10722677999999999</v>
      </c>
      <c r="F829">
        <v>4.7062639880013726E-4</v>
      </c>
      <c r="G829" s="32">
        <f t="shared" si="9"/>
        <v>1.9833996201723804E-2</v>
      </c>
      <c r="H829">
        <v>8.1338070466487992E-3</v>
      </c>
      <c r="I829">
        <v>4.6980123152611945E-4</v>
      </c>
      <c r="J829">
        <v>4.689760642521017E-4</v>
      </c>
      <c r="K829">
        <v>4.681508969780839E-4</v>
      </c>
      <c r="L829">
        <v>4.6732572970406615E-4</v>
      </c>
      <c r="M829">
        <v>4.6650056243004834E-4</v>
      </c>
      <c r="N829">
        <v>4.6567539515603054E-4</v>
      </c>
    </row>
    <row r="830" spans="1:14" x14ac:dyDescent="0.35">
      <c r="A830">
        <v>73</v>
      </c>
      <c r="B830" t="s">
        <v>29</v>
      </c>
      <c r="C830" s="23">
        <v>43572</v>
      </c>
      <c r="D830">
        <v>3.8431629340566998E-3</v>
      </c>
      <c r="E830">
        <v>-9.6923850000000006E-2</v>
      </c>
      <c r="F830">
        <v>-3.7249414957826786E-4</v>
      </c>
      <c r="G830" s="32">
        <f t="shared" si="9"/>
        <v>1.9461502052145536E-2</v>
      </c>
      <c r="H830">
        <v>8.0529115133559995E-3</v>
      </c>
      <c r="I830">
        <v>-3.7303604478371313E-4</v>
      </c>
      <c r="J830">
        <v>-3.7357793998915839E-4</v>
      </c>
      <c r="K830">
        <v>-3.7411983519460359E-4</v>
      </c>
      <c r="L830">
        <v>-3.7466173040004886E-4</v>
      </c>
      <c r="M830">
        <v>-3.7520362560549412E-4</v>
      </c>
      <c r="N830">
        <v>-3.7574552081093938E-4</v>
      </c>
    </row>
    <row r="831" spans="1:14" x14ac:dyDescent="0.35">
      <c r="A831">
        <v>74</v>
      </c>
      <c r="B831" t="s">
        <v>29</v>
      </c>
      <c r="C831" s="23">
        <v>43573</v>
      </c>
      <c r="D831">
        <v>1.0238844061922999E-3</v>
      </c>
      <c r="E831">
        <v>-9.0676463999999998E-2</v>
      </c>
      <c r="F831">
        <v>-9.2842217642026393E-5</v>
      </c>
      <c r="G831" s="32">
        <f t="shared" si="9"/>
        <v>1.9368659834503511E-2</v>
      </c>
      <c r="H831">
        <v>7.9284278725135007E-3</v>
      </c>
      <c r="I831">
        <v>-9.3125217841757356E-5</v>
      </c>
      <c r="J831">
        <v>-9.3408218041488304E-5</v>
      </c>
      <c r="K831">
        <v>-9.3691218241219267E-5</v>
      </c>
      <c r="L831">
        <v>-9.3974218440950216E-5</v>
      </c>
      <c r="M831">
        <v>-9.4257218640681178E-5</v>
      </c>
      <c r="N831">
        <v>-9.4540218840412127E-5</v>
      </c>
    </row>
    <row r="832" spans="1:14" x14ac:dyDescent="0.35">
      <c r="A832">
        <v>75</v>
      </c>
      <c r="B832" t="s">
        <v>29</v>
      </c>
      <c r="C832" s="23">
        <v>43577</v>
      </c>
      <c r="D832">
        <v>1.0609534887670699E-2</v>
      </c>
      <c r="E832">
        <v>-6.0368203000000002E-2</v>
      </c>
      <c r="F832">
        <v>-6.4047855187400243E-4</v>
      </c>
      <c r="G832" s="32">
        <f t="shared" si="9"/>
        <v>1.872818128262951E-2</v>
      </c>
      <c r="H832">
        <v>7.7977425030116001E-3</v>
      </c>
      <c r="I832">
        <v>-6.4222433399697195E-4</v>
      </c>
      <c r="J832">
        <v>-6.4397011611994157E-4</v>
      </c>
      <c r="K832">
        <v>-6.4571589824291109E-4</v>
      </c>
      <c r="L832">
        <v>-6.474616803658806E-4</v>
      </c>
      <c r="M832">
        <v>-6.4920746248885012E-4</v>
      </c>
      <c r="N832">
        <v>-6.5095324461181975E-4</v>
      </c>
    </row>
    <row r="833" spans="1:14" x14ac:dyDescent="0.35">
      <c r="A833">
        <v>76</v>
      </c>
      <c r="B833" t="s">
        <v>29</v>
      </c>
      <c r="C833" s="23">
        <v>43578</v>
      </c>
      <c r="D833">
        <v>-2.9948480094826001E-3</v>
      </c>
      <c r="E833">
        <v>-6.8316500000000002E-2</v>
      </c>
      <c r="F833">
        <v>2.045975247817387E-4</v>
      </c>
      <c r="G833" s="32">
        <f t="shared" si="9"/>
        <v>1.893277880741125E-2</v>
      </c>
      <c r="H833">
        <v>7.785785187795E-3</v>
      </c>
      <c r="I833">
        <v>2.0410959064223047E-4</v>
      </c>
      <c r="J833">
        <v>2.0362165650272221E-4</v>
      </c>
      <c r="K833">
        <v>2.0313372236321399E-4</v>
      </c>
      <c r="L833">
        <v>2.0264578822370576E-4</v>
      </c>
      <c r="M833">
        <v>2.021578540841975E-4</v>
      </c>
      <c r="N833">
        <v>2.0166991994468927E-4</v>
      </c>
    </row>
    <row r="834" spans="1:14" x14ac:dyDescent="0.35">
      <c r="A834">
        <v>77</v>
      </c>
      <c r="B834" t="s">
        <v>29</v>
      </c>
      <c r="C834" s="23">
        <v>43579</v>
      </c>
      <c r="D834">
        <v>-1.8865795107125001E-3</v>
      </c>
      <c r="E834">
        <v>-7.8819825999999996E-2</v>
      </c>
      <c r="F834">
        <v>1.486998692323173E-4</v>
      </c>
      <c r="G834" s="32">
        <f t="shared" si="9"/>
        <v>1.9081478676643567E-2</v>
      </c>
      <c r="H834">
        <v>7.6904121480195998E-3</v>
      </c>
      <c r="I834">
        <v>1.4800319221757171E-4</v>
      </c>
      <c r="J834">
        <v>1.4730651520282611E-4</v>
      </c>
      <c r="K834">
        <v>1.4660983818808051E-4</v>
      </c>
      <c r="L834">
        <v>1.4591316117333492E-4</v>
      </c>
      <c r="M834">
        <v>1.4521648415858932E-4</v>
      </c>
      <c r="N834">
        <v>1.4451980714384372E-4</v>
      </c>
    </row>
    <row r="835" spans="1:14" x14ac:dyDescent="0.35">
      <c r="A835">
        <v>78</v>
      </c>
      <c r="B835" t="s">
        <v>29</v>
      </c>
      <c r="C835" s="23">
        <v>43580</v>
      </c>
      <c r="D835">
        <v>6.4952762255913003E-3</v>
      </c>
      <c r="E835">
        <v>-8.4499530000000003E-2</v>
      </c>
      <c r="F835">
        <v>-5.4884779149268952E-4</v>
      </c>
      <c r="G835" s="32">
        <f t="shared" si="9"/>
        <v>1.8532630885150878E-2</v>
      </c>
      <c r="H835">
        <v>7.5814413659253E-3</v>
      </c>
      <c r="I835">
        <v>-5.4927133537921674E-4</v>
      </c>
      <c r="J835">
        <v>-5.4969487926574408E-4</v>
      </c>
      <c r="K835">
        <v>-5.501184231522713E-4</v>
      </c>
      <c r="L835">
        <v>-5.5054196703879853E-4</v>
      </c>
      <c r="M835">
        <v>-5.5096551092532575E-4</v>
      </c>
      <c r="N835">
        <v>-5.5138905481185308E-4</v>
      </c>
    </row>
    <row r="836" spans="1:14" x14ac:dyDescent="0.35">
      <c r="A836">
        <v>79</v>
      </c>
      <c r="B836" t="s">
        <v>29</v>
      </c>
      <c r="C836" s="23">
        <v>43581</v>
      </c>
      <c r="D836">
        <v>6.4338449847589998E-4</v>
      </c>
      <c r="E836">
        <v>-8.7832060000000003E-2</v>
      </c>
      <c r="F836">
        <v>-5.6509788084201248E-5</v>
      </c>
      <c r="G836" s="32">
        <f t="shared" si="9"/>
        <v>1.8476121097066676E-2</v>
      </c>
      <c r="H836">
        <v>7.4893271526024E-3</v>
      </c>
      <c r="I836">
        <v>-5.6784783138957807E-5</v>
      </c>
      <c r="J836">
        <v>-5.7059778193714374E-5</v>
      </c>
      <c r="K836">
        <v>-5.7334773248470933E-5</v>
      </c>
      <c r="L836">
        <v>-5.76097683032275E-5</v>
      </c>
      <c r="M836">
        <v>-5.7884763357984059E-5</v>
      </c>
      <c r="N836">
        <v>-5.8159758412740626E-5</v>
      </c>
    </row>
    <row r="837" spans="1:14" x14ac:dyDescent="0.35">
      <c r="A837">
        <v>80</v>
      </c>
      <c r="B837" t="s">
        <v>29</v>
      </c>
      <c r="C837" s="23">
        <v>43584</v>
      </c>
      <c r="D837">
        <v>2.3969187829483E-3</v>
      </c>
      <c r="E837">
        <v>-7.6586290000000001E-2</v>
      </c>
      <c r="F837">
        <v>-1.8357111987915572E-4</v>
      </c>
      <c r="G837" s="32">
        <f t="shared" si="9"/>
        <v>1.829254997718752E-2</v>
      </c>
      <c r="H837">
        <v>7.3673295593630001E-3</v>
      </c>
      <c r="I837">
        <v>-1.8420054296227307E-4</v>
      </c>
      <c r="J837">
        <v>-1.848299660453904E-4</v>
      </c>
      <c r="K837">
        <v>-1.8545938912850775E-4</v>
      </c>
      <c r="L837">
        <v>-1.860888122116251E-4</v>
      </c>
      <c r="M837">
        <v>-1.8671823529474243E-4</v>
      </c>
      <c r="N837">
        <v>-1.8734765837785978E-4</v>
      </c>
    </row>
    <row r="838" spans="1:14" x14ac:dyDescent="0.35">
      <c r="A838">
        <v>81</v>
      </c>
      <c r="B838" t="s">
        <v>29</v>
      </c>
      <c r="C838" s="23">
        <v>43585</v>
      </c>
      <c r="D838">
        <v>-1.12778920396249E-2</v>
      </c>
      <c r="E838">
        <v>-7.5082469999999998E-2</v>
      </c>
      <c r="F838">
        <v>8.4677202971446459E-4</v>
      </c>
      <c r="G838" s="32">
        <f t="shared" si="9"/>
        <v>1.9139322006901986E-2</v>
      </c>
      <c r="H838">
        <v>7.2460629744406004E-3</v>
      </c>
      <c r="I838">
        <v>8.4675617233308459E-4</v>
      </c>
      <c r="J838">
        <v>8.467403149517047E-4</v>
      </c>
      <c r="K838">
        <v>8.4672445757032471E-4</v>
      </c>
      <c r="L838">
        <v>8.4670860018894482E-4</v>
      </c>
      <c r="M838">
        <v>8.4669274280756482E-4</v>
      </c>
      <c r="N838">
        <v>8.4667688542618494E-4</v>
      </c>
    </row>
    <row r="839" spans="1:14" x14ac:dyDescent="0.35">
      <c r="A839">
        <v>82</v>
      </c>
      <c r="B839" t="s">
        <v>29</v>
      </c>
      <c r="C839" s="23">
        <v>43586</v>
      </c>
      <c r="D839">
        <v>-2.4185667376168999E-3</v>
      </c>
      <c r="E839">
        <v>-4.5686919999999999E-2</v>
      </c>
      <c r="F839">
        <v>1.104968632232381E-4</v>
      </c>
      <c r="G839" s="32">
        <f t="shared" si="9"/>
        <v>1.9249818870125224E-2</v>
      </c>
      <c r="H839">
        <v>7.3513447003378998E-3</v>
      </c>
      <c r="I839">
        <v>1.0853756162522997E-4</v>
      </c>
      <c r="J839">
        <v>1.0657826002722184E-4</v>
      </c>
      <c r="K839">
        <v>1.0461895842921371E-4</v>
      </c>
      <c r="L839">
        <v>1.0265965683120559E-4</v>
      </c>
      <c r="M839">
        <v>1.0070035523319745E-4</v>
      </c>
      <c r="N839">
        <v>9.874105363518933E-5</v>
      </c>
    </row>
    <row r="840" spans="1:14" x14ac:dyDescent="0.35">
      <c r="A840">
        <v>83</v>
      </c>
      <c r="B840" t="s">
        <v>29</v>
      </c>
      <c r="C840" s="23">
        <v>43587</v>
      </c>
      <c r="D840">
        <v>1.34031412224309E-2</v>
      </c>
      <c r="E840">
        <v>-3.0278632E-2</v>
      </c>
      <c r="F840">
        <v>-4.0582878631143041E-4</v>
      </c>
      <c r="G840" s="32">
        <f t="shared" si="9"/>
        <v>1.8843990083813794E-2</v>
      </c>
      <c r="H840">
        <v>7.2492785078423E-3</v>
      </c>
      <c r="I840">
        <v>-4.0679164672695849E-4</v>
      </c>
      <c r="J840">
        <v>-4.0775450714248661E-4</v>
      </c>
      <c r="K840">
        <v>-4.0871736755801469E-4</v>
      </c>
      <c r="L840">
        <v>-4.0968022797354282E-4</v>
      </c>
      <c r="M840">
        <v>-4.1064308838907089E-4</v>
      </c>
      <c r="N840">
        <v>-4.1160594880459896E-4</v>
      </c>
    </row>
    <row r="841" spans="1:14" x14ac:dyDescent="0.35">
      <c r="A841">
        <v>84</v>
      </c>
      <c r="B841" t="s">
        <v>29</v>
      </c>
      <c r="C841" s="23">
        <v>43588</v>
      </c>
      <c r="D841">
        <v>-6.5668530999502001E-3</v>
      </c>
      <c r="E841">
        <v>-8.0734845000000003E-3</v>
      </c>
      <c r="F841">
        <v>5.3017386880951087E-5</v>
      </c>
      <c r="G841" s="32">
        <f t="shared" si="9"/>
        <v>1.8897007470694744E-2</v>
      </c>
      <c r="H841">
        <v>7.3226981551358997E-3</v>
      </c>
      <c r="I841">
        <v>5.1564940091788205E-5</v>
      </c>
      <c r="J841">
        <v>5.0112493302625322E-5</v>
      </c>
      <c r="K841">
        <v>4.8660046513462432E-5</v>
      </c>
      <c r="L841">
        <v>4.7207599724299549E-5</v>
      </c>
      <c r="M841">
        <v>4.5755152935136667E-5</v>
      </c>
      <c r="N841">
        <v>4.4302706145973784E-5</v>
      </c>
    </row>
    <row r="842" spans="1:14" x14ac:dyDescent="0.35">
      <c r="A842">
        <v>85</v>
      </c>
      <c r="B842" t="s">
        <v>29</v>
      </c>
      <c r="C842" s="23">
        <v>43591</v>
      </c>
      <c r="D842">
        <v>-1.8448660918093399E-2</v>
      </c>
      <c r="E842">
        <v>2.653287E-2</v>
      </c>
      <c r="F842">
        <v>-4.894959178662839E-4</v>
      </c>
      <c r="G842" s="32">
        <f t="shared" si="9"/>
        <v>1.8407511552828461E-2</v>
      </c>
      <c r="H842">
        <v>7.2919653950799003E-3</v>
      </c>
      <c r="I842">
        <v>-4.9173591173196736E-4</v>
      </c>
      <c r="J842">
        <v>-4.9397590559765081E-4</v>
      </c>
      <c r="K842">
        <v>-4.9621589946333426E-4</v>
      </c>
      <c r="L842">
        <v>-4.9845589332901783E-4</v>
      </c>
      <c r="M842">
        <v>-5.0069588719470128E-4</v>
      </c>
      <c r="N842">
        <v>-5.0293588106038473E-4</v>
      </c>
    </row>
    <row r="843" spans="1:14" x14ac:dyDescent="0.35">
      <c r="A843">
        <v>86</v>
      </c>
      <c r="B843" t="s">
        <v>29</v>
      </c>
      <c r="C843" s="23">
        <v>43592</v>
      </c>
      <c r="D843">
        <v>-1.489583738024E-3</v>
      </c>
      <c r="E843">
        <v>3.5537104999999999E-2</v>
      </c>
      <c r="F843">
        <v>-5.2935493784387294E-5</v>
      </c>
      <c r="G843" s="32">
        <f t="shared" si="9"/>
        <v>1.8354576059044073E-2</v>
      </c>
      <c r="H843">
        <v>7.6803953548936999E-3</v>
      </c>
      <c r="I843">
        <v>-5.3402442640992309E-5</v>
      </c>
      <c r="J843">
        <v>-5.386939149759733E-5</v>
      </c>
      <c r="K843">
        <v>-5.4336340354202344E-5</v>
      </c>
      <c r="L843">
        <v>-5.4803289210807365E-5</v>
      </c>
      <c r="M843">
        <v>-5.527023806741238E-5</v>
      </c>
      <c r="N843">
        <v>-5.5737186924017401E-5</v>
      </c>
    </row>
    <row r="844" spans="1:14" x14ac:dyDescent="0.35">
      <c r="A844">
        <v>87</v>
      </c>
      <c r="B844" t="s">
        <v>29</v>
      </c>
      <c r="C844" s="23">
        <v>43593</v>
      </c>
      <c r="D844">
        <v>-6.2768338596926E-3</v>
      </c>
      <c r="E844">
        <v>5.8643512000000002E-2</v>
      </c>
      <c r="F844">
        <v>-3.6809558445816186E-4</v>
      </c>
      <c r="G844" s="32">
        <f t="shared" si="9"/>
        <v>1.7986480474585911E-2</v>
      </c>
      <c r="H844">
        <v>7.5602118847033E-3</v>
      </c>
      <c r="I844">
        <v>-3.695743099914256E-4</v>
      </c>
      <c r="J844">
        <v>-3.710530355246894E-4</v>
      </c>
      <c r="K844">
        <v>-3.7253176105795315E-4</v>
      </c>
      <c r="L844">
        <v>-3.7401048659121695E-4</v>
      </c>
      <c r="M844">
        <v>-3.754892121244807E-4</v>
      </c>
      <c r="N844">
        <v>-3.7696793765774444E-4</v>
      </c>
    </row>
    <row r="845" spans="1:14" x14ac:dyDescent="0.35">
      <c r="A845">
        <v>88</v>
      </c>
      <c r="B845" t="s">
        <v>29</v>
      </c>
      <c r="C845" s="23">
        <v>43594</v>
      </c>
      <c r="D845">
        <v>6.2483726564215997E-3</v>
      </c>
      <c r="E845">
        <v>8.8040574999999996E-2</v>
      </c>
      <c r="F845">
        <v>5.5011032389184393E-4</v>
      </c>
      <c r="G845" s="32">
        <f t="shared" si="9"/>
        <v>1.8536590798477755E-2</v>
      </c>
      <c r="H845">
        <v>7.5013787953605001E-3</v>
      </c>
      <c r="I845">
        <v>5.4823008043417725E-4</v>
      </c>
      <c r="J845">
        <v>5.4634983697651057E-4</v>
      </c>
      <c r="K845">
        <v>5.44469593518844E-4</v>
      </c>
      <c r="L845">
        <v>5.4258935006117732E-4</v>
      </c>
      <c r="M845">
        <v>5.4070910660351064E-4</v>
      </c>
      <c r="N845">
        <v>5.3882886314584395E-4</v>
      </c>
    </row>
    <row r="846" spans="1:14" x14ac:dyDescent="0.35">
      <c r="A846">
        <v>89</v>
      </c>
      <c r="B846" t="s">
        <v>29</v>
      </c>
      <c r="C846" s="23">
        <v>43595</v>
      </c>
      <c r="D846">
        <v>-3.5268902990295802E-2</v>
      </c>
      <c r="E846">
        <v>0.12199238</v>
      </c>
      <c r="F846">
        <v>-4.3025373955646751E-3</v>
      </c>
      <c r="G846" s="32">
        <f t="shared" si="9"/>
        <v>1.423405340291308E-2</v>
      </c>
      <c r="H846">
        <v>7.4240731139977997E-3</v>
      </c>
      <c r="I846">
        <v>-4.3047557706107128E-3</v>
      </c>
      <c r="J846">
        <v>-4.3069741456567513E-3</v>
      </c>
      <c r="K846">
        <v>-4.3091925207027889E-3</v>
      </c>
      <c r="L846">
        <v>-4.3114108957488266E-3</v>
      </c>
      <c r="M846">
        <v>-4.3136292707948642E-3</v>
      </c>
      <c r="N846">
        <v>-4.3158476458409027E-3</v>
      </c>
    </row>
    <row r="847" spans="1:14" x14ac:dyDescent="0.35">
      <c r="A847">
        <v>90</v>
      </c>
      <c r="B847" t="s">
        <v>29</v>
      </c>
      <c r="C847" s="23">
        <v>43598</v>
      </c>
      <c r="D847">
        <v>1.22185550739168E-2</v>
      </c>
      <c r="E847">
        <v>0.10278132600000001</v>
      </c>
      <c r="F847">
        <v>1.2558392871533921E-3</v>
      </c>
      <c r="G847" s="32">
        <f t="shared" si="9"/>
        <v>1.5489892690066471E-2</v>
      </c>
      <c r="H847">
        <v>8.8850207071153996E-3</v>
      </c>
      <c r="I847">
        <v>1.2535412312005756E-3</v>
      </c>
      <c r="J847">
        <v>1.2512431752477592E-3</v>
      </c>
      <c r="K847">
        <v>1.2489451192949426E-3</v>
      </c>
      <c r="L847">
        <v>1.2466470633421261E-3</v>
      </c>
      <c r="M847">
        <v>1.2443490073893097E-3</v>
      </c>
      <c r="N847">
        <v>1.2420509514364931E-3</v>
      </c>
    </row>
    <row r="848" spans="1:14" x14ac:dyDescent="0.35">
      <c r="A848">
        <v>91</v>
      </c>
      <c r="B848" t="s">
        <v>29</v>
      </c>
      <c r="C848" s="23">
        <v>43599</v>
      </c>
      <c r="D848">
        <v>5.8260090961778999E-3</v>
      </c>
      <c r="E848">
        <v>0.17444973</v>
      </c>
      <c r="F848">
        <v>1.016345695973538E-3</v>
      </c>
      <c r="G848" s="32">
        <f t="shared" si="9"/>
        <v>1.6506238386040008E-2</v>
      </c>
      <c r="H848">
        <v>8.9969799775942993E-3</v>
      </c>
      <c r="I848">
        <v>1.0126502068085882E-3</v>
      </c>
      <c r="J848">
        <v>1.0089547176436381E-3</v>
      </c>
      <c r="K848">
        <v>1.0052592284786883E-3</v>
      </c>
      <c r="L848">
        <v>1.0015637393137385E-3</v>
      </c>
      <c r="M848">
        <v>9.9786825014878846E-4</v>
      </c>
      <c r="N848">
        <v>9.9417276098383864E-4</v>
      </c>
    </row>
    <row r="849" spans="1:14" x14ac:dyDescent="0.35">
      <c r="A849">
        <v>92</v>
      </c>
      <c r="B849" t="s">
        <v>29</v>
      </c>
      <c r="C849" s="23">
        <v>43600</v>
      </c>
      <c r="D849">
        <v>8.7339409314264992E-3</v>
      </c>
      <c r="E849">
        <v>0.23740184</v>
      </c>
      <c r="F849">
        <v>2.0734536743937568E-3</v>
      </c>
      <c r="G849" s="32">
        <f t="shared" si="9"/>
        <v>1.8579692060433764E-2</v>
      </c>
      <c r="H849">
        <v>8.9051756053163001E-3</v>
      </c>
      <c r="I849">
        <v>2.0700193700844386E-3</v>
      </c>
      <c r="J849">
        <v>2.0665850657751203E-3</v>
      </c>
      <c r="K849">
        <v>2.063150761465802E-3</v>
      </c>
      <c r="L849">
        <v>2.0597164571564833E-3</v>
      </c>
      <c r="M849">
        <v>2.056282152847165E-3</v>
      </c>
      <c r="N849">
        <v>2.0528478485378468E-3</v>
      </c>
    </row>
    <row r="850" spans="1:14" x14ac:dyDescent="0.35">
      <c r="A850">
        <v>93</v>
      </c>
      <c r="B850" t="s">
        <v>29</v>
      </c>
      <c r="C850" s="23">
        <v>43601</v>
      </c>
      <c r="D850">
        <v>-6.1009718022229003E-3</v>
      </c>
      <c r="E850">
        <v>0.26891118000000003</v>
      </c>
      <c r="F850">
        <v>-1.6406195440557356E-3</v>
      </c>
      <c r="G850" s="32">
        <f t="shared" si="9"/>
        <v>1.693907251637803E-2</v>
      </c>
      <c r="H850">
        <v>8.8778883986588997E-3</v>
      </c>
      <c r="I850">
        <v>-1.6423350932552633E-3</v>
      </c>
      <c r="J850">
        <v>-1.6440506424547907E-3</v>
      </c>
      <c r="K850">
        <v>-1.6457661916543184E-3</v>
      </c>
      <c r="L850">
        <v>-1.6474817408538458E-3</v>
      </c>
      <c r="M850">
        <v>-1.6491972900533735E-3</v>
      </c>
      <c r="N850">
        <v>-1.6509128392529009E-3</v>
      </c>
    </row>
    <row r="851" spans="1:14" x14ac:dyDescent="0.35">
      <c r="A851">
        <v>94</v>
      </c>
      <c r="B851" t="s">
        <v>29</v>
      </c>
      <c r="C851" s="23">
        <v>43602</v>
      </c>
      <c r="D851">
        <v>-6.7530102081702998E-3</v>
      </c>
      <c r="E851">
        <v>0.25035659999999998</v>
      </c>
      <c r="F851">
        <v>-1.6906607740071419E-3</v>
      </c>
      <c r="G851" s="32">
        <f t="shared" si="9"/>
        <v>1.5248411742370889E-2</v>
      </c>
      <c r="H851">
        <v>8.8002793461515998E-3</v>
      </c>
      <c r="I851">
        <v>-1.6915306982212229E-3</v>
      </c>
      <c r="J851">
        <v>-1.692400622435304E-3</v>
      </c>
      <c r="K851">
        <v>-1.693270546649385E-3</v>
      </c>
      <c r="L851">
        <v>-1.6941404708634661E-3</v>
      </c>
      <c r="M851">
        <v>-1.6950103950775471E-3</v>
      </c>
      <c r="N851">
        <v>-1.6958803192916282E-3</v>
      </c>
    </row>
    <row r="852" spans="1:14" x14ac:dyDescent="0.35">
      <c r="A852">
        <v>95</v>
      </c>
      <c r="B852" t="s">
        <v>29</v>
      </c>
      <c r="C852" s="23">
        <v>43605</v>
      </c>
      <c r="D852">
        <v>8.3700413379038004E-3</v>
      </c>
      <c r="E852">
        <v>0.24290115000000001</v>
      </c>
      <c r="F852">
        <v>2.0330926364917909E-3</v>
      </c>
      <c r="G852" s="32">
        <f t="shared" si="9"/>
        <v>1.728150437886268E-2</v>
      </c>
      <c r="H852">
        <v>8.7328595309942997E-3</v>
      </c>
      <c r="I852">
        <v>2.0327930545676405E-3</v>
      </c>
      <c r="J852">
        <v>2.0324934726434897E-3</v>
      </c>
      <c r="K852">
        <v>2.0321938907193393E-3</v>
      </c>
      <c r="L852">
        <v>2.0318943087951889E-3</v>
      </c>
      <c r="M852">
        <v>2.0315947268710385E-3</v>
      </c>
      <c r="N852">
        <v>2.0312951449468876E-3</v>
      </c>
    </row>
    <row r="853" spans="1:14" x14ac:dyDescent="0.35">
      <c r="A853">
        <v>96</v>
      </c>
      <c r="B853" t="s">
        <v>29</v>
      </c>
      <c r="C853" s="23">
        <v>43606</v>
      </c>
      <c r="D853">
        <v>-3.2209702158627002E-3</v>
      </c>
      <c r="E853">
        <v>0.28213176000000001</v>
      </c>
      <c r="F853">
        <v>-9.0873800013639781E-4</v>
      </c>
      <c r="G853" s="32">
        <f t="shared" si="9"/>
        <v>1.6372766378726283E-2</v>
      </c>
      <c r="H853">
        <v>8.7005562551035996E-3</v>
      </c>
      <c r="I853">
        <v>-9.1091708329817816E-4</v>
      </c>
      <c r="J853">
        <v>-9.1309616645995841E-4</v>
      </c>
      <c r="K853">
        <v>-9.1527524962173876E-4</v>
      </c>
      <c r="L853">
        <v>-9.1745433278351911E-4</v>
      </c>
      <c r="M853">
        <v>-9.1963341594529936E-4</v>
      </c>
      <c r="N853">
        <v>-9.2181249910707971E-4</v>
      </c>
    </row>
    <row r="854" spans="1:14" x14ac:dyDescent="0.35">
      <c r="A854">
        <v>97</v>
      </c>
      <c r="B854" t="s">
        <v>29</v>
      </c>
      <c r="C854" s="23">
        <v>43607</v>
      </c>
      <c r="D854">
        <v>-1.4652105302257801E-2</v>
      </c>
      <c r="E854">
        <v>0.28398266</v>
      </c>
      <c r="F854">
        <v>-4.1609439020235065E-3</v>
      </c>
      <c r="G854" s="32">
        <f t="shared" si="9"/>
        <v>1.2211822476702777E-2</v>
      </c>
      <c r="H854">
        <v>8.5760699570724998E-3</v>
      </c>
      <c r="I854">
        <v>-4.1612682497657507E-3</v>
      </c>
      <c r="J854">
        <v>-4.1615925975079958E-3</v>
      </c>
      <c r="K854">
        <v>-4.1619169452502399E-3</v>
      </c>
      <c r="L854">
        <v>-4.162241292992485E-3</v>
      </c>
      <c r="M854">
        <v>-4.1625656407347292E-3</v>
      </c>
      <c r="N854">
        <v>-4.1628899884769742E-3</v>
      </c>
    </row>
    <row r="855" spans="1:14" x14ac:dyDescent="0.35">
      <c r="A855">
        <v>98</v>
      </c>
      <c r="B855" t="s">
        <v>29</v>
      </c>
      <c r="C855" s="23">
        <v>43608</v>
      </c>
      <c r="D855">
        <v>4.6798614557017996E-3</v>
      </c>
      <c r="E855">
        <v>0.25297945999999999</v>
      </c>
      <c r="F855">
        <v>1.1839088116694717E-3</v>
      </c>
      <c r="G855" s="32">
        <f t="shared" si="9"/>
        <v>1.3395731288372249E-2</v>
      </c>
      <c r="H855">
        <v>8.7724718278814999E-3</v>
      </c>
      <c r="I855">
        <v>1.1818888259680304E-3</v>
      </c>
      <c r="J855">
        <v>1.1798688402665889E-3</v>
      </c>
      <c r="K855">
        <v>1.1778488545651476E-3</v>
      </c>
      <c r="L855">
        <v>1.1758288688637063E-3</v>
      </c>
      <c r="M855">
        <v>1.1738088831622648E-3</v>
      </c>
      <c r="N855">
        <v>1.1717888974608235E-3</v>
      </c>
    </row>
    <row r="856" spans="1:14" x14ac:dyDescent="0.35">
      <c r="A856">
        <v>99</v>
      </c>
      <c r="B856" t="s">
        <v>29</v>
      </c>
      <c r="C856" s="23">
        <v>43609</v>
      </c>
      <c r="D856">
        <v>-1.02979554949024E-2</v>
      </c>
      <c r="E856">
        <v>0.29830790000000001</v>
      </c>
      <c r="F856">
        <v>-3.0719614332887918E-3</v>
      </c>
      <c r="G856" s="32">
        <f t="shared" si="9"/>
        <v>1.0323769855083457E-2</v>
      </c>
      <c r="H856">
        <v>8.6677994682919993E-3</v>
      </c>
      <c r="I856">
        <v>-3.0745966805590338E-3</v>
      </c>
      <c r="J856">
        <v>-3.0772319278292754E-3</v>
      </c>
      <c r="K856">
        <v>-3.0798671750995174E-3</v>
      </c>
      <c r="L856">
        <v>-3.0825024223697589E-3</v>
      </c>
      <c r="M856">
        <v>-3.085137669640001E-3</v>
      </c>
      <c r="N856">
        <v>-3.0877729169102425E-3</v>
      </c>
    </row>
    <row r="857" spans="1:14" x14ac:dyDescent="0.35">
      <c r="A857">
        <v>100</v>
      </c>
      <c r="B857" t="s">
        <v>29</v>
      </c>
      <c r="C857" s="23">
        <v>43613</v>
      </c>
      <c r="D857">
        <v>-9.6953171793596991E-3</v>
      </c>
      <c r="E857">
        <v>0.29224610000000001</v>
      </c>
      <c r="F857">
        <v>-2.8334186657968902E-3</v>
      </c>
      <c r="G857" s="32">
        <f t="shared" si="9"/>
        <v>7.4903511892865666E-3</v>
      </c>
      <c r="H857">
        <v>8.6863257154295992E-3</v>
      </c>
      <c r="I857">
        <v>-2.8337830502399796E-3</v>
      </c>
      <c r="J857">
        <v>-2.8341474346830686E-3</v>
      </c>
      <c r="K857">
        <v>-2.834511819126158E-3</v>
      </c>
      <c r="L857">
        <v>-2.834876203569247E-3</v>
      </c>
      <c r="M857">
        <v>-2.8352405880123365E-3</v>
      </c>
      <c r="N857">
        <v>-2.8356049724554259E-3</v>
      </c>
    </row>
    <row r="858" spans="1:14" x14ac:dyDescent="0.35">
      <c r="A858">
        <v>101</v>
      </c>
      <c r="B858" t="s">
        <v>29</v>
      </c>
      <c r="C858" s="23">
        <v>43614</v>
      </c>
      <c r="D858">
        <v>4.1132588639920999E-3</v>
      </c>
      <c r="E858">
        <v>0.30079028000000002</v>
      </c>
      <c r="F858">
        <v>1.2372282858391427E-3</v>
      </c>
      <c r="G858" s="32">
        <f t="shared" si="9"/>
        <v>8.7275794751257088E-3</v>
      </c>
      <c r="H858">
        <v>8.6765974635478992E-3</v>
      </c>
      <c r="I858">
        <v>1.2367452186741502E-3</v>
      </c>
      <c r="J858">
        <v>1.236262151509158E-3</v>
      </c>
      <c r="K858">
        <v>1.2357790843441656E-3</v>
      </c>
      <c r="L858">
        <v>1.2352960171791729E-3</v>
      </c>
      <c r="M858">
        <v>1.2348129500141809E-3</v>
      </c>
      <c r="N858">
        <v>1.2343298828491884E-3</v>
      </c>
    </row>
    <row r="859" spans="1:14" x14ac:dyDescent="0.35">
      <c r="A859">
        <v>102</v>
      </c>
      <c r="B859" t="s">
        <v>29</v>
      </c>
      <c r="C859" s="23">
        <v>43615</v>
      </c>
      <c r="D859">
        <v>-1.50117831592475E-2</v>
      </c>
      <c r="E859">
        <v>0.35686097</v>
      </c>
      <c r="F859">
        <v>-5.3571194319407068E-3</v>
      </c>
      <c r="G859" s="32">
        <f t="shared" si="9"/>
        <v>3.3704600431850021E-3</v>
      </c>
      <c r="H859">
        <v>8.5715680209621E-3</v>
      </c>
      <c r="I859">
        <v>-5.3604106778804318E-3</v>
      </c>
      <c r="J859">
        <v>-5.3637019238201578E-3</v>
      </c>
      <c r="K859">
        <v>-5.3669931697598828E-3</v>
      </c>
      <c r="L859">
        <v>-5.3702844156996088E-3</v>
      </c>
      <c r="M859">
        <v>-5.3735756616393338E-3</v>
      </c>
      <c r="N859">
        <v>-5.3768669075790598E-3</v>
      </c>
    </row>
    <row r="860" spans="1:14" x14ac:dyDescent="0.35">
      <c r="A860">
        <v>103</v>
      </c>
      <c r="B860" t="s">
        <v>29</v>
      </c>
      <c r="C860" s="23">
        <v>43616</v>
      </c>
      <c r="D860">
        <v>-1.1771887694469001E-3</v>
      </c>
      <c r="E860">
        <v>0.33273079999999999</v>
      </c>
      <c r="F860">
        <v>-3.916869609071456E-4</v>
      </c>
      <c r="G860" s="32">
        <f t="shared" si="9"/>
        <v>2.9787730822778565E-3</v>
      </c>
      <c r="H860">
        <v>8.7486049390179E-3</v>
      </c>
      <c r="I860">
        <v>-3.9338811366937577E-4</v>
      </c>
      <c r="J860">
        <v>-3.95089266431606E-4</v>
      </c>
      <c r="K860">
        <v>-3.9679041919383617E-4</v>
      </c>
      <c r="L860">
        <v>-3.9849157195606633E-4</v>
      </c>
      <c r="M860">
        <v>-4.001927247182965E-4</v>
      </c>
      <c r="N860">
        <v>-4.0189387748052673E-4</v>
      </c>
    </row>
    <row r="861" spans="1:14" x14ac:dyDescent="0.35">
      <c r="A861">
        <v>104</v>
      </c>
      <c r="B861" t="s">
        <v>29</v>
      </c>
      <c r="C861" s="23">
        <v>43619</v>
      </c>
      <c r="D861">
        <v>2.2168168945318999E-2</v>
      </c>
      <c r="E861">
        <v>0.3673669</v>
      </c>
      <c r="F861">
        <v>8.1438517253735934E-3</v>
      </c>
      <c r="G861" s="32">
        <f t="shared" si="9"/>
        <v>1.112262480765145E-2</v>
      </c>
      <c r="H861">
        <v>8.6040004650906002E-3</v>
      </c>
      <c r="I861">
        <v>8.1416478238683417E-3</v>
      </c>
      <c r="J861">
        <v>8.1394439223630918E-3</v>
      </c>
      <c r="K861">
        <v>8.1372400208578402E-3</v>
      </c>
      <c r="L861">
        <v>8.1350361193525903E-3</v>
      </c>
      <c r="M861">
        <v>8.1328322178473387E-3</v>
      </c>
      <c r="N861">
        <v>8.1306283163420888E-3</v>
      </c>
    </row>
    <row r="862" spans="1:14" x14ac:dyDescent="0.35">
      <c r="A862">
        <v>105</v>
      </c>
      <c r="B862" t="s">
        <v>29</v>
      </c>
      <c r="C862" s="23">
        <v>43620</v>
      </c>
      <c r="D862">
        <v>8.2592086110788998E-3</v>
      </c>
      <c r="E862">
        <v>0.45456920000000001</v>
      </c>
      <c r="F862">
        <v>3.7543817744958093E-3</v>
      </c>
      <c r="G862" s="32">
        <f t="shared" si="9"/>
        <v>1.4877006582147259E-2</v>
      </c>
      <c r="H862">
        <v>9.2789981557589996E-3</v>
      </c>
      <c r="I862">
        <v>3.7514091700719021E-3</v>
      </c>
      <c r="J862">
        <v>3.748436565647995E-3</v>
      </c>
      <c r="K862">
        <v>3.7454639612240878E-3</v>
      </c>
      <c r="L862">
        <v>3.7424913568001807E-3</v>
      </c>
      <c r="M862">
        <v>3.7395187523762735E-3</v>
      </c>
      <c r="N862">
        <v>3.7365461479523664E-3</v>
      </c>
    </row>
    <row r="863" spans="1:14" x14ac:dyDescent="0.35">
      <c r="A863">
        <v>106</v>
      </c>
      <c r="B863" t="s">
        <v>29</v>
      </c>
      <c r="C863" s="23">
        <v>43621</v>
      </c>
      <c r="D863">
        <v>6.502214482843E-3</v>
      </c>
      <c r="E863">
        <v>0.43783425999999998</v>
      </c>
      <c r="F863">
        <v>2.8468922849745068E-3</v>
      </c>
      <c r="G863" s="32">
        <f t="shared" si="9"/>
        <v>1.7723898867121765E-2</v>
      </c>
      <c r="H863">
        <v>9.2504144623320999E-3</v>
      </c>
      <c r="I863">
        <v>2.8461090826740242E-3</v>
      </c>
      <c r="J863">
        <v>2.8453258803735415E-3</v>
      </c>
      <c r="K863">
        <v>2.8445426780730585E-3</v>
      </c>
      <c r="L863">
        <v>2.8437594757725758E-3</v>
      </c>
      <c r="M863">
        <v>2.8429762734720932E-3</v>
      </c>
      <c r="N863">
        <v>2.8421930711716105E-3</v>
      </c>
    </row>
    <row r="864" spans="1:14" x14ac:dyDescent="0.35">
      <c r="A864">
        <v>107</v>
      </c>
      <c r="B864" t="s">
        <v>29</v>
      </c>
      <c r="C864" s="23">
        <v>43622</v>
      </c>
      <c r="D864">
        <v>1.05912566687977E-2</v>
      </c>
      <c r="E864">
        <v>0.38438182999999998</v>
      </c>
      <c r="F864">
        <v>4.0710866276843982E-3</v>
      </c>
      <c r="G864" s="32">
        <f t="shared" si="9"/>
        <v>2.1794985494806164E-2</v>
      </c>
      <c r="H864">
        <v>9.1700693836450995E-3</v>
      </c>
      <c r="I864">
        <v>4.0685286071285532E-3</v>
      </c>
      <c r="J864">
        <v>4.0659705865727074E-3</v>
      </c>
      <c r="K864">
        <v>4.0634125660168625E-3</v>
      </c>
      <c r="L864">
        <v>4.0608545454610175E-3</v>
      </c>
      <c r="M864">
        <v>4.0582965249051726E-3</v>
      </c>
      <c r="N864">
        <v>4.0557385043493268E-3</v>
      </c>
    </row>
    <row r="865" spans="1:14" x14ac:dyDescent="0.35">
      <c r="A865">
        <v>108</v>
      </c>
      <c r="B865" t="s">
        <v>29</v>
      </c>
      <c r="C865" s="23">
        <v>43623</v>
      </c>
      <c r="D865">
        <v>5.0909708425115E-3</v>
      </c>
      <c r="E865">
        <v>0.34182665000000001</v>
      </c>
      <c r="F865">
        <v>1.7402294957181085E-3</v>
      </c>
      <c r="G865" s="32">
        <f t="shared" si="9"/>
        <v>2.3535214990524272E-2</v>
      </c>
      <c r="H865">
        <v>9.1995671603818004E-3</v>
      </c>
      <c r="I865">
        <v>1.7379805196996063E-3</v>
      </c>
      <c r="J865">
        <v>1.7357315436811042E-3</v>
      </c>
      <c r="K865">
        <v>1.733482567662602E-3</v>
      </c>
      <c r="L865">
        <v>1.7312335916440998E-3</v>
      </c>
      <c r="M865">
        <v>1.7289846156255974E-3</v>
      </c>
      <c r="N865">
        <v>1.7267356396070952E-3</v>
      </c>
    </row>
    <row r="866" spans="1:14" x14ac:dyDescent="0.35">
      <c r="A866">
        <v>109</v>
      </c>
      <c r="B866" t="s">
        <v>29</v>
      </c>
      <c r="C866" s="23">
        <v>43626</v>
      </c>
      <c r="D866">
        <v>-8.1014816610760002E-4</v>
      </c>
      <c r="E866">
        <v>0.27819212999999998</v>
      </c>
      <c r="F866">
        <v>-2.2537684614171131E-4</v>
      </c>
      <c r="G866" s="32">
        <f t="shared" si="9"/>
        <v>2.3309838144382561E-2</v>
      </c>
      <c r="H866">
        <v>9.0828874267810007E-3</v>
      </c>
      <c r="I866">
        <v>-2.2846134718987728E-4</v>
      </c>
      <c r="J866">
        <v>-2.3154584823804325E-4</v>
      </c>
      <c r="K866">
        <v>-2.3463034928620924E-4</v>
      </c>
      <c r="L866">
        <v>-2.3771485033437521E-4</v>
      </c>
      <c r="M866">
        <v>-2.4079935138254118E-4</v>
      </c>
      <c r="N866">
        <v>-2.4388385243070715E-4</v>
      </c>
    </row>
    <row r="867" spans="1:14" x14ac:dyDescent="0.35">
      <c r="A867">
        <v>110</v>
      </c>
      <c r="B867" t="s">
        <v>29</v>
      </c>
      <c r="C867" s="23">
        <v>43627</v>
      </c>
      <c r="D867">
        <v>-2.1975222712946E-3</v>
      </c>
      <c r="E867">
        <v>0.21464579</v>
      </c>
      <c r="F867">
        <v>-4.7168889973118441E-4</v>
      </c>
      <c r="G867" s="32">
        <f t="shared" si="9"/>
        <v>2.2838149244651378E-2</v>
      </c>
      <c r="H867">
        <v>8.9363911530298996E-3</v>
      </c>
      <c r="I867">
        <v>-4.7481129682607333E-4</v>
      </c>
      <c r="J867">
        <v>-4.7793369392096219E-4</v>
      </c>
      <c r="K867">
        <v>-4.810560910158511E-4</v>
      </c>
      <c r="L867">
        <v>-4.8417848811073996E-4</v>
      </c>
      <c r="M867">
        <v>-4.8730088520562888E-4</v>
      </c>
      <c r="N867">
        <v>-4.9042328230051774E-4</v>
      </c>
    </row>
    <row r="868" spans="1:14" x14ac:dyDescent="0.35">
      <c r="A868">
        <v>111</v>
      </c>
      <c r="B868" t="s">
        <v>29</v>
      </c>
      <c r="C868" s="23">
        <v>43628</v>
      </c>
      <c r="D868">
        <v>5.0304976542477004E-3</v>
      </c>
      <c r="E868">
        <v>0.14304744</v>
      </c>
      <c r="F868">
        <v>7.1959979663583664E-4</v>
      </c>
      <c r="G868" s="32">
        <f t="shared" si="9"/>
        <v>2.3557749041287213E-2</v>
      </c>
      <c r="H868">
        <v>8.8017807875974009E-3</v>
      </c>
      <c r="I868">
        <v>7.1593014473825365E-4</v>
      </c>
      <c r="J868">
        <v>7.1226049284067055E-4</v>
      </c>
      <c r="K868">
        <v>7.0859084094308756E-4</v>
      </c>
      <c r="L868">
        <v>7.0492118904550447E-4</v>
      </c>
      <c r="M868">
        <v>7.0125153714792148E-4</v>
      </c>
      <c r="N868">
        <v>6.9758188525033838E-4</v>
      </c>
    </row>
    <row r="869" spans="1:14" x14ac:dyDescent="0.35">
      <c r="A869">
        <v>112</v>
      </c>
      <c r="B869" t="s">
        <v>29</v>
      </c>
      <c r="C869" s="23">
        <v>43629</v>
      </c>
      <c r="D869">
        <v>-1.5028673471499999E-3</v>
      </c>
      <c r="E869">
        <v>0.13218577000000001</v>
      </c>
      <c r="F869">
        <v>-1.9865768058881258E-4</v>
      </c>
      <c r="G869" s="32">
        <f t="shared" si="9"/>
        <v>2.33590913606984E-2</v>
      </c>
      <c r="H869">
        <v>8.6887395155614E-3</v>
      </c>
      <c r="I869">
        <v>-1.9914839385966205E-4</v>
      </c>
      <c r="J869">
        <v>-1.9963910713051148E-4</v>
      </c>
      <c r="K869">
        <v>-2.0012982040136095E-4</v>
      </c>
      <c r="L869">
        <v>-2.0062053367221039E-4</v>
      </c>
      <c r="M869">
        <v>-2.0111124694305985E-4</v>
      </c>
      <c r="N869">
        <v>-2.0160196021390929E-4</v>
      </c>
    </row>
    <row r="870" spans="1:14" x14ac:dyDescent="0.35">
      <c r="A870">
        <v>113</v>
      </c>
      <c r="B870" t="s">
        <v>29</v>
      </c>
      <c r="C870" s="23">
        <v>43630</v>
      </c>
      <c r="D870">
        <v>5.7332085880640001E-4</v>
      </c>
      <c r="E870">
        <v>0.11076397</v>
      </c>
      <c r="F870">
        <v>6.3503292706571822E-5</v>
      </c>
      <c r="G870" s="32">
        <f t="shared" si="9"/>
        <v>2.342259465340497E-2</v>
      </c>
      <c r="H870">
        <v>8.5528633094810007E-3</v>
      </c>
      <c r="I870">
        <v>6.2434151485106433E-5</v>
      </c>
      <c r="J870">
        <v>6.1365010263641045E-5</v>
      </c>
      <c r="K870">
        <v>6.0295869042175656E-5</v>
      </c>
      <c r="L870">
        <v>5.9226727820710267E-5</v>
      </c>
      <c r="M870">
        <v>5.8157586599244879E-5</v>
      </c>
      <c r="N870">
        <v>5.708844537777949E-5</v>
      </c>
    </row>
    <row r="871" spans="1:14" x14ac:dyDescent="0.35">
      <c r="A871">
        <v>114</v>
      </c>
      <c r="B871" t="s">
        <v>29</v>
      </c>
      <c r="C871" s="23">
        <v>43633</v>
      </c>
      <c r="D871">
        <v>1.1555977799970101E-2</v>
      </c>
      <c r="E871">
        <v>0.11749738999999999</v>
      </c>
      <c r="F871">
        <v>1.3577972534921459E-3</v>
      </c>
      <c r="G871" s="32">
        <f t="shared" si="9"/>
        <v>2.4780391906897115E-2</v>
      </c>
      <c r="H871">
        <v>8.4114907417949004E-3</v>
      </c>
      <c r="I871">
        <v>1.357316216486491E-3</v>
      </c>
      <c r="J871">
        <v>1.3568351794808358E-3</v>
      </c>
      <c r="K871">
        <v>1.3563541424751809E-3</v>
      </c>
      <c r="L871">
        <v>1.355873105469526E-3</v>
      </c>
      <c r="M871">
        <v>1.355392068463871E-3</v>
      </c>
      <c r="N871">
        <v>1.3549110314582159E-3</v>
      </c>
    </row>
    <row r="872" spans="1:14" x14ac:dyDescent="0.35">
      <c r="A872">
        <v>115</v>
      </c>
      <c r="B872" t="s">
        <v>29</v>
      </c>
      <c r="C872" s="23">
        <v>43634</v>
      </c>
      <c r="D872">
        <v>2.7733910819655E-3</v>
      </c>
      <c r="E872">
        <v>0.14692299</v>
      </c>
      <c r="F872">
        <v>4.0747491208689371E-4</v>
      </c>
      <c r="G872" s="32">
        <f t="shared" si="9"/>
        <v>2.5187866818984009E-2</v>
      </c>
      <c r="H872">
        <v>8.4542449705336999E-3</v>
      </c>
      <c r="I872">
        <v>4.0586387200346581E-4</v>
      </c>
      <c r="J872">
        <v>4.0425283192003787E-4</v>
      </c>
      <c r="K872">
        <v>4.0264179183660998E-4</v>
      </c>
      <c r="L872">
        <v>4.0103075175318208E-4</v>
      </c>
      <c r="M872">
        <v>3.9941971166975414E-4</v>
      </c>
      <c r="N872">
        <v>3.9780867158632625E-4</v>
      </c>
    </row>
    <row r="873" spans="1:14" x14ac:dyDescent="0.35">
      <c r="A873">
        <v>116</v>
      </c>
      <c r="B873" t="s">
        <v>29</v>
      </c>
      <c r="C873" s="23">
        <v>43635</v>
      </c>
      <c r="D873">
        <v>1.03730075788388E-2</v>
      </c>
      <c r="E873">
        <v>0.13025110000000001</v>
      </c>
      <c r="F873">
        <v>1.3510955924638016E-3</v>
      </c>
      <c r="G873" s="32">
        <f t="shared" si="9"/>
        <v>2.6538962411447809E-2</v>
      </c>
      <c r="H873">
        <v>8.3193751409057007E-3</v>
      </c>
      <c r="I873">
        <v>1.3502819059595271E-3</v>
      </c>
      <c r="J873">
        <v>1.3494682194552527E-3</v>
      </c>
      <c r="K873">
        <v>1.3486545329509782E-3</v>
      </c>
      <c r="L873">
        <v>1.3478408464467038E-3</v>
      </c>
      <c r="M873">
        <v>1.3470271599424293E-3</v>
      </c>
      <c r="N873">
        <v>1.346213473438155E-3</v>
      </c>
    </row>
    <row r="874" spans="1:14" x14ac:dyDescent="0.35">
      <c r="A874">
        <v>117</v>
      </c>
      <c r="B874" t="s">
        <v>29</v>
      </c>
      <c r="C874" s="23">
        <v>43636</v>
      </c>
      <c r="D874">
        <v>-7.1144988944150001E-4</v>
      </c>
      <c r="E874">
        <v>0.13660027</v>
      </c>
      <c r="F874">
        <v>-9.718424760625349E-5</v>
      </c>
      <c r="G874" s="32">
        <f t="shared" si="9"/>
        <v>2.6441778163841554E-2</v>
      </c>
      <c r="H874">
        <v>8.3128645200686996E-3</v>
      </c>
      <c r="I874">
        <v>-9.755089152615894E-5</v>
      </c>
      <c r="J874">
        <v>-9.7917535446064377E-5</v>
      </c>
      <c r="K874">
        <v>-9.8284179365969827E-5</v>
      </c>
      <c r="L874">
        <v>-9.8650823285875263E-5</v>
      </c>
      <c r="M874">
        <v>-9.9017467205780713E-5</v>
      </c>
      <c r="N874">
        <v>-9.9384111125686163E-5</v>
      </c>
    </row>
    <row r="875" spans="1:14" x14ac:dyDescent="0.35">
      <c r="A875">
        <v>118</v>
      </c>
      <c r="B875" t="s">
        <v>29</v>
      </c>
      <c r="C875" s="23">
        <v>43637</v>
      </c>
      <c r="D875">
        <v>-7.4281743487219999E-4</v>
      </c>
      <c r="E875">
        <v>0.109526664</v>
      </c>
      <c r="F875">
        <v>-8.1358315616428747E-5</v>
      </c>
      <c r="G875" s="32">
        <f t="shared" si="9"/>
        <v>2.6360419848225125E-2</v>
      </c>
      <c r="H875">
        <v>8.1821363445632005E-3</v>
      </c>
      <c r="I875">
        <v>-8.2797568076417477E-5</v>
      </c>
      <c r="J875">
        <v>-8.423682053640622E-5</v>
      </c>
      <c r="K875">
        <v>-8.5676072996394951E-5</v>
      </c>
      <c r="L875">
        <v>-8.7115325456383681E-5</v>
      </c>
      <c r="M875">
        <v>-8.8554577916372411E-5</v>
      </c>
      <c r="N875">
        <v>-8.9993830376361154E-5</v>
      </c>
    </row>
    <row r="876" spans="1:14" x14ac:dyDescent="0.35">
      <c r="A876">
        <v>119</v>
      </c>
      <c r="B876" t="s">
        <v>29</v>
      </c>
      <c r="C876" s="23">
        <v>43640</v>
      </c>
      <c r="D876">
        <v>-1.19239092826425E-2</v>
      </c>
      <c r="E876">
        <v>7.1560840000000001E-2</v>
      </c>
      <c r="F876">
        <v>-8.5328493249418392E-4</v>
      </c>
      <c r="G876" s="32">
        <f t="shared" si="9"/>
        <v>2.550713491573094E-2</v>
      </c>
      <c r="H876">
        <v>8.0533621082881004E-3</v>
      </c>
      <c r="I876">
        <v>-8.5541109491480858E-4</v>
      </c>
      <c r="J876">
        <v>-8.5753725733543314E-4</v>
      </c>
      <c r="K876">
        <v>-8.5966341975605781E-4</v>
      </c>
      <c r="L876">
        <v>-8.6178958217668247E-4</v>
      </c>
      <c r="M876">
        <v>-8.6391574459730714E-4</v>
      </c>
      <c r="N876">
        <v>-8.6604190701793169E-4</v>
      </c>
    </row>
    <row r="877" spans="1:14" x14ac:dyDescent="0.35">
      <c r="A877">
        <v>120</v>
      </c>
      <c r="B877" t="s">
        <v>29</v>
      </c>
      <c r="C877" s="23">
        <v>43641</v>
      </c>
      <c r="D877">
        <v>-1.5824278729359999E-3</v>
      </c>
      <c r="E877">
        <v>4.2732566999999999E-2</v>
      </c>
      <c r="F877">
        <v>-6.7621204462144476E-5</v>
      </c>
      <c r="G877" s="32">
        <f t="shared" si="9"/>
        <v>2.5439513711268794E-2</v>
      </c>
      <c r="H877">
        <v>8.1742298309010995E-3</v>
      </c>
      <c r="I877">
        <v>-6.9349501839190283E-5</v>
      </c>
      <c r="J877">
        <v>-7.1077799216236103E-5</v>
      </c>
      <c r="K877">
        <v>-7.280609659328191E-5</v>
      </c>
      <c r="L877">
        <v>-7.453439397032773E-5</v>
      </c>
      <c r="M877">
        <v>-7.6262691347373537E-5</v>
      </c>
      <c r="N877">
        <v>-7.7990988724419358E-5</v>
      </c>
    </row>
    <row r="878" spans="1:14" x14ac:dyDescent="0.35">
      <c r="A878">
        <v>121</v>
      </c>
      <c r="B878" t="s">
        <v>29</v>
      </c>
      <c r="C878" s="23">
        <v>43642</v>
      </c>
      <c r="D878">
        <v>5.2307706529824E-3</v>
      </c>
      <c r="E878">
        <v>3.7108484999999997E-2</v>
      </c>
      <c r="F878">
        <v>1.9410597251325783E-4</v>
      </c>
      <c r="G878" s="32">
        <f t="shared" si="9"/>
        <v>2.5633619683782052E-2</v>
      </c>
      <c r="H878">
        <v>8.0479148907242996E-3</v>
      </c>
      <c r="I878">
        <v>1.9381457421037765E-4</v>
      </c>
      <c r="J878">
        <v>1.9352317590749747E-4</v>
      </c>
      <c r="K878">
        <v>1.9323177760461729E-4</v>
      </c>
      <c r="L878">
        <v>1.9294037930173711E-4</v>
      </c>
      <c r="M878">
        <v>1.9264898099885693E-4</v>
      </c>
      <c r="N878">
        <v>1.9235758269597674E-4</v>
      </c>
    </row>
    <row r="879" spans="1:14" x14ac:dyDescent="0.35">
      <c r="A879">
        <v>122</v>
      </c>
      <c r="B879" t="s">
        <v>29</v>
      </c>
      <c r="C879" s="23">
        <v>43643</v>
      </c>
      <c r="D879">
        <v>5.3770115325403999E-3</v>
      </c>
      <c r="E879">
        <v>4.6628278000000002E-2</v>
      </c>
      <c r="F879">
        <v>2.5072078719791906E-4</v>
      </c>
      <c r="G879" s="32">
        <f t="shared" si="9"/>
        <v>2.5884340470979969E-2</v>
      </c>
      <c r="H879">
        <v>7.9441983775429999E-3</v>
      </c>
      <c r="I879">
        <v>2.501261869396855E-4</v>
      </c>
      <c r="J879">
        <v>2.4953158668145195E-4</v>
      </c>
      <c r="K879">
        <v>2.4893698642321839E-4</v>
      </c>
      <c r="L879">
        <v>2.4834238616498478E-4</v>
      </c>
      <c r="M879">
        <v>2.4774778590675123E-4</v>
      </c>
      <c r="N879">
        <v>2.4715318564851767E-4</v>
      </c>
    </row>
    <row r="880" spans="1:14" x14ac:dyDescent="0.35">
      <c r="A880">
        <v>123</v>
      </c>
      <c r="B880" t="s">
        <v>29</v>
      </c>
      <c r="C880" s="23">
        <v>43644</v>
      </c>
      <c r="D880">
        <v>9.6178040459736994E-3</v>
      </c>
      <c r="E880">
        <v>5.4318289999999998E-2</v>
      </c>
      <c r="F880">
        <v>5.2242267129257484E-4</v>
      </c>
      <c r="G880" s="32">
        <f t="shared" si="9"/>
        <v>2.6406763142272544E-2</v>
      </c>
      <c r="H880">
        <v>7.8416642355697997E-3</v>
      </c>
      <c r="I880">
        <v>5.2192309331008306E-4</v>
      </c>
      <c r="J880">
        <v>5.2142351532759128E-4</v>
      </c>
      <c r="K880">
        <v>5.209239373450995E-4</v>
      </c>
      <c r="L880">
        <v>5.2042435936260783E-4</v>
      </c>
      <c r="M880">
        <v>5.1992478138011605E-4</v>
      </c>
      <c r="N880">
        <v>5.1942520339762427E-4</v>
      </c>
    </row>
    <row r="881" spans="1:14" x14ac:dyDescent="0.35">
      <c r="A881">
        <v>124</v>
      </c>
      <c r="B881" t="s">
        <v>29</v>
      </c>
      <c r="C881" s="23">
        <v>43647</v>
      </c>
      <c r="D881">
        <v>4.7864633604106999E-3</v>
      </c>
      <c r="E881">
        <v>5.1916036999999998E-2</v>
      </c>
      <c r="F881">
        <v>2.4849420774480832E-4</v>
      </c>
      <c r="G881" s="32">
        <f t="shared" si="9"/>
        <v>2.6655257350017354E-2</v>
      </c>
      <c r="H881">
        <v>7.8160405310718998E-3</v>
      </c>
      <c r="I881">
        <v>2.4835972797526056E-4</v>
      </c>
      <c r="J881">
        <v>2.4822524820571279E-4</v>
      </c>
      <c r="K881">
        <v>2.4809076843616503E-4</v>
      </c>
      <c r="L881">
        <v>2.4795628866661727E-4</v>
      </c>
      <c r="M881">
        <v>2.4782180889706951E-4</v>
      </c>
      <c r="N881">
        <v>2.4768732912752175E-4</v>
      </c>
    </row>
    <row r="882" spans="1:14" x14ac:dyDescent="0.35">
      <c r="A882">
        <v>125</v>
      </c>
      <c r="B882" t="s">
        <v>29</v>
      </c>
      <c r="C882" s="23">
        <v>43648</v>
      </c>
      <c r="D882">
        <v>8.5423239683204994E-3</v>
      </c>
      <c r="E882">
        <v>4.3959646999999998E-2</v>
      </c>
      <c r="F882">
        <v>3.7551754976974244E-4</v>
      </c>
      <c r="G882" s="32">
        <f t="shared" si="9"/>
        <v>2.7030774899787096E-2</v>
      </c>
      <c r="H882">
        <v>7.7035279372104004E-3</v>
      </c>
      <c r="I882">
        <v>3.7507542007611245E-4</v>
      </c>
      <c r="J882">
        <v>3.7463329038248247E-4</v>
      </c>
      <c r="K882">
        <v>3.7419116068885253E-4</v>
      </c>
      <c r="L882">
        <v>3.7374903099522254E-4</v>
      </c>
      <c r="M882">
        <v>3.7330690130159256E-4</v>
      </c>
      <c r="N882">
        <v>3.7286477160796257E-4</v>
      </c>
    </row>
    <row r="883" spans="1:14" x14ac:dyDescent="0.35">
      <c r="A883">
        <v>126</v>
      </c>
      <c r="B883" t="s">
        <v>29</v>
      </c>
      <c r="C883" s="23">
        <v>43649</v>
      </c>
      <c r="D883">
        <v>-4.0161692461447001E-3</v>
      </c>
      <c r="E883">
        <v>4.6179216000000002E-2</v>
      </c>
      <c r="F883">
        <v>-1.8546354853635623E-4</v>
      </c>
      <c r="G883" s="32">
        <f t="shared" si="9"/>
        <v>2.684531135125074E-2</v>
      </c>
      <c r="H883">
        <v>7.6458566929835997E-3</v>
      </c>
      <c r="I883">
        <v>-1.8562103659940926E-4</v>
      </c>
      <c r="J883">
        <v>-1.8577852466246226E-4</v>
      </c>
      <c r="K883">
        <v>-1.8593601272551529E-4</v>
      </c>
      <c r="L883">
        <v>-1.8609350078856832E-4</v>
      </c>
      <c r="M883">
        <v>-1.8625098885162133E-4</v>
      </c>
      <c r="N883">
        <v>-1.8640847691467436E-4</v>
      </c>
    </row>
    <row r="884" spans="1:14" x14ac:dyDescent="0.35">
      <c r="A884">
        <v>127</v>
      </c>
      <c r="B884" t="s">
        <v>29</v>
      </c>
      <c r="C884" s="23">
        <v>43651</v>
      </c>
      <c r="D884">
        <v>-5.0114063015304997E-3</v>
      </c>
      <c r="E884">
        <v>5.8109526000000002E-2</v>
      </c>
      <c r="F884">
        <v>-2.9121044272636189E-4</v>
      </c>
      <c r="G884" s="32">
        <f t="shared" si="9"/>
        <v>2.6554100908524378E-2</v>
      </c>
      <c r="H884">
        <v>7.5660431399322001E-3</v>
      </c>
      <c r="I884">
        <v>-2.9198552331633691E-4</v>
      </c>
      <c r="J884">
        <v>-2.9276060390631188E-4</v>
      </c>
      <c r="K884">
        <v>-2.935356844962869E-4</v>
      </c>
      <c r="L884">
        <v>-2.9431076508626192E-4</v>
      </c>
      <c r="M884">
        <v>-2.9508584567623688E-4</v>
      </c>
      <c r="N884">
        <v>-2.958609262662119E-4</v>
      </c>
    </row>
    <row r="885" spans="1:14" x14ac:dyDescent="0.35">
      <c r="A885">
        <v>128</v>
      </c>
      <c r="B885" t="s">
        <v>29</v>
      </c>
      <c r="C885" s="23">
        <v>43654</v>
      </c>
      <c r="D885">
        <v>1.4802571513152E-3</v>
      </c>
      <c r="E885">
        <v>6.6993540000000004E-2</v>
      </c>
      <c r="F885">
        <v>9.9167669660456937E-5</v>
      </c>
      <c r="G885" s="32">
        <f t="shared" si="9"/>
        <v>2.6653268578184834E-2</v>
      </c>
      <c r="H885">
        <v>7.5010880036742002E-3</v>
      </c>
      <c r="I885">
        <v>9.8576688767773758E-5</v>
      </c>
      <c r="J885">
        <v>9.798570787509058E-5</v>
      </c>
      <c r="K885">
        <v>9.7394726982407402E-5</v>
      </c>
      <c r="L885">
        <v>9.6803746089724223E-5</v>
      </c>
      <c r="M885">
        <v>9.6212765197041045E-5</v>
      </c>
      <c r="N885">
        <v>9.5621784304357853E-5</v>
      </c>
    </row>
    <row r="886" spans="1:14" x14ac:dyDescent="0.35">
      <c r="A886">
        <v>129</v>
      </c>
      <c r="B886" t="s">
        <v>29</v>
      </c>
      <c r="C886" s="23">
        <v>43655</v>
      </c>
      <c r="D886">
        <v>6.6577702542092998E-3</v>
      </c>
      <c r="E886">
        <v>8.5750859999999998E-2</v>
      </c>
      <c r="F886">
        <v>5.7090954466154826E-4</v>
      </c>
      <c r="G886" s="32">
        <f t="shared" ref="G886:G949" si="10">G885+F886</f>
        <v>2.7224178122846384E-2</v>
      </c>
      <c r="H886">
        <v>7.3771097277224003E-3</v>
      </c>
      <c r="I886">
        <v>5.6963734750943725E-4</v>
      </c>
      <c r="J886">
        <v>5.6836515035732624E-4</v>
      </c>
      <c r="K886">
        <v>5.6709295320521512E-4</v>
      </c>
      <c r="L886">
        <v>5.658207560531041E-4</v>
      </c>
      <c r="M886">
        <v>5.6454855890099309E-4</v>
      </c>
      <c r="N886">
        <v>5.6327636174888208E-4</v>
      </c>
    </row>
    <row r="887" spans="1:14" x14ac:dyDescent="0.35">
      <c r="A887">
        <v>130</v>
      </c>
      <c r="B887" t="s">
        <v>29</v>
      </c>
      <c r="C887" s="23">
        <v>43656</v>
      </c>
      <c r="D887">
        <v>2.8097598004595001E-3</v>
      </c>
      <c r="E887">
        <v>0.10978547499999999</v>
      </c>
      <c r="F887">
        <v>3.0847081387087258E-4</v>
      </c>
      <c r="G887" s="32">
        <f t="shared" si="10"/>
        <v>2.7532648936717256E-2</v>
      </c>
      <c r="H887">
        <v>7.2924919573565004E-3</v>
      </c>
      <c r="I887">
        <v>3.0684996992415032E-4</v>
      </c>
      <c r="J887">
        <v>3.0522912597742805E-4</v>
      </c>
      <c r="K887">
        <v>3.0360828203070578E-4</v>
      </c>
      <c r="L887">
        <v>3.0198743808398357E-4</v>
      </c>
      <c r="M887">
        <v>3.003665941372613E-4</v>
      </c>
      <c r="N887">
        <v>2.9874575019053903E-4</v>
      </c>
    </row>
    <row r="888" spans="1:14" x14ac:dyDescent="0.35">
      <c r="A888">
        <v>131</v>
      </c>
      <c r="B888" t="s">
        <v>29</v>
      </c>
      <c r="C888" s="23">
        <v>43657</v>
      </c>
      <c r="D888">
        <v>5.0423353125089001E-3</v>
      </c>
      <c r="E888">
        <v>0.12149709</v>
      </c>
      <c r="F888">
        <v>6.1262905305778479E-4</v>
      </c>
      <c r="G888" s="32">
        <f t="shared" si="10"/>
        <v>2.814527798977504E-2</v>
      </c>
      <c r="H888">
        <v>7.1739307158086001E-3</v>
      </c>
      <c r="I888">
        <v>6.1174021049611126E-4</v>
      </c>
      <c r="J888">
        <v>6.1085136793443784E-4</v>
      </c>
      <c r="K888">
        <v>6.0996252537276431E-4</v>
      </c>
      <c r="L888">
        <v>6.0907368281109089E-4</v>
      </c>
      <c r="M888">
        <v>6.0818484024941736E-4</v>
      </c>
      <c r="N888">
        <v>6.0729599768774394E-4</v>
      </c>
    </row>
    <row r="889" spans="1:14" x14ac:dyDescent="0.35">
      <c r="A889">
        <v>132</v>
      </c>
      <c r="B889" t="s">
        <v>29</v>
      </c>
      <c r="C889" s="23">
        <v>43658</v>
      </c>
      <c r="D889">
        <v>7.7557777952519998E-4</v>
      </c>
      <c r="E889">
        <v>0.11766146</v>
      </c>
      <c r="F889">
        <v>9.1255614839628029E-5</v>
      </c>
      <c r="G889" s="32">
        <f t="shared" si="10"/>
        <v>2.8236533604614669E-2</v>
      </c>
      <c r="H889">
        <v>7.0704058995207002E-3</v>
      </c>
      <c r="I889">
        <v>9.1116470064335397E-5</v>
      </c>
      <c r="J889">
        <v>9.0977325289042752E-5</v>
      </c>
      <c r="K889">
        <v>9.083818051375012E-5</v>
      </c>
      <c r="L889">
        <v>9.0699035738457488E-5</v>
      </c>
      <c r="M889">
        <v>9.0559890963164857E-5</v>
      </c>
      <c r="N889">
        <v>9.0420746187872225E-5</v>
      </c>
    </row>
    <row r="890" spans="1:14" x14ac:dyDescent="0.35">
      <c r="A890">
        <v>133</v>
      </c>
      <c r="B890" t="s">
        <v>29</v>
      </c>
      <c r="C890" s="23">
        <v>43661</v>
      </c>
      <c r="D890">
        <v>-4.6154459952375999E-3</v>
      </c>
      <c r="E890">
        <v>0.11483907</v>
      </c>
      <c r="F890">
        <v>-5.3003352362952414E-4</v>
      </c>
      <c r="G890" s="32">
        <f t="shared" si="10"/>
        <v>2.7706500080985144E-2</v>
      </c>
      <c r="H890">
        <v>6.9548838969351002E-3</v>
      </c>
      <c r="I890">
        <v>-5.3009465813296875E-4</v>
      </c>
      <c r="J890">
        <v>-5.3015579263641325E-4</v>
      </c>
      <c r="K890">
        <v>-5.3021692713985785E-4</v>
      </c>
      <c r="L890">
        <v>-5.3027806164330235E-4</v>
      </c>
      <c r="M890">
        <v>-5.3033919614674696E-4</v>
      </c>
      <c r="N890">
        <v>-5.3040033065019146E-4</v>
      </c>
    </row>
    <row r="891" spans="1:14" x14ac:dyDescent="0.35">
      <c r="A891">
        <v>134</v>
      </c>
      <c r="B891" t="s">
        <v>29</v>
      </c>
      <c r="C891" s="23">
        <v>43662</v>
      </c>
      <c r="D891">
        <v>-1.0030563362198E-2</v>
      </c>
      <c r="E891">
        <v>0.10857891</v>
      </c>
      <c r="F891">
        <v>-1.0891076657804425E-3</v>
      </c>
      <c r="G891" s="32">
        <f t="shared" si="10"/>
        <v>2.6617392415204701E-2</v>
      </c>
      <c r="H891">
        <v>6.8921530931009998E-3</v>
      </c>
      <c r="I891">
        <v>-1.0894657940213825E-3</v>
      </c>
      <c r="J891">
        <v>-1.0898239222623225E-3</v>
      </c>
      <c r="K891">
        <v>-1.0901820505032625E-3</v>
      </c>
      <c r="L891">
        <v>-1.0905401787442027E-3</v>
      </c>
      <c r="M891">
        <v>-1.0908983069851427E-3</v>
      </c>
      <c r="N891">
        <v>-1.0912564352260827E-3</v>
      </c>
    </row>
    <row r="892" spans="1:14" x14ac:dyDescent="0.35">
      <c r="A892">
        <v>135</v>
      </c>
      <c r="B892" t="s">
        <v>29</v>
      </c>
      <c r="C892" s="23">
        <v>43663</v>
      </c>
      <c r="D892">
        <v>5.6956879856227003E-3</v>
      </c>
      <c r="E892">
        <v>0.10252685</v>
      </c>
      <c r="F892">
        <v>5.8396095343532495E-4</v>
      </c>
      <c r="G892" s="32">
        <f t="shared" si="10"/>
        <v>2.7201353368640026E-2</v>
      </c>
      <c r="H892">
        <v>6.9472107841335E-3</v>
      </c>
      <c r="I892">
        <v>5.8349038675940346E-4</v>
      </c>
      <c r="J892">
        <v>5.8301982008348186E-4</v>
      </c>
      <c r="K892">
        <v>5.8254925340756037E-4</v>
      </c>
      <c r="L892">
        <v>5.8207868673163887E-4</v>
      </c>
      <c r="M892">
        <v>5.8160812005571727E-4</v>
      </c>
      <c r="N892">
        <v>5.8113755337979578E-4</v>
      </c>
    </row>
    <row r="893" spans="1:14" x14ac:dyDescent="0.35">
      <c r="A893">
        <v>136</v>
      </c>
      <c r="B893" t="s">
        <v>29</v>
      </c>
      <c r="C893" s="23">
        <v>43664</v>
      </c>
      <c r="D893">
        <v>-9.4229147422221996E-3</v>
      </c>
      <c r="E893">
        <v>0.11362311</v>
      </c>
      <c r="F893">
        <v>-1.0706609012690761E-3</v>
      </c>
      <c r="G893" s="32">
        <f t="shared" si="10"/>
        <v>2.6130692467370951E-2</v>
      </c>
      <c r="H893">
        <v>6.8580460391359996E-3</v>
      </c>
      <c r="I893">
        <v>-1.0715159832249477E-3</v>
      </c>
      <c r="J893">
        <v>-1.0723710651808194E-3</v>
      </c>
      <c r="K893">
        <v>-1.0732261471366911E-3</v>
      </c>
      <c r="L893">
        <v>-1.0740812290925626E-3</v>
      </c>
      <c r="M893">
        <v>-1.0749363110484343E-3</v>
      </c>
      <c r="N893">
        <v>-1.075791393004306E-3</v>
      </c>
    </row>
    <row r="894" spans="1:14" x14ac:dyDescent="0.35">
      <c r="A894">
        <v>137</v>
      </c>
      <c r="B894" t="s">
        <v>29</v>
      </c>
      <c r="C894" s="23">
        <v>43665</v>
      </c>
      <c r="D894">
        <v>5.5282172539154999E-3</v>
      </c>
      <c r="E894">
        <v>0.13072813999999999</v>
      </c>
      <c r="F894">
        <v>7.2269356173714991E-4</v>
      </c>
      <c r="G894" s="32">
        <f t="shared" si="10"/>
        <v>2.6853386029108101E-2</v>
      </c>
      <c r="H894">
        <v>6.8898266962197996E-3</v>
      </c>
      <c r="I894">
        <v>7.2155672591520841E-4</v>
      </c>
      <c r="J894">
        <v>7.2041989009326692E-4</v>
      </c>
      <c r="K894">
        <v>7.1928305427132553E-4</v>
      </c>
      <c r="L894">
        <v>7.1814621844938403E-4</v>
      </c>
      <c r="M894">
        <v>7.1700938262744254E-4</v>
      </c>
      <c r="N894">
        <v>7.1587254680550104E-4</v>
      </c>
    </row>
    <row r="895" spans="1:14" x14ac:dyDescent="0.35">
      <c r="A895">
        <v>138</v>
      </c>
      <c r="B895" t="s">
        <v>29</v>
      </c>
      <c r="C895" s="23">
        <v>43668</v>
      </c>
      <c r="D895">
        <v>8.8308275221832006E-3</v>
      </c>
      <c r="E895">
        <v>0.15015540999999999</v>
      </c>
      <c r="F895">
        <v>1.3259965287388453E-3</v>
      </c>
      <c r="G895" s="32">
        <f t="shared" si="10"/>
        <v>2.8179382557846945E-2</v>
      </c>
      <c r="H895">
        <v>6.8016968570824999E-3</v>
      </c>
      <c r="I895">
        <v>1.3245309309280631E-3</v>
      </c>
      <c r="J895">
        <v>1.3230653331172807E-3</v>
      </c>
      <c r="K895">
        <v>1.3215997353064985E-3</v>
      </c>
      <c r="L895">
        <v>1.3201341374957161E-3</v>
      </c>
      <c r="M895">
        <v>1.3186685396849339E-3</v>
      </c>
      <c r="N895">
        <v>1.3172029418741515E-3</v>
      </c>
    </row>
    <row r="896" spans="1:14" x14ac:dyDescent="0.35">
      <c r="A896">
        <v>139</v>
      </c>
      <c r="B896" t="s">
        <v>29</v>
      </c>
      <c r="C896" s="23">
        <v>43669</v>
      </c>
      <c r="D896">
        <v>6.2714324665115997E-3</v>
      </c>
      <c r="E896">
        <v>0.17749872999999999</v>
      </c>
      <c r="F896">
        <v>1.113171285775005E-3</v>
      </c>
      <c r="G896" s="32">
        <f t="shared" si="10"/>
        <v>2.9292553843621949E-2</v>
      </c>
      <c r="H896">
        <v>6.7620779886388999E-3</v>
      </c>
      <c r="I896">
        <v>1.1111997424435138E-3</v>
      </c>
      <c r="J896">
        <v>1.1092281991120225E-3</v>
      </c>
      <c r="K896">
        <v>1.1072566557805313E-3</v>
      </c>
      <c r="L896">
        <v>1.10528511244904E-3</v>
      </c>
      <c r="M896">
        <v>1.1033135691175487E-3</v>
      </c>
      <c r="N896">
        <v>1.1013420257860573E-3</v>
      </c>
    </row>
    <row r="897" spans="1:14" x14ac:dyDescent="0.35">
      <c r="A897">
        <v>140</v>
      </c>
      <c r="B897" t="s">
        <v>29</v>
      </c>
      <c r="C897" s="23">
        <v>43670</v>
      </c>
      <c r="D897">
        <v>-7.0231055372157996E-3</v>
      </c>
      <c r="E897">
        <v>0.18752456000000001</v>
      </c>
      <c r="F897">
        <v>-1.3170047554287979E-3</v>
      </c>
      <c r="G897" s="32">
        <f t="shared" si="10"/>
        <v>2.797554908819315E-2</v>
      </c>
      <c r="H897">
        <v>6.6792923759263004E-3</v>
      </c>
      <c r="I897">
        <v>-1.3178676361603487E-3</v>
      </c>
      <c r="J897">
        <v>-1.3187305168918995E-3</v>
      </c>
      <c r="K897">
        <v>-1.3195933976234502E-3</v>
      </c>
      <c r="L897">
        <v>-1.320456278355001E-3</v>
      </c>
      <c r="M897">
        <v>-1.3213191590865517E-3</v>
      </c>
      <c r="N897">
        <v>-1.3221820398181025E-3</v>
      </c>
    </row>
    <row r="898" spans="1:14" x14ac:dyDescent="0.35">
      <c r="A898">
        <v>141</v>
      </c>
      <c r="B898" t="s">
        <v>29</v>
      </c>
      <c r="C898" s="23">
        <v>43671</v>
      </c>
      <c r="D898">
        <v>8.4946624269411006E-3</v>
      </c>
      <c r="E898">
        <v>0.16399361000000001</v>
      </c>
      <c r="F898">
        <v>1.3930703735354284E-3</v>
      </c>
      <c r="G898" s="32">
        <f t="shared" si="10"/>
        <v>2.9368619461728578E-2</v>
      </c>
      <c r="H898">
        <v>6.6597229211612001E-3</v>
      </c>
      <c r="I898">
        <v>1.3914400130819E-3</v>
      </c>
      <c r="J898">
        <v>1.3898096526283716E-3</v>
      </c>
      <c r="K898">
        <v>1.3881792921748431E-3</v>
      </c>
      <c r="L898">
        <v>1.3865489317213147E-3</v>
      </c>
      <c r="M898">
        <v>1.3849185712677863E-3</v>
      </c>
      <c r="N898">
        <v>1.3832882108142579E-3</v>
      </c>
    </row>
    <row r="899" spans="1:14" x14ac:dyDescent="0.35">
      <c r="A899">
        <v>142</v>
      </c>
      <c r="B899" t="s">
        <v>29</v>
      </c>
      <c r="C899" s="23">
        <v>43672</v>
      </c>
      <c r="D899">
        <v>-1.2993717543593E-3</v>
      </c>
      <c r="E899">
        <v>0.14873392999999999</v>
      </c>
      <c r="F899">
        <v>-1.9326066599712543E-4</v>
      </c>
      <c r="G899" s="32">
        <f t="shared" si="10"/>
        <v>2.9175358795731451E-2</v>
      </c>
      <c r="H899">
        <v>6.6120582633227998E-3</v>
      </c>
      <c r="I899">
        <v>-1.9426715960234805E-4</v>
      </c>
      <c r="J899">
        <v>-1.9527365320757067E-4</v>
      </c>
      <c r="K899">
        <v>-1.9628014681279327E-4</v>
      </c>
      <c r="L899">
        <v>-1.9728664041801589E-4</v>
      </c>
      <c r="M899">
        <v>-1.9829313402323852E-4</v>
      </c>
      <c r="N899">
        <v>-1.9929962762846114E-4</v>
      </c>
    </row>
    <row r="900" spans="1:14" x14ac:dyDescent="0.35">
      <c r="A900">
        <v>143</v>
      </c>
      <c r="B900" t="s">
        <v>29</v>
      </c>
      <c r="C900" s="23">
        <v>43675</v>
      </c>
      <c r="D900">
        <v>-4.5612860683163997E-3</v>
      </c>
      <c r="E900">
        <v>0.14549996000000001</v>
      </c>
      <c r="F900">
        <v>-6.6366693860957552E-4</v>
      </c>
      <c r="G900" s="32">
        <f t="shared" si="10"/>
        <v>2.8511691857121876E-2</v>
      </c>
      <c r="H900">
        <v>6.5128151593661998E-3</v>
      </c>
      <c r="I900">
        <v>-6.6373959372198054E-4</v>
      </c>
      <c r="J900">
        <v>-6.6381224883438556E-4</v>
      </c>
      <c r="K900">
        <v>-6.6388490394679047E-4</v>
      </c>
      <c r="L900">
        <v>-6.6395755905919549E-4</v>
      </c>
      <c r="M900">
        <v>-6.6403021417160051E-4</v>
      </c>
      <c r="N900">
        <v>-6.6410286928400553E-4</v>
      </c>
    </row>
    <row r="901" spans="1:14" x14ac:dyDescent="0.35">
      <c r="A901">
        <v>144</v>
      </c>
      <c r="B901" t="s">
        <v>29</v>
      </c>
      <c r="C901" s="23">
        <v>43676</v>
      </c>
      <c r="D901">
        <v>-1.45923422074001E-2</v>
      </c>
      <c r="E901">
        <v>0.14025578</v>
      </c>
      <c r="F901">
        <v>-2.0466603241411736E-3</v>
      </c>
      <c r="G901" s="32">
        <f t="shared" si="10"/>
        <v>2.6465031532980701E-2</v>
      </c>
      <c r="H901">
        <v>6.4490571344136003E-3</v>
      </c>
      <c r="I901">
        <v>-2.046940160413372E-3</v>
      </c>
      <c r="J901">
        <v>-2.0472199966855703E-3</v>
      </c>
      <c r="K901">
        <v>-2.0474998329577687E-3</v>
      </c>
      <c r="L901">
        <v>-2.0477796692299666E-3</v>
      </c>
      <c r="M901">
        <v>-2.0480595055021649E-3</v>
      </c>
      <c r="N901">
        <v>-2.0483393417743633E-3</v>
      </c>
    </row>
    <row r="902" spans="1:14" x14ac:dyDescent="0.35">
      <c r="A902">
        <v>145</v>
      </c>
      <c r="B902" t="s">
        <v>29</v>
      </c>
      <c r="C902" s="23">
        <v>43677</v>
      </c>
      <c r="D902">
        <v>-1.4444162719549999E-2</v>
      </c>
      <c r="E902">
        <v>0.13393484</v>
      </c>
      <c r="F902">
        <v>-1.9345766308650389E-3</v>
      </c>
      <c r="G902" s="32">
        <f t="shared" si="10"/>
        <v>2.4530454902115664E-2</v>
      </c>
      <c r="H902">
        <v>6.6355961746007996E-3</v>
      </c>
      <c r="I902">
        <v>-1.9353155354638967E-3</v>
      </c>
      <c r="J902">
        <v>-1.9360544400627547E-3</v>
      </c>
      <c r="K902">
        <v>-1.9367933446616124E-3</v>
      </c>
      <c r="L902">
        <v>-1.9375322492604702E-3</v>
      </c>
      <c r="M902">
        <v>-1.9382711538593279E-3</v>
      </c>
      <c r="N902">
        <v>-1.9390100584581859E-3</v>
      </c>
    </row>
    <row r="903" spans="1:14" x14ac:dyDescent="0.35">
      <c r="A903">
        <v>146</v>
      </c>
      <c r="B903" t="s">
        <v>29</v>
      </c>
      <c r="C903" s="23">
        <v>43678</v>
      </c>
      <c r="D903">
        <v>-9.1759001712290005E-3</v>
      </c>
      <c r="E903">
        <v>0.12916437</v>
      </c>
      <c r="F903">
        <v>-1.1851993456605918E-3</v>
      </c>
      <c r="G903" s="32">
        <f t="shared" si="10"/>
        <v>2.3345255556455072E-2</v>
      </c>
      <c r="H903">
        <v>6.8023749512211001E-3</v>
      </c>
      <c r="I903">
        <v>-1.1857644818644884E-3</v>
      </c>
      <c r="J903">
        <v>-1.1863296180683852E-3</v>
      </c>
      <c r="K903">
        <v>-1.1868947542722818E-3</v>
      </c>
      <c r="L903">
        <v>-1.1874598904761786E-3</v>
      </c>
      <c r="M903">
        <v>-1.1880250266800751E-3</v>
      </c>
      <c r="N903">
        <v>-1.1885901628839719E-3</v>
      </c>
    </row>
    <row r="904" spans="1:14" x14ac:dyDescent="0.35">
      <c r="A904">
        <v>147</v>
      </c>
      <c r="B904" t="s">
        <v>29</v>
      </c>
      <c r="C904" s="23">
        <v>43679</v>
      </c>
      <c r="D904">
        <v>-4.8566365324304903E-2</v>
      </c>
      <c r="E904">
        <v>0.15459709999999999</v>
      </c>
      <c r="F904">
        <v>-7.5082194113098109E-3</v>
      </c>
      <c r="G904" s="32">
        <f t="shared" si="10"/>
        <v>1.5837036145145263E-2</v>
      </c>
      <c r="H904">
        <v>6.8005060435035996E-3</v>
      </c>
      <c r="I904">
        <v>-7.5099887807768577E-3</v>
      </c>
      <c r="J904">
        <v>-7.5117581502439044E-3</v>
      </c>
      <c r="K904">
        <v>-7.5135275197109521E-3</v>
      </c>
      <c r="L904">
        <v>-7.5152968891779989E-3</v>
      </c>
      <c r="M904">
        <v>-7.5170662586450457E-3</v>
      </c>
      <c r="N904">
        <v>-7.5188356281120925E-3</v>
      </c>
    </row>
    <row r="905" spans="1:14" x14ac:dyDescent="0.35">
      <c r="A905">
        <v>148</v>
      </c>
      <c r="B905" t="s">
        <v>29</v>
      </c>
      <c r="C905" s="23">
        <v>43682</v>
      </c>
      <c r="D905">
        <v>1.67512213185213E-2</v>
      </c>
      <c r="E905">
        <v>0.10773186999999999</v>
      </c>
      <c r="F905">
        <v>1.8046404193202729E-3</v>
      </c>
      <c r="G905" s="32">
        <f t="shared" si="10"/>
        <v>1.7641676564465535E-2</v>
      </c>
      <c r="H905">
        <v>9.1688719645671001E-3</v>
      </c>
      <c r="I905">
        <v>1.7994512336928573E-3</v>
      </c>
      <c r="J905">
        <v>1.7942620480654416E-3</v>
      </c>
      <c r="K905">
        <v>1.789072862438026E-3</v>
      </c>
      <c r="L905">
        <v>1.7838836768106104E-3</v>
      </c>
      <c r="M905">
        <v>1.7786944911831947E-3</v>
      </c>
      <c r="N905">
        <v>1.7735053055557791E-3</v>
      </c>
    </row>
    <row r="906" spans="1:14" x14ac:dyDescent="0.35">
      <c r="A906">
        <v>149</v>
      </c>
      <c r="B906" t="s">
        <v>29</v>
      </c>
      <c r="C906" s="23">
        <v>43683</v>
      </c>
      <c r="D906">
        <v>1.5489623089110999E-3</v>
      </c>
      <c r="E906">
        <v>0.22508275999999999</v>
      </c>
      <c r="F906">
        <v>3.4864470401842879E-4</v>
      </c>
      <c r="G906" s="32">
        <f t="shared" si="10"/>
        <v>1.7990321268483964E-2</v>
      </c>
      <c r="H906">
        <v>9.5449524800644992E-3</v>
      </c>
      <c r="I906">
        <v>3.4305479993112863E-4</v>
      </c>
      <c r="J906">
        <v>3.3746489584382853E-4</v>
      </c>
      <c r="K906">
        <v>3.3187499175652837E-4</v>
      </c>
      <c r="L906">
        <v>3.2628508766922821E-4</v>
      </c>
      <c r="M906">
        <v>3.2069518358192811E-4</v>
      </c>
      <c r="N906">
        <v>3.1510527949462795E-4</v>
      </c>
    </row>
    <row r="907" spans="1:14" x14ac:dyDescent="0.35">
      <c r="A907">
        <v>150</v>
      </c>
      <c r="B907" t="s">
        <v>29</v>
      </c>
      <c r="C907" s="23">
        <v>43684</v>
      </c>
      <c r="D907">
        <v>2.0774601926003201E-2</v>
      </c>
      <c r="E907">
        <v>0.28520869999999998</v>
      </c>
      <c r="F907">
        <v>5.9250972516978221E-3</v>
      </c>
      <c r="G907" s="32">
        <f t="shared" si="10"/>
        <v>2.3915418520181787E-2</v>
      </c>
      <c r="H907">
        <v>9.3952288695130001E-3</v>
      </c>
      <c r="I907">
        <v>5.9218961654525504E-3</v>
      </c>
      <c r="J907">
        <v>5.9186950792072795E-3</v>
      </c>
      <c r="K907">
        <v>5.9154939929620077E-3</v>
      </c>
      <c r="L907">
        <v>5.9122929067167368E-3</v>
      </c>
      <c r="M907">
        <v>5.9090918204714651E-3</v>
      </c>
      <c r="N907">
        <v>5.9058907342261933E-3</v>
      </c>
    </row>
    <row r="908" spans="1:14" x14ac:dyDescent="0.35">
      <c r="A908">
        <v>151</v>
      </c>
      <c r="B908" t="s">
        <v>29</v>
      </c>
      <c r="C908" s="23">
        <v>43685</v>
      </c>
      <c r="D908">
        <v>-6.5131449163703999E-3</v>
      </c>
      <c r="E908">
        <v>0.3569444</v>
      </c>
      <c r="F908">
        <v>-2.3248306823992035E-3</v>
      </c>
      <c r="G908" s="32">
        <f t="shared" si="10"/>
        <v>2.1590587837782584E-2</v>
      </c>
      <c r="H908">
        <v>9.9925871479388997E-3</v>
      </c>
      <c r="I908">
        <v>-2.3273650100616144E-3</v>
      </c>
      <c r="J908">
        <v>-2.3298993377240257E-3</v>
      </c>
      <c r="K908">
        <v>-2.3324336653864366E-3</v>
      </c>
      <c r="L908">
        <v>-2.3349679930488479E-3</v>
      </c>
      <c r="M908">
        <v>-2.3375023207112587E-3</v>
      </c>
      <c r="N908">
        <v>-2.3400366483736696E-3</v>
      </c>
    </row>
    <row r="909" spans="1:14" x14ac:dyDescent="0.35">
      <c r="A909">
        <v>152</v>
      </c>
      <c r="B909" t="s">
        <v>29</v>
      </c>
      <c r="C909" s="23">
        <v>43686</v>
      </c>
      <c r="D909">
        <v>-1.29011046862676E-2</v>
      </c>
      <c r="E909">
        <v>0.31253710000000001</v>
      </c>
      <c r="F909">
        <v>-4.0320738956454915E-3</v>
      </c>
      <c r="G909" s="32">
        <f t="shared" si="10"/>
        <v>1.7558513942137092E-2</v>
      </c>
      <c r="H909">
        <v>9.9086734909352003E-3</v>
      </c>
      <c r="I909">
        <v>-4.0340483580551577E-3</v>
      </c>
      <c r="J909">
        <v>-4.0360228204648248E-3</v>
      </c>
      <c r="K909">
        <v>-4.037997282874491E-3</v>
      </c>
      <c r="L909">
        <v>-4.0399717452841571E-3</v>
      </c>
      <c r="M909">
        <v>-4.0419462076938242E-3</v>
      </c>
      <c r="N909">
        <v>-4.0439206701034904E-3</v>
      </c>
    </row>
    <row r="910" spans="1:14" x14ac:dyDescent="0.35">
      <c r="A910">
        <v>153</v>
      </c>
      <c r="B910" t="s">
        <v>29</v>
      </c>
      <c r="C910" s="23">
        <v>43689</v>
      </c>
      <c r="D910">
        <v>1.6909316178684599E-2</v>
      </c>
      <c r="E910">
        <v>0.25110601999999999</v>
      </c>
      <c r="F910">
        <v>4.2460311506112335E-3</v>
      </c>
      <c r="G910" s="32">
        <f t="shared" si="10"/>
        <v>2.1804545092748324E-2</v>
      </c>
      <c r="H910">
        <v>1.00402635440714E-2</v>
      </c>
      <c r="I910">
        <v>4.2429451324720374E-3</v>
      </c>
      <c r="J910">
        <v>4.2398591143328413E-3</v>
      </c>
      <c r="K910">
        <v>4.2367730961936452E-3</v>
      </c>
      <c r="L910">
        <v>4.2336870780544491E-3</v>
      </c>
      <c r="M910">
        <v>4.2306010599152529E-3</v>
      </c>
      <c r="N910">
        <v>4.2275150417760568E-3</v>
      </c>
    </row>
    <row r="911" spans="1:14" x14ac:dyDescent="0.35">
      <c r="A911">
        <v>154</v>
      </c>
      <c r="B911" t="s">
        <v>29</v>
      </c>
      <c r="C911" s="23">
        <v>43690</v>
      </c>
      <c r="D911">
        <v>-2.823094800506E-2</v>
      </c>
      <c r="E911">
        <v>0.31113817999999999</v>
      </c>
      <c r="F911">
        <v>-8.7837258632316208E-3</v>
      </c>
      <c r="G911" s="32">
        <f t="shared" si="10"/>
        <v>1.3020819229516704E-2</v>
      </c>
      <c r="H911">
        <v>1.04168025851278E-2</v>
      </c>
      <c r="I911">
        <v>-8.7860215118053774E-3</v>
      </c>
      <c r="J911">
        <v>-8.7883171603791339E-3</v>
      </c>
      <c r="K911">
        <v>-8.7906128089528905E-3</v>
      </c>
      <c r="L911">
        <v>-8.7929084575266488E-3</v>
      </c>
      <c r="M911">
        <v>-8.7952041061004054E-3</v>
      </c>
      <c r="N911">
        <v>-8.797499754674162E-3</v>
      </c>
    </row>
    <row r="912" spans="1:14" x14ac:dyDescent="0.35">
      <c r="A912">
        <v>155</v>
      </c>
      <c r="B912" t="s">
        <v>29</v>
      </c>
      <c r="C912" s="23">
        <v>43691</v>
      </c>
      <c r="D912">
        <v>2.2073806604126001E-3</v>
      </c>
      <c r="E912">
        <v>0.20487032999999999</v>
      </c>
      <c r="F912">
        <v>4.5222680059758694E-4</v>
      </c>
      <c r="G912" s="32">
        <f t="shared" si="10"/>
        <v>1.347304603011429E-2</v>
      </c>
      <c r="H912">
        <v>1.16783756985383E-2</v>
      </c>
      <c r="I912">
        <v>4.4640323393115207E-4</v>
      </c>
      <c r="J912">
        <v>4.4057966726471719E-4</v>
      </c>
      <c r="K912">
        <v>4.3475610059828226E-4</v>
      </c>
      <c r="L912">
        <v>4.2893253393184739E-4</v>
      </c>
      <c r="M912">
        <v>4.2310896726541252E-4</v>
      </c>
      <c r="N912">
        <v>4.1728540059897759E-4</v>
      </c>
    </row>
    <row r="913" spans="1:14" x14ac:dyDescent="0.35">
      <c r="A913">
        <v>156</v>
      </c>
      <c r="B913" t="s">
        <v>29</v>
      </c>
      <c r="C913" s="23">
        <v>43692</v>
      </c>
      <c r="D913">
        <v>1.2399151271437E-2</v>
      </c>
      <c r="E913">
        <v>0.24576971</v>
      </c>
      <c r="F913">
        <v>3.04733580415137E-3</v>
      </c>
      <c r="G913" s="32">
        <f t="shared" si="10"/>
        <v>1.6520381834265661E-2</v>
      </c>
      <c r="H913">
        <v>1.15040632802324E-2</v>
      </c>
      <c r="I913">
        <v>3.0455305404659821E-3</v>
      </c>
      <c r="J913">
        <v>3.0437252767805943E-3</v>
      </c>
      <c r="K913">
        <v>3.0419200130952064E-3</v>
      </c>
      <c r="L913">
        <v>3.0401147494098185E-3</v>
      </c>
      <c r="M913">
        <v>3.0383094857244306E-3</v>
      </c>
      <c r="N913">
        <v>3.0365042220390427E-3</v>
      </c>
    </row>
    <row r="914" spans="1:14" x14ac:dyDescent="0.35">
      <c r="A914">
        <v>157</v>
      </c>
      <c r="B914" t="s">
        <v>29</v>
      </c>
      <c r="C914" s="23">
        <v>43693</v>
      </c>
      <c r="D914">
        <v>9.0317914061763E-3</v>
      </c>
      <c r="E914">
        <v>0.30870438</v>
      </c>
      <c r="F914">
        <v>2.7881535321991617E-3</v>
      </c>
      <c r="G914" s="32">
        <f t="shared" si="10"/>
        <v>1.9308535366464822E-2</v>
      </c>
      <c r="H914">
        <v>1.16687305721735E-2</v>
      </c>
      <c r="I914">
        <v>2.7857478056152653E-3</v>
      </c>
      <c r="J914">
        <v>2.783342079031369E-3</v>
      </c>
      <c r="K914">
        <v>2.7809363524474722E-3</v>
      </c>
      <c r="L914">
        <v>2.7785306258635758E-3</v>
      </c>
      <c r="M914">
        <v>2.7761248992796794E-3</v>
      </c>
      <c r="N914">
        <v>2.773719172695783E-3</v>
      </c>
    </row>
    <row r="915" spans="1:14" x14ac:dyDescent="0.35">
      <c r="A915">
        <v>158</v>
      </c>
      <c r="B915" t="s">
        <v>29</v>
      </c>
      <c r="C915" s="23">
        <v>43696</v>
      </c>
      <c r="D915">
        <v>-7.0690050427365996E-3</v>
      </c>
      <c r="E915">
        <v>0.30985525000000003</v>
      </c>
      <c r="F915">
        <v>-2.1903683424716637E-3</v>
      </c>
      <c r="G915" s="32">
        <f t="shared" si="10"/>
        <v>1.7118167023993158E-2</v>
      </c>
      <c r="H915">
        <v>1.16582306373625E-2</v>
      </c>
      <c r="I915">
        <v>-2.1904262402060435E-3</v>
      </c>
      <c r="J915">
        <v>-2.1904841379404233E-3</v>
      </c>
      <c r="K915">
        <v>-2.1905420356748031E-3</v>
      </c>
      <c r="L915">
        <v>-2.190599933409183E-3</v>
      </c>
      <c r="M915">
        <v>-2.1906578311435628E-3</v>
      </c>
      <c r="N915">
        <v>-2.1907157288779426E-3</v>
      </c>
    </row>
    <row r="916" spans="1:14" x14ac:dyDescent="0.35">
      <c r="A916">
        <v>159</v>
      </c>
      <c r="B916" t="s">
        <v>29</v>
      </c>
      <c r="C916" s="23">
        <v>43697</v>
      </c>
      <c r="D916">
        <v>8.7322393510762004E-3</v>
      </c>
      <c r="E916">
        <v>0.24172627999999999</v>
      </c>
      <c r="F916">
        <v>2.1108117279322997E-3</v>
      </c>
      <c r="G916" s="32">
        <f t="shared" si="10"/>
        <v>1.9228978751925457E-2</v>
      </c>
      <c r="H916">
        <v>1.1574205972701999E-2</v>
      </c>
      <c r="I916">
        <v>2.1081218833080531E-3</v>
      </c>
      <c r="J916">
        <v>2.1054320386838066E-3</v>
      </c>
      <c r="K916">
        <v>2.1027421940595604E-3</v>
      </c>
      <c r="L916">
        <v>2.1000523494353138E-3</v>
      </c>
      <c r="M916">
        <v>2.0973625048110673E-3</v>
      </c>
      <c r="N916">
        <v>2.0946726601868207E-3</v>
      </c>
    </row>
    <row r="917" spans="1:14" x14ac:dyDescent="0.35">
      <c r="A917">
        <v>160</v>
      </c>
      <c r="B917" t="s">
        <v>29</v>
      </c>
      <c r="C917" s="23">
        <v>43698</v>
      </c>
      <c r="D917">
        <v>-1.9550503875297E-3</v>
      </c>
      <c r="E917">
        <v>0.26123816</v>
      </c>
      <c r="F917">
        <v>-5.1073376154507145E-4</v>
      </c>
      <c r="G917" s="32">
        <f t="shared" si="10"/>
        <v>1.8718244990380384E-2</v>
      </c>
      <c r="H917">
        <v>1.1549804553526499E-2</v>
      </c>
      <c r="I917">
        <v>-5.1155275978736255E-4</v>
      </c>
      <c r="J917">
        <v>-5.1237175802965366E-4</v>
      </c>
      <c r="K917">
        <v>-5.1319075627194466E-4</v>
      </c>
      <c r="L917">
        <v>-5.1400975451423576E-4</v>
      </c>
      <c r="M917">
        <v>-5.1482875275652687E-4</v>
      </c>
      <c r="N917">
        <v>-5.1564775099881797E-4</v>
      </c>
    </row>
    <row r="918" spans="1:14" x14ac:dyDescent="0.35">
      <c r="A918">
        <v>161</v>
      </c>
      <c r="B918" t="s">
        <v>29</v>
      </c>
      <c r="C918" s="23">
        <v>43699</v>
      </c>
      <c r="D918">
        <v>-1.89861558761335E-2</v>
      </c>
      <c r="E918">
        <v>0.22306512000000001</v>
      </c>
      <c r="F918">
        <v>-4.2351491950853798E-3</v>
      </c>
      <c r="G918" s="32">
        <f t="shared" si="10"/>
        <v>1.4483095795295005E-2</v>
      </c>
      <c r="H918">
        <v>1.1368099059341E-2</v>
      </c>
      <c r="I918">
        <v>-4.2365648512195063E-3</v>
      </c>
      <c r="J918">
        <v>-4.2379805073536328E-3</v>
      </c>
      <c r="K918">
        <v>-4.2393961634877592E-3</v>
      </c>
      <c r="L918">
        <v>-4.2408118196218857E-3</v>
      </c>
      <c r="M918">
        <v>-4.2422274757560113E-3</v>
      </c>
      <c r="N918">
        <v>-4.2436431318901378E-3</v>
      </c>
    </row>
    <row r="919" spans="1:14" x14ac:dyDescent="0.35">
      <c r="A919">
        <v>162</v>
      </c>
      <c r="B919" t="s">
        <v>29</v>
      </c>
      <c r="C919" s="23">
        <v>43700</v>
      </c>
      <c r="D919">
        <v>7.7077843954489996E-3</v>
      </c>
      <c r="E919">
        <v>0.1379618</v>
      </c>
      <c r="F919">
        <v>1.0633798467202297E-3</v>
      </c>
      <c r="G919" s="32">
        <f t="shared" si="10"/>
        <v>1.5546475642015235E-2</v>
      </c>
      <c r="H919">
        <v>1.19135791283767E-2</v>
      </c>
      <c r="I919">
        <v>1.0595804477236041E-3</v>
      </c>
      <c r="J919">
        <v>1.0557810487269786E-3</v>
      </c>
      <c r="K919">
        <v>1.0519816497303531E-3</v>
      </c>
      <c r="L919">
        <v>1.0481822507337276E-3</v>
      </c>
      <c r="M919">
        <v>1.044382851737102E-3</v>
      </c>
      <c r="N919">
        <v>1.0405834527404765E-3</v>
      </c>
    </row>
    <row r="920" spans="1:14" x14ac:dyDescent="0.35">
      <c r="A920">
        <v>163</v>
      </c>
      <c r="B920" t="s">
        <v>29</v>
      </c>
      <c r="C920" s="23">
        <v>43703</v>
      </c>
      <c r="D920">
        <v>-4.9029881446635004E-3</v>
      </c>
      <c r="E920">
        <v>0.19855825999999999</v>
      </c>
      <c r="F920">
        <v>-9.7352877534055552E-4</v>
      </c>
      <c r="G920" s="32">
        <f t="shared" si="10"/>
        <v>1.457294686667468E-2</v>
      </c>
      <c r="H920">
        <v>1.18644115291053E-2</v>
      </c>
      <c r="I920">
        <v>-9.7596447440132525E-4</v>
      </c>
      <c r="J920">
        <v>-9.7840017346209488E-4</v>
      </c>
      <c r="K920">
        <v>-9.8083587252286472E-4</v>
      </c>
      <c r="L920">
        <v>-9.8327157158363434E-4</v>
      </c>
      <c r="M920">
        <v>-9.8570727064440419E-4</v>
      </c>
      <c r="N920">
        <v>-9.8814296970517381E-4</v>
      </c>
    </row>
    <row r="921" spans="1:14" x14ac:dyDescent="0.35">
      <c r="A921">
        <v>164</v>
      </c>
      <c r="B921" t="s">
        <v>29</v>
      </c>
      <c r="C921" s="23">
        <v>43704</v>
      </c>
      <c r="D921">
        <v>6.8258917757412002E-3</v>
      </c>
      <c r="E921">
        <v>0.17678306999999999</v>
      </c>
      <c r="F921">
        <v>1.2067021033863785E-3</v>
      </c>
      <c r="G921" s="32">
        <f t="shared" si="10"/>
        <v>1.577964897006106E-2</v>
      </c>
      <c r="H921">
        <v>1.17150169294408E-2</v>
      </c>
      <c r="I921">
        <v>1.2059247621071488E-3</v>
      </c>
      <c r="J921">
        <v>1.2051474208279193E-3</v>
      </c>
      <c r="K921">
        <v>1.2043700795486896E-3</v>
      </c>
      <c r="L921">
        <v>1.20359273826946E-3</v>
      </c>
      <c r="M921">
        <v>1.2028153969902303E-3</v>
      </c>
      <c r="N921">
        <v>1.2020380557110008E-3</v>
      </c>
    </row>
    <row r="922" spans="1:14" x14ac:dyDescent="0.35">
      <c r="A922">
        <v>165</v>
      </c>
      <c r="B922" t="s">
        <v>29</v>
      </c>
      <c r="C922" s="23">
        <v>43705</v>
      </c>
      <c r="D922">
        <v>1.0399363062011301E-2</v>
      </c>
      <c r="E922">
        <v>0.20325241999999999</v>
      </c>
      <c r="F922">
        <v>2.1136957070379491E-3</v>
      </c>
      <c r="G922" s="32">
        <f t="shared" si="10"/>
        <v>1.7893344677099007E-2</v>
      </c>
      <c r="H922">
        <v>1.1633910000532601E-2</v>
      </c>
      <c r="I922">
        <v>2.1125710773767406E-3</v>
      </c>
      <c r="J922">
        <v>2.1114464477155321E-3</v>
      </c>
      <c r="K922">
        <v>2.1103218180543236E-3</v>
      </c>
      <c r="L922">
        <v>2.1091971883931155E-3</v>
      </c>
      <c r="M922">
        <v>2.108072558731907E-3</v>
      </c>
      <c r="N922">
        <v>2.1069479290706985E-3</v>
      </c>
    </row>
    <row r="923" spans="1:14" x14ac:dyDescent="0.35">
      <c r="A923">
        <v>166</v>
      </c>
      <c r="B923" t="s">
        <v>29</v>
      </c>
      <c r="C923" s="23">
        <v>43706</v>
      </c>
      <c r="D923">
        <v>-5.5289619405260004E-4</v>
      </c>
      <c r="E923">
        <v>0.20019250999999999</v>
      </c>
      <c r="F923">
        <v>-1.1068567745490243E-4</v>
      </c>
      <c r="G923" s="32">
        <f t="shared" si="10"/>
        <v>1.7782658999644103E-2</v>
      </c>
      <c r="H923">
        <v>1.1678626167000199E-2</v>
      </c>
      <c r="I923">
        <v>-1.1084106914532931E-4</v>
      </c>
      <c r="J923">
        <v>-1.1099646083575617E-4</v>
      </c>
      <c r="K923">
        <v>-1.1115185252618305E-4</v>
      </c>
      <c r="L923">
        <v>-1.1130724421660993E-4</v>
      </c>
      <c r="M923">
        <v>-1.1146263590703681E-4</v>
      </c>
      <c r="N923">
        <v>-1.1161802759746368E-4</v>
      </c>
    </row>
    <row r="924" spans="1:14" x14ac:dyDescent="0.35">
      <c r="A924">
        <v>167</v>
      </c>
      <c r="B924" t="s">
        <v>29</v>
      </c>
      <c r="C924" s="23">
        <v>43707</v>
      </c>
      <c r="D924">
        <v>-5.2736300047364999E-3</v>
      </c>
      <c r="E924">
        <v>0.12683610000000001</v>
      </c>
      <c r="F924">
        <v>-6.6888669524082936E-4</v>
      </c>
      <c r="G924" s="32">
        <f t="shared" si="10"/>
        <v>1.7113772304403273E-2</v>
      </c>
      <c r="H924">
        <v>1.1486662330349499E-2</v>
      </c>
      <c r="I924">
        <v>-6.7176855759965644E-4</v>
      </c>
      <c r="J924">
        <v>-6.7465041995848341E-4</v>
      </c>
      <c r="K924">
        <v>-6.7753228231731048E-4</v>
      </c>
      <c r="L924">
        <v>-6.8041414467613756E-4</v>
      </c>
      <c r="M924">
        <v>-6.8329600703496453E-4</v>
      </c>
      <c r="N924">
        <v>-6.861778693937916E-4</v>
      </c>
    </row>
    <row r="925" spans="1:14" x14ac:dyDescent="0.35">
      <c r="A925">
        <v>168</v>
      </c>
      <c r="B925" t="s">
        <v>29</v>
      </c>
      <c r="C925" s="23">
        <v>43711</v>
      </c>
      <c r="D925">
        <v>9.3038471116319993E-3</v>
      </c>
      <c r="E925">
        <v>5.9785489999999997E-2</v>
      </c>
      <c r="F925">
        <v>5.5623504908437348E-4</v>
      </c>
      <c r="G925" s="32">
        <f t="shared" si="10"/>
        <v>1.7670007353487647E-2</v>
      </c>
      <c r="H925">
        <v>1.13583742583226E-2</v>
      </c>
      <c r="I925">
        <v>5.5350497702203198E-4</v>
      </c>
      <c r="J925">
        <v>5.5077490495969038E-4</v>
      </c>
      <c r="K925">
        <v>5.4804483289734888E-4</v>
      </c>
      <c r="L925">
        <v>5.4531476083500739E-4</v>
      </c>
      <c r="M925">
        <v>5.4258468877266578E-4</v>
      </c>
      <c r="N925">
        <v>5.3985461671032429E-4</v>
      </c>
    </row>
    <row r="926" spans="1:14" x14ac:dyDescent="0.35">
      <c r="A926">
        <v>169</v>
      </c>
      <c r="B926" t="s">
        <v>29</v>
      </c>
      <c r="C926" s="23">
        <v>43712</v>
      </c>
      <c r="D926">
        <v>9.4899740320360006E-3</v>
      </c>
      <c r="E926">
        <v>4.4729854999999999E-2</v>
      </c>
      <c r="F926">
        <v>4.2448516156749723E-4</v>
      </c>
      <c r="G926" s="32">
        <f t="shared" si="10"/>
        <v>1.8094492515055145E-2</v>
      </c>
      <c r="H926">
        <v>1.13512862765104E-2</v>
      </c>
      <c r="I926">
        <v>4.2386007894225928E-4</v>
      </c>
      <c r="J926">
        <v>4.2323499631702127E-4</v>
      </c>
      <c r="K926">
        <v>4.2260991369178332E-4</v>
      </c>
      <c r="L926">
        <v>4.2198483106654531E-4</v>
      </c>
      <c r="M926">
        <v>4.2135974844130736E-4</v>
      </c>
      <c r="N926">
        <v>4.2073466581606935E-4</v>
      </c>
    </row>
    <row r="927" spans="1:14" x14ac:dyDescent="0.35">
      <c r="A927">
        <v>170</v>
      </c>
      <c r="B927" t="s">
        <v>29</v>
      </c>
      <c r="C927" s="23">
        <v>43713</v>
      </c>
      <c r="D927">
        <v>2.4533071138507002E-3</v>
      </c>
      <c r="E927">
        <v>4.4214066000000003E-2</v>
      </c>
      <c r="F927">
        <v>1.0847068293955937E-4</v>
      </c>
      <c r="G927" s="32">
        <f t="shared" si="10"/>
        <v>1.8202963197994703E-2</v>
      </c>
      <c r="H927">
        <v>1.1339615227042601E-2</v>
      </c>
      <c r="I927">
        <v>1.084511091865633E-4</v>
      </c>
      <c r="J927">
        <v>1.0843153543356723E-4</v>
      </c>
      <c r="K927">
        <v>1.0841196168057114E-4</v>
      </c>
      <c r="L927">
        <v>1.0839238792757507E-4</v>
      </c>
      <c r="M927">
        <v>1.08372814174579E-4</v>
      </c>
      <c r="N927">
        <v>1.0835324042158294E-4</v>
      </c>
    </row>
    <row r="928" spans="1:14" x14ac:dyDescent="0.35">
      <c r="A928">
        <v>171</v>
      </c>
      <c r="B928" t="s">
        <v>29</v>
      </c>
      <c r="C928" s="23">
        <v>43714</v>
      </c>
      <c r="D928">
        <v>-7.1016338992989998E-4</v>
      </c>
      <c r="E928">
        <v>1.3506585E-2</v>
      </c>
      <c r="F928">
        <v>-9.5918820484974588E-6</v>
      </c>
      <c r="G928" s="32">
        <f t="shared" si="10"/>
        <v>1.8193371315946207E-2</v>
      </c>
      <c r="H928">
        <v>1.11595623950413E-2</v>
      </c>
      <c r="I928">
        <v>-1.086220416446402E-5</v>
      </c>
      <c r="J928">
        <v>-1.2132526280430583E-5</v>
      </c>
      <c r="K928">
        <v>-1.3402848396397145E-5</v>
      </c>
      <c r="L928">
        <v>-1.4673170512363706E-5</v>
      </c>
      <c r="M928">
        <v>-1.5943492628330269E-5</v>
      </c>
      <c r="N928">
        <v>-1.7213814744296829E-5</v>
      </c>
    </row>
    <row r="929" spans="1:14" x14ac:dyDescent="0.35">
      <c r="A929">
        <v>172</v>
      </c>
      <c r="B929" t="s">
        <v>29</v>
      </c>
      <c r="C929" s="23">
        <v>43717</v>
      </c>
      <c r="D929">
        <v>7.2245970483126665E-5</v>
      </c>
      <c r="E929">
        <v>1.8608215999999999E-3</v>
      </c>
      <c r="F929">
        <v>1.3443686380614281E-7</v>
      </c>
      <c r="G929" s="32">
        <f t="shared" si="10"/>
        <v>1.8193505752810014E-2</v>
      </c>
      <c r="H929">
        <v>1.0978833973251501E-2</v>
      </c>
      <c r="I929">
        <v>-3.5730586324912937E-7</v>
      </c>
      <c r="J929">
        <v>-8.4904859030440153E-7</v>
      </c>
      <c r="K929">
        <v>-1.3407913173596738E-6</v>
      </c>
      <c r="L929">
        <v>-1.8325340444149458E-6</v>
      </c>
      <c r="M929">
        <v>-2.3242767714702177E-6</v>
      </c>
      <c r="N929">
        <v>-2.8160194985254904E-6</v>
      </c>
    </row>
    <row r="930" spans="1:14" x14ac:dyDescent="0.35">
      <c r="A930">
        <v>173</v>
      </c>
      <c r="B930" t="s">
        <v>29</v>
      </c>
      <c r="C930" s="23">
        <v>43718</v>
      </c>
      <c r="D930">
        <v>6.9043183072852003E-3</v>
      </c>
      <c r="E930">
        <v>-3.1528398E-3</v>
      </c>
      <c r="F930">
        <v>-2.1768209823511216E-5</v>
      </c>
      <c r="G930" s="32">
        <f t="shared" si="10"/>
        <v>1.8171737542986503E-2</v>
      </c>
      <c r="H930">
        <v>1.07979283460746E-2</v>
      </c>
      <c r="I930">
        <v>-2.1986237386814076E-5</v>
      </c>
      <c r="J930">
        <v>-2.220426495011694E-5</v>
      </c>
      <c r="K930">
        <v>-2.24222925134198E-5</v>
      </c>
      <c r="L930">
        <v>-2.2640320076722661E-5</v>
      </c>
      <c r="M930">
        <v>-2.2858347640025525E-5</v>
      </c>
      <c r="N930">
        <v>-2.3076375203328385E-5</v>
      </c>
    </row>
    <row r="931" spans="1:14" x14ac:dyDescent="0.35">
      <c r="A931">
        <v>174</v>
      </c>
      <c r="B931" t="s">
        <v>29</v>
      </c>
      <c r="C931" s="23">
        <v>43719</v>
      </c>
      <c r="D931">
        <v>2.8686852572623002E-3</v>
      </c>
      <c r="E931">
        <v>7.3886396999999996E-3</v>
      </c>
      <c r="F931">
        <v>2.1195681863153142E-5</v>
      </c>
      <c r="G931" s="32">
        <f t="shared" si="10"/>
        <v>1.8192933224849658E-2</v>
      </c>
      <c r="H931">
        <v>1.0697985747411499E-2</v>
      </c>
      <c r="I931">
        <v>2.0731426809373107E-5</v>
      </c>
      <c r="J931">
        <v>2.0267171755593073E-5</v>
      </c>
      <c r="K931">
        <v>1.9802916701813038E-5</v>
      </c>
      <c r="L931">
        <v>1.9338661648033004E-5</v>
      </c>
      <c r="M931">
        <v>1.8874406594252972E-5</v>
      </c>
      <c r="N931">
        <v>1.8410151540472938E-5</v>
      </c>
    </row>
    <row r="932" spans="1:14" x14ac:dyDescent="0.35">
      <c r="A932">
        <v>175</v>
      </c>
      <c r="B932" t="s">
        <v>29</v>
      </c>
      <c r="C932" s="23">
        <v>43720</v>
      </c>
      <c r="D932">
        <v>-1.5643209720212999E-3</v>
      </c>
      <c r="E932">
        <v>1.3750427000000001E-2</v>
      </c>
      <c r="F932">
        <v>-2.1510081960074631E-5</v>
      </c>
      <c r="G932" s="32">
        <f t="shared" si="10"/>
        <v>1.8171423142889585E-2</v>
      </c>
      <c r="H932">
        <v>1.0529445604708299E-2</v>
      </c>
      <c r="I932">
        <v>-2.1800758041008017E-5</v>
      </c>
      <c r="J932">
        <v>-2.2091434121941404E-5</v>
      </c>
      <c r="K932">
        <v>-2.238211020287479E-5</v>
      </c>
      <c r="L932">
        <v>-2.2672786283808176E-5</v>
      </c>
      <c r="M932">
        <v>-2.2963462364741563E-5</v>
      </c>
      <c r="N932">
        <v>-2.3254138445674949E-5</v>
      </c>
    </row>
    <row r="933" spans="1:14" x14ac:dyDescent="0.35">
      <c r="A933">
        <v>176</v>
      </c>
      <c r="B933" t="s">
        <v>29</v>
      </c>
      <c r="C933" s="23">
        <v>43721</v>
      </c>
      <c r="D933">
        <v>-2.2737082702094001E-3</v>
      </c>
      <c r="E933">
        <v>-2.1529329999999999E-2</v>
      </c>
      <c r="F933">
        <v>4.8951415538183445E-5</v>
      </c>
      <c r="G933" s="32">
        <f t="shared" si="10"/>
        <v>1.8220374558427767E-2</v>
      </c>
      <c r="H933">
        <v>1.03670764798348E-2</v>
      </c>
      <c r="I933">
        <v>4.7353285050146036E-5</v>
      </c>
      <c r="J933">
        <v>4.5755154562108634E-5</v>
      </c>
      <c r="K933">
        <v>4.4157024074071232E-5</v>
      </c>
      <c r="L933">
        <v>4.2558893586033823E-5</v>
      </c>
      <c r="M933">
        <v>4.0960763097996414E-5</v>
      </c>
      <c r="N933">
        <v>3.9362632609959012E-5</v>
      </c>
    </row>
    <row r="934" spans="1:14" x14ac:dyDescent="0.35">
      <c r="A934">
        <v>177</v>
      </c>
      <c r="B934" t="s">
        <v>29</v>
      </c>
      <c r="C934" s="23">
        <v>43724</v>
      </c>
      <c r="D934">
        <v>2.0050833402522001E-3</v>
      </c>
      <c r="E934">
        <v>-4.0393962999999998E-2</v>
      </c>
      <c r="F934">
        <v>-8.0993263172690307E-5</v>
      </c>
      <c r="G934" s="32">
        <f t="shared" si="10"/>
        <v>1.8139381295255077E-2</v>
      </c>
      <c r="H934">
        <v>1.0213990533102299E-2</v>
      </c>
      <c r="I934">
        <v>-8.1880565942371385E-5</v>
      </c>
      <c r="J934">
        <v>-8.2767868712052464E-5</v>
      </c>
      <c r="K934">
        <v>-8.3655171481733542E-5</v>
      </c>
      <c r="L934">
        <v>-8.454247425141462E-5</v>
      </c>
      <c r="M934">
        <v>-8.5429777021095698E-5</v>
      </c>
      <c r="N934">
        <v>-8.6317079790776776E-5</v>
      </c>
    </row>
    <row r="935" spans="1:14" x14ac:dyDescent="0.35">
      <c r="A935">
        <v>178</v>
      </c>
      <c r="B935" t="s">
        <v>29</v>
      </c>
      <c r="C935" s="23">
        <v>43725</v>
      </c>
      <c r="D935">
        <v>2.3466503592809999E-4</v>
      </c>
      <c r="E935">
        <v>-1.4415318E-2</v>
      </c>
      <c r="F935">
        <v>-3.3827711507277451E-6</v>
      </c>
      <c r="G935" s="32">
        <f t="shared" si="10"/>
        <v>1.8135998524104351E-2</v>
      </c>
      <c r="H935">
        <v>1.0048173684717601E-2</v>
      </c>
      <c r="I935">
        <v>-4.5734289362020386E-6</v>
      </c>
      <c r="J935">
        <v>-5.7640867216763329E-6</v>
      </c>
      <c r="K935">
        <v>-6.9547445071506265E-6</v>
      </c>
      <c r="L935">
        <v>-8.14540229262492E-6</v>
      </c>
      <c r="M935">
        <v>-9.3360600780992135E-6</v>
      </c>
      <c r="N935">
        <v>-1.0526717863573509E-5</v>
      </c>
    </row>
    <row r="936" spans="1:14" x14ac:dyDescent="0.35">
      <c r="A936">
        <v>179</v>
      </c>
      <c r="B936" t="s">
        <v>29</v>
      </c>
      <c r="C936" s="23">
        <v>43726</v>
      </c>
      <c r="D936">
        <v>-7.951199470340564E-5</v>
      </c>
      <c r="E936">
        <v>1.2730590999999999E-2</v>
      </c>
      <c r="F936">
        <v>-1.0122346840937645E-6</v>
      </c>
      <c r="G936" s="32">
        <f t="shared" si="10"/>
        <v>1.8134986289420257E-2</v>
      </c>
      <c r="H936">
        <v>9.8826463618044008E-3</v>
      </c>
      <c r="I936">
        <v>-2.2986353823136725E-6</v>
      </c>
      <c r="J936">
        <v>-3.5850360805335808E-6</v>
      </c>
      <c r="K936">
        <v>-4.8714367787534882E-6</v>
      </c>
      <c r="L936">
        <v>-6.1578374769733964E-6</v>
      </c>
      <c r="M936">
        <v>-7.4442381751933047E-6</v>
      </c>
      <c r="N936">
        <v>-8.7306388734132121E-6</v>
      </c>
    </row>
    <row r="937" spans="1:14" x14ac:dyDescent="0.35">
      <c r="A937">
        <v>180</v>
      </c>
      <c r="B937" t="s">
        <v>29</v>
      </c>
      <c r="C937" s="23">
        <v>43727</v>
      </c>
      <c r="D937">
        <v>2.4608873129603999E-3</v>
      </c>
      <c r="E937">
        <v>3.0340888E-2</v>
      </c>
      <c r="F937">
        <v>7.466550537391709E-5</v>
      </c>
      <c r="G937" s="32">
        <f t="shared" si="10"/>
        <v>1.8209651794794175E-2</v>
      </c>
      <c r="H937">
        <v>9.7206418442274001E-3</v>
      </c>
      <c r="I937">
        <v>7.3799443232687602E-5</v>
      </c>
      <c r="J937">
        <v>7.2933381091458101E-5</v>
      </c>
      <c r="K937">
        <v>7.2067318950228614E-5</v>
      </c>
      <c r="L937">
        <v>7.1201256808999113E-5</v>
      </c>
      <c r="M937">
        <v>7.0335194667769626E-5</v>
      </c>
      <c r="N937">
        <v>6.9469132526540125E-5</v>
      </c>
    </row>
    <row r="938" spans="1:14" x14ac:dyDescent="0.35">
      <c r="A938">
        <v>181</v>
      </c>
      <c r="B938" t="s">
        <v>29</v>
      </c>
      <c r="C938" s="23">
        <v>43728</v>
      </c>
      <c r="D938">
        <v>-5.4448462514990999E-3</v>
      </c>
      <c r="E938">
        <v>6.0964959999999999E-2</v>
      </c>
      <c r="F938">
        <v>-3.3194483722241317E-4</v>
      </c>
      <c r="G938" s="32">
        <f t="shared" si="10"/>
        <v>1.7877706957571762E-2</v>
      </c>
      <c r="H938">
        <v>9.5650655783042007E-3</v>
      </c>
      <c r="I938">
        <v>-3.334814644544172E-4</v>
      </c>
      <c r="J938">
        <v>-3.3501809168642128E-4</v>
      </c>
      <c r="K938">
        <v>-3.3655471891842531E-4</v>
      </c>
      <c r="L938">
        <v>-3.3809134615042934E-4</v>
      </c>
      <c r="M938">
        <v>-3.3962797338243336E-4</v>
      </c>
      <c r="N938">
        <v>-3.4116460061443745E-4</v>
      </c>
    </row>
    <row r="939" spans="1:14" x14ac:dyDescent="0.35">
      <c r="A939">
        <v>182</v>
      </c>
      <c r="B939" t="s">
        <v>29</v>
      </c>
      <c r="C939" s="23">
        <v>43731</v>
      </c>
      <c r="D939">
        <v>-8.9002296054498994E-3</v>
      </c>
      <c r="E939">
        <v>5.6215790000000002E-2</v>
      </c>
      <c r="F939">
        <v>-5.0033343105631428E-4</v>
      </c>
      <c r="G939" s="32">
        <f t="shared" si="10"/>
        <v>1.7377373526515447E-2</v>
      </c>
      <c r="H939">
        <v>9.4760386079655E-3</v>
      </c>
      <c r="I939">
        <v>-5.0054192400778637E-4</v>
      </c>
      <c r="J939">
        <v>-5.0075041695925835E-4</v>
      </c>
      <c r="K939">
        <v>-5.0095890991073045E-4</v>
      </c>
      <c r="L939">
        <v>-5.0116740286220254E-4</v>
      </c>
      <c r="M939">
        <v>-5.0137589581367452E-4</v>
      </c>
      <c r="N939">
        <v>-5.0158438876514661E-4</v>
      </c>
    </row>
    <row r="940" spans="1:14" x14ac:dyDescent="0.35">
      <c r="A940">
        <v>183</v>
      </c>
      <c r="B940" t="s">
        <v>29</v>
      </c>
      <c r="C940" s="23">
        <v>43732</v>
      </c>
      <c r="D940">
        <v>5.3712455619116996E-3</v>
      </c>
      <c r="E940">
        <v>3.0813126E-2</v>
      </c>
      <c r="F940">
        <v>1.6550486570394667E-4</v>
      </c>
      <c r="G940" s="32">
        <f t="shared" si="10"/>
        <v>1.7542878392219394E-2</v>
      </c>
      <c r="H940">
        <v>9.4763907233220007E-3</v>
      </c>
      <c r="I940">
        <v>1.6423828456093347E-4</v>
      </c>
      <c r="J940">
        <v>1.6297170341792027E-4</v>
      </c>
      <c r="K940">
        <v>1.617051222749071E-4</v>
      </c>
      <c r="L940">
        <v>1.604385411318939E-4</v>
      </c>
      <c r="M940">
        <v>1.591719599888807E-4</v>
      </c>
      <c r="N940">
        <v>1.5790537884586751E-4</v>
      </c>
    </row>
    <row r="941" spans="1:14" x14ac:dyDescent="0.35">
      <c r="A941">
        <v>184</v>
      </c>
      <c r="B941" t="s">
        <v>29</v>
      </c>
      <c r="C941" s="23">
        <v>43733</v>
      </c>
      <c r="D941">
        <v>-1.9430040972764E-3</v>
      </c>
      <c r="E941">
        <v>7.0974863999999999E-2</v>
      </c>
      <c r="F941">
        <v>-1.3790445168318789E-4</v>
      </c>
      <c r="G941" s="32">
        <f t="shared" si="10"/>
        <v>1.7404973940536205E-2</v>
      </c>
      <c r="H941">
        <v>9.3639471565965006E-3</v>
      </c>
      <c r="I941">
        <v>-1.3994924914525626E-4</v>
      </c>
      <c r="J941">
        <v>-1.4199404660732463E-4</v>
      </c>
      <c r="K941">
        <v>-1.44038844069393E-4</v>
      </c>
      <c r="L941">
        <v>-1.4608364153146137E-4</v>
      </c>
      <c r="M941">
        <v>-1.4812843899352974E-4</v>
      </c>
      <c r="N941">
        <v>-1.501732364555981E-4</v>
      </c>
    </row>
    <row r="942" spans="1:14" x14ac:dyDescent="0.35">
      <c r="A942">
        <v>185</v>
      </c>
      <c r="B942" t="s">
        <v>29</v>
      </c>
      <c r="C942" s="23">
        <v>43734</v>
      </c>
      <c r="D942">
        <v>-5.7598942444555996E-3</v>
      </c>
      <c r="E942">
        <v>7.1169763999999996E-2</v>
      </c>
      <c r="F942">
        <v>-4.0993031291094078E-4</v>
      </c>
      <c r="G942" s="32">
        <f t="shared" si="10"/>
        <v>1.6995043627625266E-2</v>
      </c>
      <c r="H942">
        <v>9.2193895194198992E-3</v>
      </c>
      <c r="I942">
        <v>-4.099964502274387E-4</v>
      </c>
      <c r="J942">
        <v>-4.1006258754393656E-4</v>
      </c>
      <c r="K942">
        <v>-4.1012872486043448E-4</v>
      </c>
      <c r="L942">
        <v>-4.101948621769324E-4</v>
      </c>
      <c r="M942">
        <v>-4.1026099949343026E-4</v>
      </c>
      <c r="N942">
        <v>-4.1032713680992818E-4</v>
      </c>
    </row>
    <row r="943" spans="1:14" x14ac:dyDescent="0.35">
      <c r="A943">
        <v>186</v>
      </c>
      <c r="B943" t="s">
        <v>29</v>
      </c>
      <c r="C943" s="23">
        <v>43735</v>
      </c>
      <c r="D943">
        <v>5.1499134667896997E-3</v>
      </c>
      <c r="E943">
        <v>6.6109929999999997E-2</v>
      </c>
      <c r="F943">
        <v>3.4046043403452897E-4</v>
      </c>
      <c r="G943" s="32">
        <f t="shared" si="10"/>
        <v>1.7335504061659793E-2</v>
      </c>
      <c r="H943">
        <v>9.1314871073316008E-3</v>
      </c>
      <c r="I943">
        <v>3.4023375111744294E-4</v>
      </c>
      <c r="J943">
        <v>3.4000706820035695E-4</v>
      </c>
      <c r="K943">
        <v>3.3978038528327092E-4</v>
      </c>
      <c r="L943">
        <v>3.3955370236618489E-4</v>
      </c>
      <c r="M943">
        <v>3.3932701944909885E-4</v>
      </c>
      <c r="N943">
        <v>3.3910033653201287E-4</v>
      </c>
    </row>
    <row r="944" spans="1:14" x14ac:dyDescent="0.35">
      <c r="A944">
        <v>187</v>
      </c>
      <c r="B944" t="s">
        <v>29</v>
      </c>
      <c r="C944" s="23">
        <v>43738</v>
      </c>
      <c r="D944">
        <v>-1.43304071633892E-2</v>
      </c>
      <c r="E944">
        <v>0.11885469</v>
      </c>
      <c r="F944">
        <v>-1.7032360525108341E-3</v>
      </c>
      <c r="G944" s="32">
        <f t="shared" si="10"/>
        <v>1.5632268009148961E-2</v>
      </c>
      <c r="H944">
        <v>9.0211616981293995E-3</v>
      </c>
      <c r="I944">
        <v>-1.7060402280794538E-3</v>
      </c>
      <c r="J944">
        <v>-1.7088444036480735E-3</v>
      </c>
      <c r="K944">
        <v>-1.7116485792166933E-3</v>
      </c>
      <c r="L944">
        <v>-1.714452754785313E-3</v>
      </c>
      <c r="M944">
        <v>-1.7172569303539327E-3</v>
      </c>
      <c r="N944">
        <v>-1.7200611059225524E-3</v>
      </c>
    </row>
    <row r="945" spans="1:14" x14ac:dyDescent="0.35">
      <c r="A945">
        <v>188</v>
      </c>
      <c r="B945" t="s">
        <v>29</v>
      </c>
      <c r="C945" s="23">
        <v>43739</v>
      </c>
      <c r="D945">
        <v>-1.9963365725594099E-2</v>
      </c>
      <c r="E945">
        <v>8.6443759999999994E-2</v>
      </c>
      <c r="F945">
        <v>-1.7257083856133709E-3</v>
      </c>
      <c r="G945" s="32">
        <f t="shared" si="10"/>
        <v>1.390655962353559E-2</v>
      </c>
      <c r="H945">
        <v>9.2239699978955998E-3</v>
      </c>
      <c r="I945">
        <v>-1.727505348699416E-3</v>
      </c>
      <c r="J945">
        <v>-1.7293023117854608E-3</v>
      </c>
      <c r="K945">
        <v>-1.7310992748715058E-3</v>
      </c>
      <c r="L945">
        <v>-1.7328962379575508E-3</v>
      </c>
      <c r="M945">
        <v>-1.7346932010435959E-3</v>
      </c>
      <c r="N945">
        <v>-1.7364901641296407E-3</v>
      </c>
    </row>
    <row r="946" spans="1:14" x14ac:dyDescent="0.35">
      <c r="A946">
        <v>189</v>
      </c>
      <c r="B946" t="s">
        <v>29</v>
      </c>
      <c r="C946" s="23">
        <v>43740</v>
      </c>
      <c r="D946">
        <v>1.05493217725087E-2</v>
      </c>
      <c r="E946">
        <v>5.6469900000000003E-2</v>
      </c>
      <c r="F946">
        <v>5.9571913154040984E-4</v>
      </c>
      <c r="G946" s="32">
        <f t="shared" si="10"/>
        <v>1.4502278755076E-2</v>
      </c>
      <c r="H946">
        <v>9.7173666933226995E-3</v>
      </c>
      <c r="I946">
        <v>5.9403699619277198E-4</v>
      </c>
      <c r="J946">
        <v>5.9235486084513412E-4</v>
      </c>
      <c r="K946">
        <v>5.9067272549749616E-4</v>
      </c>
      <c r="L946">
        <v>5.889905901498583E-4</v>
      </c>
      <c r="M946">
        <v>5.8730845480222044E-4</v>
      </c>
      <c r="N946">
        <v>5.8562631945458259E-4</v>
      </c>
    </row>
    <row r="947" spans="1:14" x14ac:dyDescent="0.35">
      <c r="A947">
        <v>190</v>
      </c>
      <c r="B947" t="s">
        <v>29</v>
      </c>
      <c r="C947" s="23">
        <v>43741</v>
      </c>
      <c r="D947">
        <v>1.30235877537911E-2</v>
      </c>
      <c r="E947">
        <v>0.18516017000000001</v>
      </c>
      <c r="F947">
        <v>2.4114497871751718E-3</v>
      </c>
      <c r="G947" s="32">
        <f t="shared" si="10"/>
        <v>1.691372854225117E-2</v>
      </c>
      <c r="H947">
        <v>9.7801592155224003E-3</v>
      </c>
      <c r="I947">
        <v>2.4052507018849307E-3</v>
      </c>
      <c r="J947">
        <v>2.3990516165946891E-3</v>
      </c>
      <c r="K947">
        <v>2.3928525313044479E-3</v>
      </c>
      <c r="L947">
        <v>2.3866534460142063E-3</v>
      </c>
      <c r="M947">
        <v>2.3804543607239652E-3</v>
      </c>
      <c r="N947">
        <v>2.374255275433724E-3</v>
      </c>
    </row>
    <row r="948" spans="1:14" x14ac:dyDescent="0.35">
      <c r="A948">
        <v>191</v>
      </c>
      <c r="B948" t="s">
        <v>29</v>
      </c>
      <c r="C948" s="23">
        <v>43742</v>
      </c>
      <c r="D948">
        <v>-4.3515194129508002E-3</v>
      </c>
      <c r="E948">
        <v>0.27065929999999999</v>
      </c>
      <c r="F948">
        <v>-1.1777791882576175E-3</v>
      </c>
      <c r="G948" s="32">
        <f t="shared" si="10"/>
        <v>1.5735949353993552E-2</v>
      </c>
      <c r="H948">
        <v>9.9337819381047996E-3</v>
      </c>
      <c r="I948">
        <v>-1.1817072431229358E-3</v>
      </c>
      <c r="J948">
        <v>-1.1856352979882541E-3</v>
      </c>
      <c r="K948">
        <v>-1.1895633528535724E-3</v>
      </c>
      <c r="L948">
        <v>-1.1934914077188906E-3</v>
      </c>
      <c r="M948">
        <v>-1.1974194625842089E-3</v>
      </c>
      <c r="N948">
        <v>-1.2013475174495272E-3</v>
      </c>
    </row>
    <row r="949" spans="1:14" x14ac:dyDescent="0.35">
      <c r="A949">
        <v>192</v>
      </c>
      <c r="B949" t="s">
        <v>29</v>
      </c>
      <c r="C949" s="23">
        <v>43745</v>
      </c>
      <c r="D949">
        <v>-1.4762076578310499E-2</v>
      </c>
      <c r="E949">
        <v>0.24228336</v>
      </c>
      <c r="F949">
        <v>-3.5766055017172572E-3</v>
      </c>
      <c r="G949" s="32">
        <f t="shared" si="10"/>
        <v>1.2159343852276294E-2</v>
      </c>
      <c r="H949">
        <v>9.8056903171682003E-3</v>
      </c>
      <c r="I949">
        <v>-3.5778045488309975E-3</v>
      </c>
      <c r="J949">
        <v>-3.5790035959447379E-3</v>
      </c>
      <c r="K949">
        <v>-3.5802026430584782E-3</v>
      </c>
      <c r="L949">
        <v>-3.581401690172219E-3</v>
      </c>
      <c r="M949">
        <v>-3.5826007372859593E-3</v>
      </c>
      <c r="N949">
        <v>-3.5837997843996996E-3</v>
      </c>
    </row>
    <row r="950" spans="1:14" x14ac:dyDescent="0.35">
      <c r="A950">
        <v>193</v>
      </c>
      <c r="B950" t="s">
        <v>29</v>
      </c>
      <c r="C950" s="23">
        <v>43746</v>
      </c>
      <c r="D950">
        <v>8.6344310067402001E-3</v>
      </c>
      <c r="E950">
        <v>0.18635814000000001</v>
      </c>
      <c r="F950">
        <v>1.6090964930395462E-3</v>
      </c>
      <c r="G950" s="32">
        <f t="shared" ref="G950:G1008" si="11">G949+F950</f>
        <v>1.376844034531584E-2</v>
      </c>
      <c r="H950">
        <v>1.00260478122283E-2</v>
      </c>
      <c r="I950">
        <v>1.6062045698495124E-3</v>
      </c>
      <c r="J950">
        <v>1.6033126466594785E-3</v>
      </c>
      <c r="K950">
        <v>1.6004207234694447E-3</v>
      </c>
      <c r="L950">
        <v>1.5975288002794109E-3</v>
      </c>
      <c r="M950">
        <v>1.594636877089377E-3</v>
      </c>
      <c r="N950">
        <v>1.5917449538993432E-3</v>
      </c>
    </row>
    <row r="951" spans="1:14" x14ac:dyDescent="0.35">
      <c r="A951">
        <v>194</v>
      </c>
      <c r="B951" t="s">
        <v>29</v>
      </c>
      <c r="C951" s="23">
        <v>43747</v>
      </c>
      <c r="D951">
        <v>7.1121953661018996E-3</v>
      </c>
      <c r="E951">
        <v>0.26947680000000002</v>
      </c>
      <c r="F951">
        <v>1.916571656460762E-3</v>
      </c>
      <c r="G951" s="32">
        <f t="shared" si="11"/>
        <v>1.5685012001776601E-2</v>
      </c>
      <c r="H951">
        <v>1.0013269306686501E-2</v>
      </c>
      <c r="I951">
        <v>1.9126386651661762E-3</v>
      </c>
      <c r="J951">
        <v>1.9087056738715904E-3</v>
      </c>
      <c r="K951">
        <v>1.9047726825770046E-3</v>
      </c>
      <c r="L951">
        <v>1.9008396912824188E-3</v>
      </c>
      <c r="M951">
        <v>1.896906699987833E-3</v>
      </c>
      <c r="N951">
        <v>1.8929737086932472E-3</v>
      </c>
    </row>
    <row r="952" spans="1:14" x14ac:dyDescent="0.35">
      <c r="A952">
        <v>195</v>
      </c>
      <c r="B952" t="s">
        <v>29</v>
      </c>
      <c r="C952" s="23">
        <v>43748</v>
      </c>
      <c r="D952">
        <v>9.6102467880253995E-3</v>
      </c>
      <c r="E952">
        <v>0.31146153999999998</v>
      </c>
      <c r="F952">
        <v>2.993222245892181E-3</v>
      </c>
      <c r="G952" s="32">
        <f t="shared" si="11"/>
        <v>1.8678234247668783E-2</v>
      </c>
      <c r="H952">
        <v>9.9459986023848999E-3</v>
      </c>
      <c r="I952">
        <v>2.9911418874741026E-3</v>
      </c>
      <c r="J952">
        <v>2.9890615290560241E-3</v>
      </c>
      <c r="K952">
        <v>2.9869811706379457E-3</v>
      </c>
      <c r="L952">
        <v>2.9849008122198673E-3</v>
      </c>
      <c r="M952">
        <v>2.9828204538017889E-3</v>
      </c>
      <c r="N952">
        <v>2.9807400953837104E-3</v>
      </c>
    </row>
    <row r="953" spans="1:14" x14ac:dyDescent="0.35">
      <c r="A953">
        <v>196</v>
      </c>
      <c r="B953" t="s">
        <v>29</v>
      </c>
      <c r="C953" s="23">
        <v>43749</v>
      </c>
      <c r="D953">
        <v>-1.6786060403992001E-3</v>
      </c>
      <c r="E953">
        <v>0.33955649999999998</v>
      </c>
      <c r="F953">
        <v>-5.69981567473511E-4</v>
      </c>
      <c r="G953" s="32">
        <f t="shared" si="11"/>
        <v>1.8108252680195273E-2</v>
      </c>
      <c r="H953">
        <v>9.9479914813358997E-3</v>
      </c>
      <c r="I953">
        <v>-5.713129057573241E-4</v>
      </c>
      <c r="J953">
        <v>-5.7264424404113721E-4</v>
      </c>
      <c r="K953">
        <v>-5.739755823249502E-4</v>
      </c>
      <c r="L953">
        <v>-5.753069206087633E-4</v>
      </c>
      <c r="M953">
        <v>-5.7663825889257641E-4</v>
      </c>
      <c r="N953">
        <v>-5.7796959717638951E-4</v>
      </c>
    </row>
    <row r="954" spans="1:14" x14ac:dyDescent="0.35">
      <c r="A954">
        <v>197</v>
      </c>
      <c r="B954" t="s">
        <v>29</v>
      </c>
      <c r="C954" s="23">
        <v>43752</v>
      </c>
      <c r="D954">
        <v>1.04953391699911E-2</v>
      </c>
      <c r="E954">
        <v>0.29803123999999998</v>
      </c>
      <c r="F954">
        <v>3.1279389544173401E-3</v>
      </c>
      <c r="G954" s="32">
        <f t="shared" si="11"/>
        <v>2.1236191634612614E-2</v>
      </c>
      <c r="H954">
        <v>9.7909831092689008E-3</v>
      </c>
      <c r="I954">
        <v>3.1261937913286226E-3</v>
      </c>
      <c r="J954">
        <v>3.1244486282399051E-3</v>
      </c>
      <c r="K954">
        <v>3.1227034651511876E-3</v>
      </c>
      <c r="L954">
        <v>3.1209583020624702E-3</v>
      </c>
      <c r="M954">
        <v>3.1192131389737527E-3</v>
      </c>
      <c r="N954">
        <v>3.1174679758850352E-3</v>
      </c>
    </row>
    <row r="955" spans="1:14" x14ac:dyDescent="0.35">
      <c r="A955">
        <v>198</v>
      </c>
      <c r="B955" t="s">
        <v>29</v>
      </c>
      <c r="C955" s="23">
        <v>43753</v>
      </c>
      <c r="D955">
        <v>-2.007161047838E-3</v>
      </c>
      <c r="E955">
        <v>0.31404579999999999</v>
      </c>
      <c r="F955">
        <v>-6.3034047061821959E-4</v>
      </c>
      <c r="G955" s="32">
        <f t="shared" si="11"/>
        <v>2.0605851163994396E-2</v>
      </c>
      <c r="H955">
        <v>9.8150693866008998E-3</v>
      </c>
      <c r="I955">
        <v>-6.3107605110940897E-4</v>
      </c>
      <c r="J955">
        <v>-6.3181163160059835E-4</v>
      </c>
      <c r="K955">
        <v>-6.3254721209178772E-4</v>
      </c>
      <c r="L955">
        <v>-6.332827925829771E-4</v>
      </c>
      <c r="M955">
        <v>-6.3401837307416648E-4</v>
      </c>
      <c r="N955">
        <v>-6.3475395356535585E-4</v>
      </c>
    </row>
    <row r="956" spans="1:14" x14ac:dyDescent="0.35">
      <c r="A956">
        <v>199</v>
      </c>
      <c r="B956" t="s">
        <v>29</v>
      </c>
      <c r="C956" s="23">
        <v>43754</v>
      </c>
      <c r="D956">
        <v>2.1242512662599002E-3</v>
      </c>
      <c r="E956">
        <v>0.26350607999999998</v>
      </c>
      <c r="F956">
        <v>5.5975313404986221E-4</v>
      </c>
      <c r="G956" s="32">
        <f t="shared" si="11"/>
        <v>2.1165604298044257E-2</v>
      </c>
      <c r="H956">
        <v>9.6651690011069994E-3</v>
      </c>
      <c r="I956">
        <v>5.5751708990686905E-4</v>
      </c>
      <c r="J956">
        <v>5.552810457638759E-4</v>
      </c>
      <c r="K956">
        <v>5.5304500162088285E-4</v>
      </c>
      <c r="L956">
        <v>5.5080895747788969E-4</v>
      </c>
      <c r="M956">
        <v>5.4857291333489653E-4</v>
      </c>
      <c r="N956">
        <v>5.4633686919190337E-4</v>
      </c>
    </row>
    <row r="957" spans="1:14" x14ac:dyDescent="0.35">
      <c r="A957">
        <v>200</v>
      </c>
      <c r="B957" t="s">
        <v>29</v>
      </c>
      <c r="C957" s="23">
        <v>43755</v>
      </c>
      <c r="D957">
        <v>-3.2313811490277998E-3</v>
      </c>
      <c r="E957">
        <v>0.24817933</v>
      </c>
      <c r="F957">
        <v>-8.0196201313489565E-4</v>
      </c>
      <c r="G957" s="32">
        <f t="shared" si="11"/>
        <v>2.0363642284909361E-2</v>
      </c>
      <c r="H957">
        <v>9.5098964647635006E-3</v>
      </c>
      <c r="I957">
        <v>-8.0251314251595382E-4</v>
      </c>
      <c r="J957">
        <v>-8.0306427189701199E-4</v>
      </c>
      <c r="K957">
        <v>-8.0361540127807016E-4</v>
      </c>
      <c r="L957">
        <v>-8.0416653065912833E-4</v>
      </c>
      <c r="M957">
        <v>-8.047176600401865E-4</v>
      </c>
      <c r="N957">
        <v>-8.0526878942124456E-4</v>
      </c>
    </row>
    <row r="958" spans="1:14" x14ac:dyDescent="0.35">
      <c r="A958">
        <v>201</v>
      </c>
      <c r="B958" t="s">
        <v>29</v>
      </c>
      <c r="C958" s="23">
        <v>43756</v>
      </c>
      <c r="D958">
        <v>6.1534153076289004E-3</v>
      </c>
      <c r="E958">
        <v>0.22017782999999999</v>
      </c>
      <c r="F958">
        <v>1.3548456250034116E-3</v>
      </c>
      <c r="G958" s="32">
        <f t="shared" si="11"/>
        <v>2.1718487909912772E-2</v>
      </c>
      <c r="H958">
        <v>9.3782261595236008E-3</v>
      </c>
      <c r="I958">
        <v>1.3536080762059743E-3</v>
      </c>
      <c r="J958">
        <v>1.3523705274085371E-3</v>
      </c>
      <c r="K958">
        <v>1.3511329786110998E-3</v>
      </c>
      <c r="L958">
        <v>1.3498954298136626E-3</v>
      </c>
      <c r="M958">
        <v>1.3486578810162253E-3</v>
      </c>
      <c r="N958">
        <v>1.3474203322187881E-3</v>
      </c>
    </row>
    <row r="959" spans="1:14" x14ac:dyDescent="0.35">
      <c r="A959">
        <v>202</v>
      </c>
      <c r="B959" t="s">
        <v>29</v>
      </c>
      <c r="C959" s="23">
        <v>43759</v>
      </c>
      <c r="D959">
        <v>-4.0647221365011001E-3</v>
      </c>
      <c r="E959">
        <v>0.24657572999999999</v>
      </c>
      <c r="F959">
        <v>-1.0022618201645408E-3</v>
      </c>
      <c r="G959" s="32">
        <f t="shared" si="11"/>
        <v>2.071622608974823E-2</v>
      </c>
      <c r="H959">
        <v>9.2785510993419005E-3</v>
      </c>
      <c r="I959">
        <v>-1.0037251351961685E-3</v>
      </c>
      <c r="J959">
        <v>-1.0051884502277964E-3</v>
      </c>
      <c r="K959">
        <v>-1.0066517652594241E-3</v>
      </c>
      <c r="L959">
        <v>-1.008115080291052E-3</v>
      </c>
      <c r="M959">
        <v>-1.0095783953226797E-3</v>
      </c>
      <c r="N959">
        <v>-1.0110417103543076E-3</v>
      </c>
    </row>
    <row r="960" spans="1:14" x14ac:dyDescent="0.35">
      <c r="A960">
        <v>203</v>
      </c>
      <c r="B960" t="s">
        <v>29</v>
      </c>
      <c r="C960" s="23">
        <v>43760</v>
      </c>
      <c r="D960">
        <v>3.8740779601876998E-3</v>
      </c>
      <c r="E960">
        <v>0.22001003</v>
      </c>
      <c r="F960">
        <v>8.5233599774212239E-4</v>
      </c>
      <c r="G960" s="32">
        <f t="shared" si="11"/>
        <v>2.1568562087490351E-2</v>
      </c>
      <c r="H960">
        <v>9.1632774740605001E-3</v>
      </c>
      <c r="I960">
        <v>8.511242247334805E-4</v>
      </c>
      <c r="J960">
        <v>8.4991245172483872E-4</v>
      </c>
      <c r="K960">
        <v>8.4870067871619683E-4</v>
      </c>
      <c r="L960">
        <v>8.4748890570755494E-4</v>
      </c>
      <c r="M960">
        <v>8.4627713269891315E-4</v>
      </c>
      <c r="N960">
        <v>8.4506535969027126E-4</v>
      </c>
    </row>
    <row r="961" spans="1:14" x14ac:dyDescent="0.35">
      <c r="A961">
        <v>204</v>
      </c>
      <c r="B961" t="s">
        <v>29</v>
      </c>
      <c r="C961" s="23">
        <v>43761</v>
      </c>
      <c r="D961">
        <v>-5.2216444337580003E-4</v>
      </c>
      <c r="E961">
        <v>0.22918119000000001</v>
      </c>
      <c r="F961">
        <v>-1.1967026608817675E-4</v>
      </c>
      <c r="G961" s="32">
        <f t="shared" si="11"/>
        <v>2.1448891821402173E-2</v>
      </c>
      <c r="H961">
        <v>9.0307141678883998E-3</v>
      </c>
      <c r="I961">
        <v>-1.2031658493152241E-4</v>
      </c>
      <c r="J961">
        <v>-1.2096290377486808E-4</v>
      </c>
      <c r="K961">
        <v>-1.2160922261821376E-4</v>
      </c>
      <c r="L961">
        <v>-1.2225554146155941E-4</v>
      </c>
      <c r="M961">
        <v>-1.2290186030490508E-4</v>
      </c>
      <c r="N961">
        <v>-1.2354817914825078E-4</v>
      </c>
    </row>
    <row r="962" spans="1:14" x14ac:dyDescent="0.35">
      <c r="A962">
        <v>205</v>
      </c>
      <c r="B962" t="s">
        <v>29</v>
      </c>
      <c r="C962" s="23">
        <v>43762</v>
      </c>
      <c r="D962">
        <v>5.6647703433201999E-3</v>
      </c>
      <c r="E962">
        <v>0.22843963</v>
      </c>
      <c r="F962">
        <v>1.2940580360396193E-3</v>
      </c>
      <c r="G962" s="32">
        <f t="shared" si="11"/>
        <v>2.2742949857441793E-2</v>
      </c>
      <c r="H962">
        <v>8.8836736047569996E-3</v>
      </c>
      <c r="I962">
        <v>1.2938990186403714E-3</v>
      </c>
      <c r="J962">
        <v>1.2937400012411238E-3</v>
      </c>
      <c r="K962">
        <v>1.2935809838418759E-3</v>
      </c>
      <c r="L962">
        <v>1.2934219664426281E-3</v>
      </c>
      <c r="M962">
        <v>1.2932629490433804E-3</v>
      </c>
      <c r="N962">
        <v>1.2931039316441326E-3</v>
      </c>
    </row>
    <row r="963" spans="1:14" x14ac:dyDescent="0.35">
      <c r="A963">
        <v>206</v>
      </c>
      <c r="B963" t="s">
        <v>29</v>
      </c>
      <c r="C963" s="23">
        <v>43763</v>
      </c>
      <c r="D963">
        <v>5.7023442420386997E-3</v>
      </c>
      <c r="E963">
        <v>0.24817908</v>
      </c>
      <c r="F963">
        <v>1.4152025370100501E-3</v>
      </c>
      <c r="G963" s="32">
        <f t="shared" si="11"/>
        <v>2.4158152394451841E-2</v>
      </c>
      <c r="H963">
        <v>8.7783854598501992E-3</v>
      </c>
      <c r="I963">
        <v>1.4139944384940219E-3</v>
      </c>
      <c r="J963">
        <v>1.4127863399779938E-3</v>
      </c>
      <c r="K963">
        <v>1.4115782414619656E-3</v>
      </c>
      <c r="L963">
        <v>1.4103701429459374E-3</v>
      </c>
      <c r="M963">
        <v>1.4091620444299092E-3</v>
      </c>
      <c r="N963">
        <v>1.4079539459138811E-3</v>
      </c>
    </row>
    <row r="964" spans="1:14" x14ac:dyDescent="0.35">
      <c r="A964">
        <v>207</v>
      </c>
      <c r="B964" t="s">
        <v>29</v>
      </c>
      <c r="C964" s="23">
        <v>43766</v>
      </c>
      <c r="D964">
        <v>-1.794307387349E-4</v>
      </c>
      <c r="E964">
        <v>0.25115457000000002</v>
      </c>
      <c r="F964">
        <v>-4.5064850349629545E-5</v>
      </c>
      <c r="G964" s="32">
        <f t="shared" si="11"/>
        <v>2.4113087544102213E-2</v>
      </c>
      <c r="H964">
        <v>8.6721467825988004E-3</v>
      </c>
      <c r="I964">
        <v>-4.5390585702972549E-5</v>
      </c>
      <c r="J964">
        <v>-4.5716321056315553E-5</v>
      </c>
      <c r="K964">
        <v>-4.6042056409658558E-5</v>
      </c>
      <c r="L964">
        <v>-4.6367791763001562E-5</v>
      </c>
      <c r="M964">
        <v>-4.6693527116344566E-5</v>
      </c>
      <c r="N964">
        <v>-4.701926246968757E-5</v>
      </c>
    </row>
    <row r="965" spans="1:14" x14ac:dyDescent="0.35">
      <c r="A965">
        <v>208</v>
      </c>
      <c r="B965" t="s">
        <v>29</v>
      </c>
      <c r="C965" s="23">
        <v>43767</v>
      </c>
      <c r="D965">
        <v>4.3783796462177997E-3</v>
      </c>
      <c r="E965">
        <v>0.23121670999999999</v>
      </c>
      <c r="F965">
        <v>1.0123545535065371E-3</v>
      </c>
      <c r="G965" s="32">
        <f t="shared" si="11"/>
        <v>2.5125442097608749E-2</v>
      </c>
      <c r="H965">
        <v>8.5308599997080993E-3</v>
      </c>
      <c r="I965">
        <v>1.0114769691645575E-3</v>
      </c>
      <c r="J965">
        <v>1.0105993848225779E-3</v>
      </c>
      <c r="K965">
        <v>1.0097218004805984E-3</v>
      </c>
      <c r="L965">
        <v>1.0088442161386186E-3</v>
      </c>
      <c r="M965">
        <v>1.007966631796639E-3</v>
      </c>
      <c r="N965">
        <v>1.0070890474546594E-3</v>
      </c>
    </row>
    <row r="966" spans="1:14" x14ac:dyDescent="0.35">
      <c r="A966">
        <v>209</v>
      </c>
      <c r="B966" t="s">
        <v>29</v>
      </c>
      <c r="C966" s="23">
        <v>43768</v>
      </c>
      <c r="D966">
        <v>-4.4246692895488996E-3</v>
      </c>
      <c r="E966">
        <v>0.21298568000000001</v>
      </c>
      <c r="F966">
        <v>-9.4239119522945803E-4</v>
      </c>
      <c r="G966" s="32">
        <f t="shared" si="11"/>
        <v>2.418305090237929E-2</v>
      </c>
      <c r="H966">
        <v>8.4083751249728004E-3</v>
      </c>
      <c r="I966">
        <v>-9.4322903870720451E-4</v>
      </c>
      <c r="J966">
        <v>-9.4406688218495098E-4</v>
      </c>
      <c r="K966">
        <v>-9.4490472566269735E-4</v>
      </c>
      <c r="L966">
        <v>-9.4574256914044382E-4</v>
      </c>
      <c r="M966">
        <v>-9.465804126181903E-4</v>
      </c>
      <c r="N966">
        <v>-9.4741825609593678E-4</v>
      </c>
    </row>
    <row r="967" spans="1:14" x14ac:dyDescent="0.35">
      <c r="A967">
        <v>210</v>
      </c>
      <c r="B967" t="s">
        <v>29</v>
      </c>
      <c r="C967" s="23">
        <v>43769</v>
      </c>
      <c r="D967">
        <v>1.02932885058398E-2</v>
      </c>
      <c r="E967">
        <v>0.15230751000000001</v>
      </c>
      <c r="F967">
        <v>1.5677451459061157E-3</v>
      </c>
      <c r="G967" s="32">
        <f t="shared" si="11"/>
        <v>2.5750796048285406E-2</v>
      </c>
      <c r="H967">
        <v>8.3157903778132009E-3</v>
      </c>
      <c r="I967">
        <v>1.5644309990028992E-3</v>
      </c>
      <c r="J967">
        <v>1.5611168520996827E-3</v>
      </c>
      <c r="K967">
        <v>1.5578027051964662E-3</v>
      </c>
      <c r="L967">
        <v>1.5544885582932499E-3</v>
      </c>
      <c r="M967">
        <v>1.5511744113900334E-3</v>
      </c>
      <c r="N967">
        <v>1.5478602644868169E-3</v>
      </c>
    </row>
    <row r="968" spans="1:14" x14ac:dyDescent="0.35">
      <c r="A968">
        <v>211</v>
      </c>
      <c r="B968" t="s">
        <v>29</v>
      </c>
      <c r="C968" s="23">
        <v>43770</v>
      </c>
      <c r="D968">
        <v>4.6388157314830999E-3</v>
      </c>
      <c r="E968">
        <v>0.13579896</v>
      </c>
      <c r="F968">
        <v>6.2994635625399911E-4</v>
      </c>
      <c r="G968" s="32">
        <f t="shared" si="11"/>
        <v>2.6380742404539404E-2</v>
      </c>
      <c r="H968">
        <v>8.3121129909946995E-3</v>
      </c>
      <c r="I968">
        <v>6.2901184836326989E-4</v>
      </c>
      <c r="J968">
        <v>6.2807734047254067E-4</v>
      </c>
      <c r="K968">
        <v>6.2714283258181157E-4</v>
      </c>
      <c r="L968">
        <v>6.2620832469108235E-4</v>
      </c>
      <c r="M968">
        <v>6.2527381680035313E-4</v>
      </c>
      <c r="N968">
        <v>6.2433930890962391E-4</v>
      </c>
    </row>
    <row r="969" spans="1:14" x14ac:dyDescent="0.35">
      <c r="A969">
        <v>212</v>
      </c>
      <c r="B969" t="s">
        <v>29</v>
      </c>
      <c r="C969" s="23">
        <v>43773</v>
      </c>
      <c r="D969">
        <v>-1.4061898909286999E-3</v>
      </c>
      <c r="E969">
        <v>0.11821917999999999</v>
      </c>
      <c r="F969">
        <v>-1.6623861849497022E-4</v>
      </c>
      <c r="G969" s="32">
        <f t="shared" si="11"/>
        <v>2.6214503786044435E-2</v>
      </c>
      <c r="H969">
        <v>8.1927037741384E-3</v>
      </c>
      <c r="I969">
        <v>-1.6713990559483357E-4</v>
      </c>
      <c r="J969">
        <v>-1.6804119269469694E-4</v>
      </c>
      <c r="K969">
        <v>-1.6894247979456028E-4</v>
      </c>
      <c r="L969">
        <v>-1.6984376689442365E-4</v>
      </c>
      <c r="M969">
        <v>-1.7074505399428699E-4</v>
      </c>
      <c r="N969">
        <v>-1.7164634109415034E-4</v>
      </c>
    </row>
    <row r="970" spans="1:14" x14ac:dyDescent="0.35">
      <c r="A970">
        <v>213</v>
      </c>
      <c r="B970" t="s">
        <v>29</v>
      </c>
      <c r="C970" s="23">
        <v>43774</v>
      </c>
      <c r="D970">
        <v>1.3342608562327001E-3</v>
      </c>
      <c r="E970">
        <v>8.7322120000000003E-2</v>
      </c>
      <c r="F970">
        <v>1.1651049106731116E-4</v>
      </c>
      <c r="G970" s="32">
        <f t="shared" si="11"/>
        <v>2.6331014277111747E-2</v>
      </c>
      <c r="H970">
        <v>8.0685793893620992E-3</v>
      </c>
      <c r="I970">
        <v>1.1480619166323441E-4</v>
      </c>
      <c r="J970">
        <v>1.1310189225915766E-4</v>
      </c>
      <c r="K970">
        <v>1.1139759285508092E-4</v>
      </c>
      <c r="L970">
        <v>1.0969329345100417E-4</v>
      </c>
      <c r="M970">
        <v>1.0798899404692742E-4</v>
      </c>
      <c r="N970">
        <v>1.0628469464285067E-4</v>
      </c>
    </row>
    <row r="971" spans="1:14" x14ac:dyDescent="0.35">
      <c r="A971">
        <v>214</v>
      </c>
      <c r="B971" t="s">
        <v>29</v>
      </c>
      <c r="C971" s="23">
        <v>43775</v>
      </c>
      <c r="D971">
        <v>4.0654254445248996E-3</v>
      </c>
      <c r="E971">
        <v>6.1867416000000001E-2</v>
      </c>
      <c r="F971">
        <v>2.515173668071865E-4</v>
      </c>
      <c r="G971" s="32">
        <f t="shared" si="11"/>
        <v>2.6582531643918932E-2</v>
      </c>
      <c r="H971">
        <v>7.9352123905474994E-3</v>
      </c>
      <c r="I971">
        <v>2.5008775226269622E-4</v>
      </c>
      <c r="J971">
        <v>2.4865813771820594E-4</v>
      </c>
      <c r="K971">
        <v>2.4722852317371567E-4</v>
      </c>
      <c r="L971">
        <v>2.4579890862922539E-4</v>
      </c>
      <c r="M971">
        <v>2.4436929408473511E-4</v>
      </c>
      <c r="N971">
        <v>2.4293967954024483E-4</v>
      </c>
    </row>
    <row r="972" spans="1:14" x14ac:dyDescent="0.35">
      <c r="A972">
        <v>215</v>
      </c>
      <c r="B972" t="s">
        <v>29</v>
      </c>
      <c r="C972" s="23">
        <v>43776</v>
      </c>
      <c r="D972">
        <v>1.7630453722291999E-3</v>
      </c>
      <c r="E972">
        <v>5.6071247999999997E-2</v>
      </c>
      <c r="F972">
        <v>9.8856154134895267E-5</v>
      </c>
      <c r="G972" s="32">
        <f t="shared" si="11"/>
        <v>2.6681387798053825E-2</v>
      </c>
      <c r="H972">
        <v>7.8152718917833992E-3</v>
      </c>
      <c r="I972">
        <v>9.8562290174233948E-5</v>
      </c>
      <c r="J972">
        <v>9.8268426213572616E-5</v>
      </c>
      <c r="K972">
        <v>9.7974562252911297E-5</v>
      </c>
      <c r="L972">
        <v>9.7680698292249964E-5</v>
      </c>
      <c r="M972">
        <v>9.7386834331588646E-5</v>
      </c>
      <c r="N972">
        <v>9.7092970370927313E-5</v>
      </c>
    </row>
    <row r="973" spans="1:14" x14ac:dyDescent="0.35">
      <c r="A973">
        <v>216</v>
      </c>
      <c r="B973" t="s">
        <v>29</v>
      </c>
      <c r="C973" s="23">
        <v>43777</v>
      </c>
      <c r="D973">
        <v>-1.1933495296975001E-3</v>
      </c>
      <c r="E973">
        <v>4.6291270000000002E-2</v>
      </c>
      <c r="F973">
        <v>-5.5241664522210549E-5</v>
      </c>
      <c r="G973" s="32">
        <f t="shared" si="11"/>
        <v>2.6626146133531616E-2</v>
      </c>
      <c r="H973">
        <v>7.6862734168206001E-3</v>
      </c>
      <c r="I973">
        <v>-5.5785926211034852E-5</v>
      </c>
      <c r="J973">
        <v>-5.6330187899859149E-5</v>
      </c>
      <c r="K973">
        <v>-5.6874449588683453E-5</v>
      </c>
      <c r="L973">
        <v>-5.7418711277507756E-5</v>
      </c>
      <c r="M973">
        <v>-5.796297296633206E-5</v>
      </c>
      <c r="N973">
        <v>-5.8507234655156357E-5</v>
      </c>
    </row>
    <row r="974" spans="1:14" x14ac:dyDescent="0.35">
      <c r="A974">
        <v>217</v>
      </c>
      <c r="B974" t="s">
        <v>29</v>
      </c>
      <c r="C974" s="23">
        <v>43780</v>
      </c>
      <c r="D974">
        <v>1.8195316673045E-3</v>
      </c>
      <c r="E974">
        <v>4.5010960000000003E-2</v>
      </c>
      <c r="F974">
        <v>8.1898869992829779E-5</v>
      </c>
      <c r="G974" s="32">
        <f t="shared" si="11"/>
        <v>2.6708045003524444E-2</v>
      </c>
      <c r="H974">
        <v>7.5689723317051002E-3</v>
      </c>
      <c r="I974">
        <v>8.1863050158390677E-5</v>
      </c>
      <c r="J974">
        <v>8.1827230323951576E-5</v>
      </c>
      <c r="K974">
        <v>8.1791410489512475E-5</v>
      </c>
      <c r="L974">
        <v>8.1755590655073373E-5</v>
      </c>
      <c r="M974">
        <v>8.1719770820634259E-5</v>
      </c>
      <c r="N974">
        <v>8.1683950986195157E-5</v>
      </c>
    </row>
    <row r="975" spans="1:14" x14ac:dyDescent="0.35">
      <c r="A975">
        <v>218</v>
      </c>
      <c r="B975" t="s">
        <v>29</v>
      </c>
      <c r="C975" s="23">
        <v>43781</v>
      </c>
      <c r="D975">
        <v>1.4368294624338999E-3</v>
      </c>
      <c r="E975">
        <v>3.7769990000000003E-2</v>
      </c>
      <c r="F975">
        <v>5.4269031811664527E-5</v>
      </c>
      <c r="G975" s="32">
        <f t="shared" si="11"/>
        <v>2.6762314035336108E-2</v>
      </c>
      <c r="H975">
        <v>7.4441364154050997E-3</v>
      </c>
      <c r="I975">
        <v>5.3856586201392272E-5</v>
      </c>
      <c r="J975">
        <v>5.3444140591120023E-5</v>
      </c>
      <c r="K975">
        <v>5.3031694980847767E-5</v>
      </c>
      <c r="L975">
        <v>5.2619249370575512E-5</v>
      </c>
      <c r="M975">
        <v>5.2206803760303263E-5</v>
      </c>
      <c r="N975">
        <v>5.1794358150031007E-5</v>
      </c>
    </row>
    <row r="976" spans="1:14" x14ac:dyDescent="0.35">
      <c r="A976">
        <v>219</v>
      </c>
      <c r="B976" t="s">
        <v>29</v>
      </c>
      <c r="C976" s="23">
        <v>43782</v>
      </c>
      <c r="D976">
        <v>6.2542604762289998E-4</v>
      </c>
      <c r="E976">
        <v>3.0975229999999999E-2</v>
      </c>
      <c r="F976">
        <v>1.9372715696980318E-5</v>
      </c>
      <c r="G976" s="32">
        <f t="shared" si="11"/>
        <v>2.6781686751033089E-2</v>
      </c>
      <c r="H976">
        <v>7.3210854299211002E-3</v>
      </c>
      <c r="I976">
        <v>1.8974516376598238E-5</v>
      </c>
      <c r="J976">
        <v>1.8576317056216154E-5</v>
      </c>
      <c r="K976">
        <v>1.8178117735834073E-5</v>
      </c>
      <c r="L976">
        <v>1.7779918415451993E-5</v>
      </c>
      <c r="M976">
        <v>1.7381719095069909E-5</v>
      </c>
      <c r="N976">
        <v>1.6983519774687829E-5</v>
      </c>
    </row>
    <row r="977" spans="1:14" x14ac:dyDescent="0.35">
      <c r="A977">
        <v>220</v>
      </c>
      <c r="B977" t="s">
        <v>29</v>
      </c>
      <c r="C977" s="23">
        <v>43783</v>
      </c>
      <c r="D977">
        <v>9.0036625496489001E-3</v>
      </c>
      <c r="E977">
        <v>2.3704492000000001E-2</v>
      </c>
      <c r="F977">
        <v>2.1342724287844154E-4</v>
      </c>
      <c r="G977" s="32">
        <f t="shared" si="11"/>
        <v>2.6995113993911531E-2</v>
      </c>
      <c r="H977">
        <v>7.2009452361543004E-3</v>
      </c>
      <c r="I977">
        <v>2.1298355843161164E-4</v>
      </c>
      <c r="J977">
        <v>2.1253987398478174E-4</v>
      </c>
      <c r="K977">
        <v>2.1209618953795187E-4</v>
      </c>
      <c r="L977">
        <v>2.1165250509112198E-4</v>
      </c>
      <c r="M977">
        <v>2.1120882064429208E-4</v>
      </c>
      <c r="N977">
        <v>2.1076513619746218E-4</v>
      </c>
    </row>
    <row r="978" spans="1:14" x14ac:dyDescent="0.35">
      <c r="A978">
        <v>221</v>
      </c>
      <c r="B978" t="s">
        <v>29</v>
      </c>
      <c r="C978" s="23">
        <v>43784</v>
      </c>
      <c r="D978">
        <v>1.48182120803E-3</v>
      </c>
      <c r="E978">
        <v>2.7654337000000001E-2</v>
      </c>
      <c r="F978">
        <v>4.0978782712986093E-5</v>
      </c>
      <c r="G978" s="32">
        <f t="shared" si="11"/>
        <v>2.7036092776624516E-2</v>
      </c>
      <c r="H978">
        <v>7.1573506716354996E-3</v>
      </c>
      <c r="I978">
        <v>4.0708581107468017E-5</v>
      </c>
      <c r="J978">
        <v>4.0438379501949934E-5</v>
      </c>
      <c r="K978">
        <v>4.0168177896431858E-5</v>
      </c>
      <c r="L978">
        <v>3.9897976290913782E-5</v>
      </c>
      <c r="M978">
        <v>3.9627774685395699E-5</v>
      </c>
      <c r="N978">
        <v>3.9357573079877623E-5</v>
      </c>
    </row>
    <row r="979" spans="1:14" x14ac:dyDescent="0.35">
      <c r="A979">
        <v>222</v>
      </c>
      <c r="B979" t="s">
        <v>29</v>
      </c>
      <c r="C979" s="23">
        <v>43787</v>
      </c>
      <c r="D979">
        <v>-1.3975242872134E-3</v>
      </c>
      <c r="E979">
        <v>2.3733279999999999E-2</v>
      </c>
      <c r="F979">
        <v>-3.3167836052516988E-5</v>
      </c>
      <c r="G979" s="32">
        <f t="shared" si="11"/>
        <v>2.7002924940572E-2</v>
      </c>
      <c r="H979">
        <v>7.0390956261919997E-3</v>
      </c>
      <c r="I979">
        <v>-3.3400345440143089E-5</v>
      </c>
      <c r="J979">
        <v>-3.3632854827769184E-5</v>
      </c>
      <c r="K979">
        <v>-3.3865364215395285E-5</v>
      </c>
      <c r="L979">
        <v>-3.409787360302138E-5</v>
      </c>
      <c r="M979">
        <v>-3.4330382990647482E-5</v>
      </c>
      <c r="N979">
        <v>-3.4562892378273583E-5</v>
      </c>
    </row>
    <row r="980" spans="1:14" x14ac:dyDescent="0.35">
      <c r="A980">
        <v>223</v>
      </c>
      <c r="B980" t="s">
        <v>29</v>
      </c>
      <c r="C980" s="23">
        <v>43788</v>
      </c>
      <c r="D980">
        <v>-4.1505819206134999E-3</v>
      </c>
      <c r="E980">
        <v>1.5723490999999999E-2</v>
      </c>
      <c r="F980">
        <v>-6.5261637836936951E-5</v>
      </c>
      <c r="G980" s="32">
        <f t="shared" si="11"/>
        <v>2.6937663302735063E-2</v>
      </c>
      <c r="H980">
        <v>6.9352138228636001E-3</v>
      </c>
      <c r="I980">
        <v>-6.5783437423045272E-5</v>
      </c>
      <c r="J980">
        <v>-6.6305237009153605E-5</v>
      </c>
      <c r="K980">
        <v>-6.6827036595261925E-5</v>
      </c>
      <c r="L980">
        <v>-6.7348836181370245E-5</v>
      </c>
      <c r="M980">
        <v>-6.7870635767478579E-5</v>
      </c>
      <c r="N980">
        <v>-6.8392435353586899E-5</v>
      </c>
    </row>
    <row r="981" spans="1:14" x14ac:dyDescent="0.35">
      <c r="A981">
        <v>224</v>
      </c>
      <c r="B981" t="s">
        <v>29</v>
      </c>
      <c r="C981" s="23">
        <v>43789</v>
      </c>
      <c r="D981">
        <v>-2.2142362651052E-3</v>
      </c>
      <c r="E981">
        <v>7.9687739999999996E-3</v>
      </c>
      <c r="F981">
        <v>-1.7644748523983846E-5</v>
      </c>
      <c r="G981" s="32">
        <f t="shared" si="11"/>
        <v>2.692001855421108E-2</v>
      </c>
      <c r="H981">
        <v>6.8630365458396004E-3</v>
      </c>
      <c r="I981">
        <v>-1.8167322815918115E-5</v>
      </c>
      <c r="J981">
        <v>-1.8689897107852384E-5</v>
      </c>
      <c r="K981">
        <v>-1.9212471399786653E-5</v>
      </c>
      <c r="L981">
        <v>-1.9735045691720921E-5</v>
      </c>
      <c r="M981">
        <v>-2.025761998365519E-5</v>
      </c>
      <c r="N981">
        <v>-2.0780194275589459E-5</v>
      </c>
    </row>
    <row r="982" spans="1:14" x14ac:dyDescent="0.35">
      <c r="A982">
        <v>225</v>
      </c>
      <c r="B982" t="s">
        <v>29</v>
      </c>
      <c r="C982" s="23">
        <v>43790</v>
      </c>
      <c r="D982">
        <v>3.3741330992552998E-3</v>
      </c>
      <c r="E982">
        <v>2.1303378000000002E-3</v>
      </c>
      <c r="F982">
        <v>7.18804314182659E-6</v>
      </c>
      <c r="G982" s="32">
        <f t="shared" si="11"/>
        <v>2.6927206597352905E-2</v>
      </c>
      <c r="H982">
        <v>6.7665661102245004E-3</v>
      </c>
      <c r="I982">
        <v>6.7882124510600572E-6</v>
      </c>
      <c r="J982">
        <v>6.3883817602935253E-6</v>
      </c>
      <c r="K982">
        <v>5.9885510695269934E-6</v>
      </c>
      <c r="L982">
        <v>5.5887203787604606E-6</v>
      </c>
      <c r="M982">
        <v>5.1888896879939279E-6</v>
      </c>
      <c r="N982">
        <v>4.789058997227396E-6</v>
      </c>
    </row>
    <row r="983" spans="1:14" x14ac:dyDescent="0.35">
      <c r="A983">
        <v>226</v>
      </c>
      <c r="B983" t="s">
        <v>29</v>
      </c>
      <c r="C983" s="23">
        <v>43791</v>
      </c>
      <c r="D983">
        <v>9.6899374256839005E-3</v>
      </c>
      <c r="E983">
        <v>-6.9173235000000001E-3</v>
      </c>
      <c r="F983">
        <v>-6.7028431398146233E-5</v>
      </c>
      <c r="G983" s="32">
        <f t="shared" si="11"/>
        <v>2.6860178165954759E-2</v>
      </c>
      <c r="H983">
        <v>6.6597686880143E-3</v>
      </c>
      <c r="I983">
        <v>-6.7667902989579622E-5</v>
      </c>
      <c r="J983">
        <v>-6.8307374581013012E-5</v>
      </c>
      <c r="K983">
        <v>-6.8946846172446402E-5</v>
      </c>
      <c r="L983">
        <v>-6.9586317763879792E-5</v>
      </c>
      <c r="M983">
        <v>-7.0225789355313182E-5</v>
      </c>
      <c r="N983">
        <v>-7.0865260946746572E-5</v>
      </c>
    </row>
    <row r="984" spans="1:14" x14ac:dyDescent="0.35">
      <c r="A984">
        <v>227</v>
      </c>
      <c r="B984" t="s">
        <v>29</v>
      </c>
      <c r="C984" s="23">
        <v>43794</v>
      </c>
      <c r="D984">
        <v>5.0025927896747997E-3</v>
      </c>
      <c r="E984">
        <v>-9.6764850000000003E-3</v>
      </c>
      <c r="F984">
        <v>-4.8407515703311454E-5</v>
      </c>
      <c r="G984" s="32">
        <f t="shared" si="11"/>
        <v>2.6811770650251449E-2</v>
      </c>
      <c r="H984">
        <v>6.6322789231027003E-3</v>
      </c>
      <c r="I984">
        <v>-4.8606100750542893E-5</v>
      </c>
      <c r="J984">
        <v>-4.8804685797774325E-5</v>
      </c>
      <c r="K984">
        <v>-4.9003270845005764E-5</v>
      </c>
      <c r="L984">
        <v>-4.9201855892237203E-5</v>
      </c>
      <c r="M984">
        <v>-4.9400440939468641E-5</v>
      </c>
      <c r="N984">
        <v>-4.9599025986700073E-5</v>
      </c>
    </row>
    <row r="985" spans="1:14" x14ac:dyDescent="0.35">
      <c r="A985">
        <v>228</v>
      </c>
      <c r="B985" t="s">
        <v>29</v>
      </c>
      <c r="C985" s="23">
        <v>43795</v>
      </c>
      <c r="D985">
        <v>4.5988454323220998E-3</v>
      </c>
      <c r="E985">
        <v>-4.0983649999999996E-3</v>
      </c>
      <c r="F985">
        <v>-1.8847747543491963E-5</v>
      </c>
      <c r="G985" s="32">
        <f t="shared" si="11"/>
        <v>2.6792922902707957E-2</v>
      </c>
      <c r="H985">
        <v>6.5357310615082997E-3</v>
      </c>
      <c r="I985">
        <v>-1.924079655004062E-5</v>
      </c>
      <c r="J985">
        <v>-1.9633845556589278E-5</v>
      </c>
      <c r="K985">
        <v>-2.0026894563137935E-5</v>
      </c>
      <c r="L985">
        <v>-2.041994356968659E-5</v>
      </c>
      <c r="M985">
        <v>-2.0812992576235247E-5</v>
      </c>
      <c r="N985">
        <v>-2.1206041582783905E-5</v>
      </c>
    </row>
    <row r="986" spans="1:14" x14ac:dyDescent="0.35">
      <c r="A986">
        <v>229</v>
      </c>
      <c r="B986" t="s">
        <v>29</v>
      </c>
      <c r="C986" s="23">
        <v>43796</v>
      </c>
      <c r="D986">
        <v>-4.6547897404186E-3</v>
      </c>
      <c r="E986">
        <v>-1.3317366000000001E-2</v>
      </c>
      <c r="F986">
        <v>6.1989539234347975E-5</v>
      </c>
      <c r="G986" s="32">
        <f t="shared" si="11"/>
        <v>2.6854912441942304E-2</v>
      </c>
      <c r="H986">
        <v>6.4367057594053E-3</v>
      </c>
      <c r="I986">
        <v>6.1308304713290072E-5</v>
      </c>
      <c r="J986">
        <v>6.0627070192232175E-5</v>
      </c>
      <c r="K986">
        <v>5.9945835671174271E-5</v>
      </c>
      <c r="L986">
        <v>5.9264601150116374E-5</v>
      </c>
      <c r="M986">
        <v>5.858336662905847E-5</v>
      </c>
      <c r="N986">
        <v>5.7902132108000573E-5</v>
      </c>
    </row>
    <row r="987" spans="1:14" x14ac:dyDescent="0.35">
      <c r="A987">
        <v>230</v>
      </c>
      <c r="B987" t="s">
        <v>29</v>
      </c>
      <c r="C987" s="23">
        <v>43798</v>
      </c>
      <c r="D987">
        <v>-1.3893193944488499E-2</v>
      </c>
      <c r="E987">
        <v>-9.1145224999999996E-3</v>
      </c>
      <c r="F987">
        <v>1.2662982862225239E-4</v>
      </c>
      <c r="G987" s="32">
        <f t="shared" si="11"/>
        <v>2.6981542270564558E-2</v>
      </c>
      <c r="H987">
        <v>6.3820896997936003E-3</v>
      </c>
      <c r="I987">
        <v>1.2632706415522489E-4</v>
      </c>
      <c r="J987">
        <v>1.2602429968819741E-4</v>
      </c>
      <c r="K987">
        <v>1.257215352211699E-4</v>
      </c>
      <c r="L987">
        <v>1.2541877075414242E-4</v>
      </c>
      <c r="M987">
        <v>1.2511600628711491E-4</v>
      </c>
      <c r="N987">
        <v>1.248132418200874E-4</v>
      </c>
    </row>
    <row r="988" spans="1:14" x14ac:dyDescent="0.35">
      <c r="A988">
        <v>231</v>
      </c>
      <c r="B988" t="s">
        <v>29</v>
      </c>
      <c r="C988" s="23">
        <v>43801</v>
      </c>
      <c r="D988">
        <v>-1.07569459021662E-2</v>
      </c>
      <c r="E988">
        <v>-1.4220877E-2</v>
      </c>
      <c r="F988">
        <v>1.5297320047432734E-4</v>
      </c>
      <c r="G988" s="32">
        <f t="shared" si="11"/>
        <v>2.7134515471038886E-2</v>
      </c>
      <c r="H988">
        <v>6.5580011464174996E-3</v>
      </c>
      <c r="I988">
        <v>1.5262342435199075E-4</v>
      </c>
      <c r="J988">
        <v>1.5227364822965417E-4</v>
      </c>
      <c r="K988">
        <v>1.5192387210731756E-4</v>
      </c>
      <c r="L988">
        <v>1.5157409598498097E-4</v>
      </c>
      <c r="M988">
        <v>1.5122431986264439E-4</v>
      </c>
      <c r="N988">
        <v>1.508745437403078E-4</v>
      </c>
    </row>
    <row r="989" spans="1:14" x14ac:dyDescent="0.35">
      <c r="A989">
        <v>232</v>
      </c>
      <c r="B989" t="s">
        <v>29</v>
      </c>
      <c r="C989" s="23">
        <v>43802</v>
      </c>
      <c r="D989">
        <v>9.2351465409379E-3</v>
      </c>
      <c r="E989">
        <v>-1.6433923E-2</v>
      </c>
      <c r="F989">
        <v>-1.517696832126161E-4</v>
      </c>
      <c r="G989" s="32">
        <f t="shared" si="11"/>
        <v>2.6982745787826272E-2</v>
      </c>
      <c r="H989">
        <v>6.6203078985597004E-3</v>
      </c>
      <c r="I989">
        <v>-1.5191797421474444E-4</v>
      </c>
      <c r="J989">
        <v>-1.5206626521687281E-4</v>
      </c>
      <c r="K989">
        <v>-1.5221455621900116E-4</v>
      </c>
      <c r="L989">
        <v>-1.5236284722112953E-4</v>
      </c>
      <c r="M989">
        <v>-1.5251113822325788E-4</v>
      </c>
      <c r="N989">
        <v>-1.5265942922538625E-4</v>
      </c>
    </row>
    <row r="990" spans="1:14" x14ac:dyDescent="0.35">
      <c r="A990">
        <v>233</v>
      </c>
      <c r="B990" t="s">
        <v>29</v>
      </c>
      <c r="C990" s="23">
        <v>43803</v>
      </c>
      <c r="D990">
        <v>3.1081134183091998E-3</v>
      </c>
      <c r="E990">
        <v>1.3559816000000001E-2</v>
      </c>
      <c r="F990">
        <v>4.2145447318740212E-5</v>
      </c>
      <c r="G990" s="32">
        <f t="shared" si="11"/>
        <v>2.7024891235145013E-2</v>
      </c>
      <c r="H990">
        <v>6.5962619217743001E-3</v>
      </c>
      <c r="I990">
        <v>4.0001428583450764E-5</v>
      </c>
      <c r="J990">
        <v>3.7857409848161316E-5</v>
      </c>
      <c r="K990">
        <v>3.5713391112871868E-5</v>
      </c>
      <c r="L990">
        <v>3.356937237758242E-5</v>
      </c>
      <c r="M990">
        <v>3.1425353642292972E-5</v>
      </c>
      <c r="N990">
        <v>2.9281334907003524E-5</v>
      </c>
    </row>
    <row r="991" spans="1:14" x14ac:dyDescent="0.35">
      <c r="A991">
        <v>234</v>
      </c>
      <c r="B991" t="s">
        <v>29</v>
      </c>
      <c r="C991" s="23">
        <v>43804</v>
      </c>
      <c r="D991">
        <v>1.3188170868663401E-2</v>
      </c>
      <c r="E991">
        <v>6.3501840000000004E-2</v>
      </c>
      <c r="F991">
        <v>8.3747314699062392E-4</v>
      </c>
      <c r="G991" s="32">
        <f t="shared" si="11"/>
        <v>2.7862364382135636E-2</v>
      </c>
      <c r="H991">
        <v>6.4920758851856001E-3</v>
      </c>
      <c r="I991">
        <v>8.3382306991278826E-4</v>
      </c>
      <c r="J991">
        <v>8.301729928349525E-4</v>
      </c>
      <c r="K991">
        <v>8.2652291575711684E-4</v>
      </c>
      <c r="L991">
        <v>8.2287283867928118E-4</v>
      </c>
      <c r="M991">
        <v>8.1922276160144541E-4</v>
      </c>
      <c r="N991">
        <v>8.1557268452360976E-4</v>
      </c>
    </row>
    <row r="992" spans="1:14" x14ac:dyDescent="0.35">
      <c r="A992">
        <v>235</v>
      </c>
      <c r="B992" t="s">
        <v>29</v>
      </c>
      <c r="C992" s="23">
        <v>43805</v>
      </c>
      <c r="D992">
        <v>-5.2700752579888004E-3</v>
      </c>
      <c r="E992">
        <v>8.3114629999999995E-2</v>
      </c>
      <c r="F992">
        <v>-4.3802036290808001E-4</v>
      </c>
      <c r="G992" s="32">
        <f t="shared" si="11"/>
        <v>2.7424344019227557E-2</v>
      </c>
      <c r="H992">
        <v>6.5541034746637002E-3</v>
      </c>
      <c r="I992">
        <v>-4.3939042438055821E-4</v>
      </c>
      <c r="J992">
        <v>-4.4076048585303646E-4</v>
      </c>
      <c r="K992">
        <v>-4.4213054732551466E-4</v>
      </c>
      <c r="L992">
        <v>-4.4350060879799286E-4</v>
      </c>
      <c r="M992">
        <v>-4.4487067027047106E-4</v>
      </c>
      <c r="N992">
        <v>-4.4624073174294931E-4</v>
      </c>
    </row>
    <row r="993" spans="1:14" x14ac:dyDescent="0.35">
      <c r="A993">
        <v>236</v>
      </c>
      <c r="B993" t="s">
        <v>29</v>
      </c>
      <c r="C993" s="23">
        <v>43808</v>
      </c>
      <c r="D993">
        <v>6.9547102201660005E-4</v>
      </c>
      <c r="E993">
        <v>0.10724999</v>
      </c>
      <c r="F993">
        <v>7.4589260230032022E-5</v>
      </c>
      <c r="G993" s="32">
        <f t="shared" si="11"/>
        <v>2.7498933279457589E-2</v>
      </c>
      <c r="H993">
        <v>6.5018198859573004E-3</v>
      </c>
      <c r="I993">
        <v>7.278728274890844E-5</v>
      </c>
      <c r="J993">
        <v>7.0985305267784872E-5</v>
      </c>
      <c r="K993">
        <v>6.918332778666129E-5</v>
      </c>
      <c r="L993">
        <v>6.7381350305537708E-5</v>
      </c>
      <c r="M993">
        <v>6.557937282441414E-5</v>
      </c>
      <c r="N993">
        <v>6.3777395343290558E-5</v>
      </c>
    </row>
    <row r="994" spans="1:14" x14ac:dyDescent="0.35">
      <c r="A994">
        <v>237</v>
      </c>
      <c r="B994" t="s">
        <v>29</v>
      </c>
      <c r="C994" s="23">
        <v>43809</v>
      </c>
      <c r="D994">
        <v>3.2982348611597001E-3</v>
      </c>
      <c r="E994">
        <v>0.10713710999999999</v>
      </c>
      <c r="F994">
        <v>3.5336333911704481E-4</v>
      </c>
      <c r="G994" s="32">
        <f t="shared" si="11"/>
        <v>2.7852296618574635E-2</v>
      </c>
      <c r="H994">
        <v>6.3948652400137003E-3</v>
      </c>
      <c r="I994">
        <v>3.5324133431007167E-4</v>
      </c>
      <c r="J994">
        <v>3.5311932950309852E-4</v>
      </c>
      <c r="K994">
        <v>3.5299732469612537E-4</v>
      </c>
      <c r="L994">
        <v>3.5287531988915222E-4</v>
      </c>
      <c r="M994">
        <v>3.5275331508217907E-4</v>
      </c>
      <c r="N994">
        <v>3.5263131027520587E-4</v>
      </c>
    </row>
    <row r="995" spans="1:14" x14ac:dyDescent="0.35">
      <c r="A995">
        <v>238</v>
      </c>
      <c r="B995" t="s">
        <v>29</v>
      </c>
      <c r="C995" s="23">
        <v>43810</v>
      </c>
      <c r="D995">
        <v>1.1942318485239099E-2</v>
      </c>
      <c r="E995">
        <v>0.12071251</v>
      </c>
      <c r="F995">
        <v>1.4415872543982338E-3</v>
      </c>
      <c r="G995" s="32">
        <f t="shared" si="11"/>
        <v>2.9293883872972867E-2</v>
      </c>
      <c r="H995">
        <v>6.2935830466555997E-3</v>
      </c>
      <c r="I995">
        <v>1.4404407757044502E-3</v>
      </c>
      <c r="J995">
        <v>1.4392942970106665E-3</v>
      </c>
      <c r="K995">
        <v>1.4381478183168829E-3</v>
      </c>
      <c r="L995">
        <v>1.4370013396230992E-3</v>
      </c>
      <c r="M995">
        <v>1.4358548609293158E-3</v>
      </c>
      <c r="N995">
        <v>1.4347083822355321E-3</v>
      </c>
    </row>
    <row r="996" spans="1:14" x14ac:dyDescent="0.35">
      <c r="A996">
        <v>239</v>
      </c>
      <c r="B996" t="s">
        <v>29</v>
      </c>
      <c r="C996" s="23">
        <v>43811</v>
      </c>
      <c r="D996">
        <v>1.8890653850972001E-3</v>
      </c>
      <c r="E996">
        <v>0.12788214000000001</v>
      </c>
      <c r="F996">
        <v>2.4157772006897329E-4</v>
      </c>
      <c r="G996" s="32">
        <f t="shared" si="11"/>
        <v>2.953546159304184E-2</v>
      </c>
      <c r="H996">
        <v>6.3156610899493997E-3</v>
      </c>
      <c r="I996">
        <v>2.4107306039470019E-4</v>
      </c>
      <c r="J996">
        <v>2.4056840072042709E-4</v>
      </c>
      <c r="K996">
        <v>2.4006374104615396E-4</v>
      </c>
      <c r="L996">
        <v>2.3955908137188086E-4</v>
      </c>
      <c r="M996">
        <v>2.3905442169760776E-4</v>
      </c>
      <c r="N996">
        <v>2.3854976202333466E-4</v>
      </c>
    </row>
    <row r="997" spans="1:14" x14ac:dyDescent="0.35">
      <c r="A997">
        <v>240</v>
      </c>
      <c r="B997" t="s">
        <v>29</v>
      </c>
      <c r="C997" s="23">
        <v>43812</v>
      </c>
      <c r="D997">
        <v>1.0671045594334599E-2</v>
      </c>
      <c r="E997">
        <v>0.13689635999999999</v>
      </c>
      <c r="F997">
        <v>1.4608272666079194E-3</v>
      </c>
      <c r="G997" s="32">
        <f t="shared" si="11"/>
        <v>3.0996288859649758E-2</v>
      </c>
      <c r="H997">
        <v>6.2112763164226996E-3</v>
      </c>
      <c r="I997">
        <v>1.4599808360670457E-3</v>
      </c>
      <c r="J997">
        <v>1.4591344055261723E-3</v>
      </c>
      <c r="K997">
        <v>1.4582879749852986E-3</v>
      </c>
      <c r="L997">
        <v>1.4574415444444249E-3</v>
      </c>
      <c r="M997">
        <v>1.4565951139035515E-3</v>
      </c>
      <c r="N997">
        <v>1.4557486833626778E-3</v>
      </c>
    </row>
    <row r="998" spans="1:14" x14ac:dyDescent="0.35">
      <c r="A998">
        <v>241</v>
      </c>
      <c r="B998" t="s">
        <v>29</v>
      </c>
      <c r="C998" s="23">
        <v>43815</v>
      </c>
      <c r="D998">
        <v>-1.0739736922182001E-3</v>
      </c>
      <c r="E998">
        <v>0.124975406</v>
      </c>
      <c r="F998">
        <v>-1.3422029782462306E-4</v>
      </c>
      <c r="G998" s="32">
        <f t="shared" si="11"/>
        <v>3.0862068561825134E-2</v>
      </c>
      <c r="H998">
        <v>6.1974204400739004E-3</v>
      </c>
      <c r="I998">
        <v>-1.3510580193964373E-4</v>
      </c>
      <c r="J998">
        <v>-1.3599130605466441E-4</v>
      </c>
      <c r="K998">
        <v>-1.3687681016968508E-4</v>
      </c>
      <c r="L998">
        <v>-1.3776231428470575E-4</v>
      </c>
      <c r="M998">
        <v>-1.3864781839972642E-4</v>
      </c>
      <c r="N998">
        <v>-1.3953332251474709E-4</v>
      </c>
    </row>
    <row r="999" spans="1:14" x14ac:dyDescent="0.35">
      <c r="A999">
        <v>242</v>
      </c>
      <c r="B999" t="s">
        <v>29</v>
      </c>
      <c r="C999" s="23">
        <v>43816</v>
      </c>
      <c r="D999">
        <v>1.3331172850194E-3</v>
      </c>
      <c r="E999">
        <v>0.13649884000000001</v>
      </c>
      <c r="F999">
        <v>1.8196896120685458E-4</v>
      </c>
      <c r="G999" s="32">
        <f t="shared" si="11"/>
        <v>3.1044037523031989E-2</v>
      </c>
      <c r="H999">
        <v>6.1065011096443E-3</v>
      </c>
      <c r="I999">
        <v>1.8093554796785871E-4</v>
      </c>
      <c r="J999">
        <v>1.7990213472886285E-4</v>
      </c>
      <c r="K999">
        <v>1.7886872148986701E-4</v>
      </c>
      <c r="L999">
        <v>1.7783530825087114E-4</v>
      </c>
      <c r="M999">
        <v>1.7680189501187527E-4</v>
      </c>
      <c r="N999">
        <v>1.757684817728794E-4</v>
      </c>
    </row>
    <row r="1000" spans="1:14" x14ac:dyDescent="0.35">
      <c r="A1000">
        <v>243</v>
      </c>
      <c r="B1000" t="s">
        <v>29</v>
      </c>
      <c r="C1000" s="23">
        <v>43817</v>
      </c>
      <c r="D1000">
        <v>6.0817360646570999E-3</v>
      </c>
      <c r="E1000">
        <v>0.12946880999999999</v>
      </c>
      <c r="F1000">
        <v>7.8739515254577298E-4</v>
      </c>
      <c r="G1000" s="32">
        <f t="shared" si="11"/>
        <v>3.183143267557776E-2</v>
      </c>
      <c r="H1000">
        <v>6.0061129990060004E-3</v>
      </c>
      <c r="I1000">
        <v>7.8701866983662096E-4</v>
      </c>
      <c r="J1000">
        <v>7.8664218712746895E-4</v>
      </c>
      <c r="K1000">
        <v>7.8626570441831694E-4</v>
      </c>
      <c r="L1000">
        <v>7.8588922170916493E-4</v>
      </c>
      <c r="M1000">
        <v>7.8551273900001291E-4</v>
      </c>
      <c r="N1000">
        <v>7.851362562908609E-4</v>
      </c>
    </row>
    <row r="1001" spans="1:14" x14ac:dyDescent="0.35">
      <c r="A1001">
        <v>244</v>
      </c>
      <c r="B1001" t="s">
        <v>29</v>
      </c>
      <c r="C1001" s="23">
        <v>43818</v>
      </c>
      <c r="D1001">
        <v>1.1895103574824401E-2</v>
      </c>
      <c r="E1001">
        <v>0.12079587999999999</v>
      </c>
      <c r="F1001">
        <v>1.4368795425321586E-3</v>
      </c>
      <c r="G1001" s="32">
        <f t="shared" si="11"/>
        <v>3.326831221810992E-2</v>
      </c>
      <c r="H1001">
        <v>5.9247691620218004E-3</v>
      </c>
      <c r="I1001">
        <v>1.4363277677803875E-3</v>
      </c>
      <c r="J1001">
        <v>1.4357759930286164E-3</v>
      </c>
      <c r="K1001">
        <v>1.4352242182768453E-3</v>
      </c>
      <c r="L1001">
        <v>1.4346724435250742E-3</v>
      </c>
      <c r="M1001">
        <v>1.4341206687733031E-3</v>
      </c>
      <c r="N1001">
        <v>1.433568894021532E-3</v>
      </c>
    </row>
    <row r="1002" spans="1:14" x14ac:dyDescent="0.35">
      <c r="A1002">
        <v>245</v>
      </c>
      <c r="B1002" t="s">
        <v>29</v>
      </c>
      <c r="C1002" s="23">
        <v>43819</v>
      </c>
      <c r="D1002">
        <v>-1.8598632053203001E-3</v>
      </c>
      <c r="E1002">
        <v>9.9747784000000006E-2</v>
      </c>
      <c r="F1002">
        <v>-1.8551723408427058E-4</v>
      </c>
      <c r="G1002" s="32">
        <f t="shared" si="11"/>
        <v>3.3082794984025651E-2</v>
      </c>
      <c r="H1002">
        <v>5.9280477055086997E-3</v>
      </c>
      <c r="I1002">
        <v>-1.8720006026925004E-4</v>
      </c>
      <c r="J1002">
        <v>-1.8888288645422949E-4</v>
      </c>
      <c r="K1002">
        <v>-1.9056571263920894E-4</v>
      </c>
      <c r="L1002">
        <v>-1.9224853882418837E-4</v>
      </c>
      <c r="M1002">
        <v>-1.9393136500916783E-4</v>
      </c>
      <c r="N1002">
        <v>-1.9561419119414728E-4</v>
      </c>
    </row>
    <row r="1003" spans="1:14" x14ac:dyDescent="0.35">
      <c r="A1003">
        <v>246</v>
      </c>
      <c r="B1003" t="s">
        <v>29</v>
      </c>
      <c r="C1003" s="23">
        <v>43822</v>
      </c>
      <c r="D1003">
        <v>-7.5062635229129998E-4</v>
      </c>
      <c r="E1003">
        <v>9.150018E-2</v>
      </c>
      <c r="F1003">
        <v>-6.8682444830733775E-5</v>
      </c>
      <c r="G1003" s="32">
        <f t="shared" si="11"/>
        <v>3.3014112539194916E-2</v>
      </c>
      <c r="H1003">
        <v>5.8509425132333998E-3</v>
      </c>
      <c r="I1003">
        <v>-6.9243664160661324E-5</v>
      </c>
      <c r="J1003">
        <v>-6.9804883490588872E-5</v>
      </c>
      <c r="K1003">
        <v>-7.0366102820516421E-5</v>
      </c>
      <c r="L1003">
        <v>-7.0927322150443969E-5</v>
      </c>
      <c r="M1003">
        <v>-7.1488541480371518E-5</v>
      </c>
      <c r="N1003">
        <v>-7.2049760810299066E-5</v>
      </c>
    </row>
    <row r="1004" spans="1:14" x14ac:dyDescent="0.35">
      <c r="A1004">
        <v>247</v>
      </c>
      <c r="B1004" t="s">
        <v>29</v>
      </c>
      <c r="C1004" s="23">
        <v>43823</v>
      </c>
      <c r="D1004">
        <v>9.5271961842122999E-3</v>
      </c>
      <c r="E1004">
        <v>7.0955283999999993E-2</v>
      </c>
      <c r="F1004">
        <v>6.7600491040132877E-4</v>
      </c>
      <c r="G1004" s="32">
        <f t="shared" si="11"/>
        <v>3.3690117449596248E-2</v>
      </c>
      <c r="H1004">
        <v>5.7649619668620998E-3</v>
      </c>
      <c r="I1004">
        <v>6.7443139054214948E-4</v>
      </c>
      <c r="J1004">
        <v>6.7285787068297018E-4</v>
      </c>
      <c r="K1004">
        <v>6.7128435082379088E-4</v>
      </c>
      <c r="L1004">
        <v>6.6971083096461158E-4</v>
      </c>
      <c r="M1004">
        <v>6.6813731110543229E-4</v>
      </c>
      <c r="N1004">
        <v>6.6656379124625299E-4</v>
      </c>
    </row>
    <row r="1005" spans="1:14" x14ac:dyDescent="0.35">
      <c r="A1005">
        <v>248</v>
      </c>
      <c r="B1005" t="s">
        <v>29</v>
      </c>
      <c r="C1005" s="23">
        <v>43825</v>
      </c>
      <c r="D1005">
        <v>-3.5615398863011001E-3</v>
      </c>
      <c r="E1005">
        <v>3.9763380000000001E-2</v>
      </c>
      <c r="F1005">
        <v>-1.41618863321577E-4</v>
      </c>
      <c r="G1005" s="32">
        <f t="shared" si="11"/>
        <v>3.3548498586274671E-2</v>
      </c>
      <c r="H1005">
        <v>5.7240502509341004E-3</v>
      </c>
      <c r="I1005">
        <v>-1.4415184050368309E-4</v>
      </c>
      <c r="J1005">
        <v>-1.466848176857892E-4</v>
      </c>
      <c r="K1005">
        <v>-1.4921779486789529E-4</v>
      </c>
      <c r="L1005">
        <v>-1.5175077205000141E-4</v>
      </c>
      <c r="M1005">
        <v>-1.5428374923210749E-4</v>
      </c>
      <c r="N1005">
        <v>-1.5681672641421358E-4</v>
      </c>
    </row>
    <row r="1006" spans="1:14" x14ac:dyDescent="0.35">
      <c r="A1006">
        <v>249</v>
      </c>
      <c r="B1006" t="s">
        <v>29</v>
      </c>
      <c r="C1006" s="23">
        <v>43826</v>
      </c>
      <c r="D1006">
        <v>-7.2076067708149996E-3</v>
      </c>
      <c r="E1006">
        <v>5.4946626999999998E-2</v>
      </c>
      <c r="F1006">
        <v>-3.9603368417087437E-4</v>
      </c>
      <c r="G1006" s="32">
        <f t="shared" si="11"/>
        <v>3.3152464902103794E-2</v>
      </c>
      <c r="H1006">
        <v>5.6691528004216996E-3</v>
      </c>
      <c r="I1006">
        <v>-3.973308063851217E-4</v>
      </c>
      <c r="J1006">
        <v>-3.9862792859936903E-4</v>
      </c>
      <c r="K1006">
        <v>-3.9992505081361631E-4</v>
      </c>
      <c r="L1006">
        <v>-4.0122217302786365E-4</v>
      </c>
      <c r="M1006">
        <v>-4.0251929524211098E-4</v>
      </c>
      <c r="N1006">
        <v>-4.0381641745635831E-4</v>
      </c>
    </row>
    <row r="1007" spans="1:14" x14ac:dyDescent="0.35">
      <c r="A1007">
        <v>250</v>
      </c>
      <c r="B1007" t="s">
        <v>29</v>
      </c>
      <c r="C1007" s="23">
        <v>43829</v>
      </c>
      <c r="D1007">
        <v>3.8766738800693999E-3</v>
      </c>
      <c r="E1007">
        <v>5.2182010000000001E-2</v>
      </c>
      <c r="F1007">
        <v>2.022926402405645E-4</v>
      </c>
      <c r="G1007" s="32">
        <f t="shared" si="11"/>
        <v>3.3354757542344356E-2</v>
      </c>
      <c r="H1007">
        <v>5.6710739361367996E-3</v>
      </c>
      <c r="I1007">
        <v>2.0206076991642629E-4</v>
      </c>
      <c r="J1007">
        <v>2.0182889959228809E-4</v>
      </c>
      <c r="K1007">
        <v>2.0159702926814986E-4</v>
      </c>
      <c r="L1007">
        <v>2.0136515894401166E-4</v>
      </c>
      <c r="M1007">
        <v>2.0113328861987346E-4</v>
      </c>
      <c r="N1007">
        <v>2.0090141829573525E-4</v>
      </c>
    </row>
    <row r="1008" spans="1:14" x14ac:dyDescent="0.35">
      <c r="A1008">
        <v>251</v>
      </c>
      <c r="B1008" t="s">
        <v>29</v>
      </c>
      <c r="C1008" s="23">
        <v>43830</v>
      </c>
      <c r="D1008">
        <v>1.4673384844732001E-2</v>
      </c>
      <c r="E1008">
        <v>1.2813278500000001E-2</v>
      </c>
      <c r="F1008">
        <v>1.8801416617045562E-4</v>
      </c>
      <c r="G1008" s="32">
        <f t="shared" si="11"/>
        <v>3.3542771708514808E-2</v>
      </c>
      <c r="H1008">
        <v>5.5806110396088996E-3</v>
      </c>
      <c r="I1008">
        <v>1.8475167153505096E-4</v>
      </c>
      <c r="J1008">
        <v>1.8148917689964628E-4</v>
      </c>
      <c r="K1008">
        <v>1.7822668226424163E-4</v>
      </c>
      <c r="L1008">
        <v>1.7496418762883697E-4</v>
      </c>
      <c r="M1008">
        <v>1.7170169299343232E-4</v>
      </c>
      <c r="N1008">
        <v>1.6843919835802764E-4</v>
      </c>
    </row>
    <row r="1009" spans="1:14" x14ac:dyDescent="0.35">
      <c r="A1009">
        <v>0</v>
      </c>
      <c r="B1009" t="s">
        <v>29</v>
      </c>
      <c r="C1009" s="23">
        <v>43832</v>
      </c>
      <c r="D1009">
        <v>-1.2068633666132001E-2</v>
      </c>
      <c r="E1009">
        <v>0.35770974</v>
      </c>
      <c r="F1009">
        <v>-4.3170677581508424E-3</v>
      </c>
      <c r="G1009" s="32">
        <f>G1008+F1009</f>
        <v>2.9225703950363967E-2</v>
      </c>
      <c r="H1009">
        <v>5.6456816531660998E-3</v>
      </c>
      <c r="I1009">
        <v>-4.3170677581508424E-3</v>
      </c>
      <c r="J1009">
        <v>-4.3170677581508424E-3</v>
      </c>
      <c r="K1009">
        <v>-4.3170677581508424E-3</v>
      </c>
      <c r="L1009">
        <v>-4.3170677581508424E-3</v>
      </c>
      <c r="M1009">
        <v>-4.3170677581508424E-3</v>
      </c>
      <c r="N1009">
        <v>-4.3170677581508424E-3</v>
      </c>
    </row>
    <row r="1010" spans="1:14" x14ac:dyDescent="0.35">
      <c r="A1010">
        <v>1</v>
      </c>
      <c r="B1010" t="s">
        <v>29</v>
      </c>
      <c r="C1010" s="23">
        <v>43833</v>
      </c>
      <c r="D1010">
        <v>4.0488977043384002E-3</v>
      </c>
      <c r="E1010">
        <v>0.36829084000000001</v>
      </c>
      <c r="F1010">
        <v>1.4911719429998409E-3</v>
      </c>
      <c r="G1010" s="32">
        <f t="shared" ref="G1010:G1073" si="12">G1009+F1010</f>
        <v>3.0716875893363808E-2</v>
      </c>
      <c r="H1010">
        <v>5.7703581185491997E-3</v>
      </c>
      <c r="I1010">
        <v>1.4909523811185942E-3</v>
      </c>
      <c r="J1010">
        <v>1.4907328192373477E-3</v>
      </c>
      <c r="K1010">
        <v>1.490513257356101E-3</v>
      </c>
      <c r="L1010">
        <v>1.4902936954748545E-3</v>
      </c>
      <c r="M1010">
        <v>1.4900741335936078E-3</v>
      </c>
      <c r="N1010">
        <v>1.4898545717123614E-3</v>
      </c>
    </row>
    <row r="1011" spans="1:14" x14ac:dyDescent="0.35">
      <c r="A1011">
        <v>2</v>
      </c>
      <c r="B1011" t="s">
        <v>29</v>
      </c>
      <c r="C1011" s="23">
        <v>43836</v>
      </c>
      <c r="D1011">
        <v>-4.2319737547649996E-3</v>
      </c>
      <c r="E1011">
        <v>0.36017295999999999</v>
      </c>
      <c r="F1011">
        <v>-1.5242425019700281E-3</v>
      </c>
      <c r="G1011" s="32">
        <f t="shared" si="12"/>
        <v>2.9192633391393781E-2</v>
      </c>
      <c r="H1011">
        <v>5.6792118488193004E-3</v>
      </c>
      <c r="I1011">
        <v>-1.5244338837696952E-3</v>
      </c>
      <c r="J1011">
        <v>-1.524625265569362E-3</v>
      </c>
      <c r="K1011">
        <v>-1.5248166473690291E-3</v>
      </c>
      <c r="L1011">
        <v>-1.5250080291686959E-3</v>
      </c>
      <c r="M1011">
        <v>-1.5251994109683629E-3</v>
      </c>
      <c r="N1011">
        <v>-1.52539079276803E-3</v>
      </c>
    </row>
    <row r="1012" spans="1:14" x14ac:dyDescent="0.35">
      <c r="A1012">
        <v>3</v>
      </c>
      <c r="B1012" t="s">
        <v>29</v>
      </c>
      <c r="C1012" s="23">
        <v>43837</v>
      </c>
      <c r="D1012">
        <v>1.29747193907371E-2</v>
      </c>
      <c r="E1012">
        <v>0.36341265</v>
      </c>
      <c r="F1012">
        <v>4.7151771365459031E-3</v>
      </c>
      <c r="G1012" s="32">
        <f t="shared" si="12"/>
        <v>3.3907810527939682E-2</v>
      </c>
      <c r="H1012">
        <v>5.6276253527790003E-3</v>
      </c>
      <c r="I1012">
        <v>4.7146304936674932E-3</v>
      </c>
      <c r="J1012">
        <v>4.7140838507890824E-3</v>
      </c>
      <c r="K1012">
        <v>4.7135372079106725E-3</v>
      </c>
      <c r="L1012">
        <v>4.7129905650322625E-3</v>
      </c>
      <c r="M1012">
        <v>4.7124439221538517E-3</v>
      </c>
      <c r="N1012">
        <v>4.7118972792754418E-3</v>
      </c>
    </row>
    <row r="1013" spans="1:14" x14ac:dyDescent="0.35">
      <c r="A1013">
        <v>4</v>
      </c>
      <c r="B1013" t="s">
        <v>29</v>
      </c>
      <c r="C1013" s="23">
        <v>43838</v>
      </c>
      <c r="D1013">
        <v>8.0669034103850006E-3</v>
      </c>
      <c r="E1013">
        <v>0.35831624000000001</v>
      </c>
      <c r="F1013">
        <v>2.8905025201914633E-3</v>
      </c>
      <c r="G1013" s="32">
        <f t="shared" si="12"/>
        <v>3.6798313048131144E-2</v>
      </c>
      <c r="H1013">
        <v>5.6586624249037997E-3</v>
      </c>
      <c r="I1013">
        <v>2.8899096663578543E-3</v>
      </c>
      <c r="J1013">
        <v>2.8893168125242452E-3</v>
      </c>
      <c r="K1013">
        <v>2.8887239586906362E-3</v>
      </c>
      <c r="L1013">
        <v>2.8881311048570271E-3</v>
      </c>
      <c r="M1013">
        <v>2.887538251023418E-3</v>
      </c>
      <c r="N1013">
        <v>2.886945397189809E-3</v>
      </c>
    </row>
    <row r="1014" spans="1:14" x14ac:dyDescent="0.35">
      <c r="A1014">
        <v>5</v>
      </c>
      <c r="B1014" t="s">
        <v>29</v>
      </c>
      <c r="C1014" s="23">
        <v>43839</v>
      </c>
      <c r="D1014">
        <v>-5.7949453834894998E-3</v>
      </c>
      <c r="E1014">
        <v>0.35832872999999998</v>
      </c>
      <c r="F1014">
        <v>-2.076495418919847E-3</v>
      </c>
      <c r="G1014" s="32">
        <f t="shared" si="12"/>
        <v>3.4721817629211296E-2</v>
      </c>
      <c r="H1014">
        <v>5.5995131755087997E-3</v>
      </c>
      <c r="I1014">
        <v>-2.0768124915631924E-3</v>
      </c>
      <c r="J1014">
        <v>-2.0771295642065374E-3</v>
      </c>
      <c r="K1014">
        <v>-2.0774466368498829E-3</v>
      </c>
      <c r="L1014">
        <v>-2.0777637094932279E-3</v>
      </c>
      <c r="M1014">
        <v>-2.0780807821365733E-3</v>
      </c>
      <c r="N1014">
        <v>-2.0783978547799183E-3</v>
      </c>
    </row>
    <row r="1015" spans="1:14" x14ac:dyDescent="0.35">
      <c r="A1015">
        <v>6</v>
      </c>
      <c r="B1015" t="s">
        <v>29</v>
      </c>
      <c r="C1015" s="23">
        <v>43840</v>
      </c>
      <c r="D1015">
        <v>1.2972799896354401E-2</v>
      </c>
      <c r="E1015">
        <v>0.36079502000000002</v>
      </c>
      <c r="F1015">
        <v>4.6805216117751054E-3</v>
      </c>
      <c r="G1015" s="32">
        <f t="shared" si="12"/>
        <v>3.9402339240986399E-2</v>
      </c>
      <c r="H1015">
        <v>5.5775997707648E-3</v>
      </c>
      <c r="I1015">
        <v>4.6801939192055537E-3</v>
      </c>
      <c r="J1015">
        <v>4.6798662266360012E-3</v>
      </c>
      <c r="K1015">
        <v>4.6795385340664495E-3</v>
      </c>
      <c r="L1015">
        <v>4.6792108414968978E-3</v>
      </c>
      <c r="M1015">
        <v>4.6788831489273453E-3</v>
      </c>
      <c r="N1015">
        <v>4.6785554563577936E-3</v>
      </c>
    </row>
    <row r="1016" spans="1:14" x14ac:dyDescent="0.35">
      <c r="A1016">
        <v>7</v>
      </c>
      <c r="B1016" t="s">
        <v>29</v>
      </c>
      <c r="C1016" s="23">
        <v>43843</v>
      </c>
      <c r="D1016">
        <v>-8.9730437530029998E-4</v>
      </c>
      <c r="E1016">
        <v>0.35789799999999999</v>
      </c>
      <c r="F1016">
        <v>-3.2114343853179581E-4</v>
      </c>
      <c r="G1016" s="32">
        <f t="shared" si="12"/>
        <v>3.9081195802454602E-2</v>
      </c>
      <c r="H1016">
        <v>5.6017839686758998E-3</v>
      </c>
      <c r="I1016">
        <v>-3.2151971589888768E-4</v>
      </c>
      <c r="J1016">
        <v>-3.218959932659796E-4</v>
      </c>
      <c r="K1016">
        <v>-3.2227227063307148E-4</v>
      </c>
      <c r="L1016">
        <v>-3.226485480001634E-4</v>
      </c>
      <c r="M1016">
        <v>-3.2302482536725527E-4</v>
      </c>
      <c r="N1016">
        <v>-3.2340110273434714E-4</v>
      </c>
    </row>
    <row r="1017" spans="1:14" x14ac:dyDescent="0.35">
      <c r="A1017">
        <v>8</v>
      </c>
      <c r="B1017" t="s">
        <v>29</v>
      </c>
      <c r="C1017" s="23">
        <v>43844</v>
      </c>
      <c r="D1017">
        <v>2.9926216964801999E-3</v>
      </c>
      <c r="E1017">
        <v>0.35904783000000001</v>
      </c>
      <c r="F1017">
        <v>1.0744943264458446E-3</v>
      </c>
      <c r="G1017" s="32">
        <f t="shared" si="12"/>
        <v>4.0155690128900447E-2</v>
      </c>
      <c r="H1017">
        <v>5.5217304758996E-3</v>
      </c>
      <c r="I1017">
        <v>1.0739583201976458E-3</v>
      </c>
      <c r="J1017">
        <v>1.0734223139494473E-3</v>
      </c>
      <c r="K1017">
        <v>1.0728863077012485E-3</v>
      </c>
      <c r="L1017">
        <v>1.0723503014530499E-3</v>
      </c>
      <c r="M1017">
        <v>1.0718142952048512E-3</v>
      </c>
      <c r="N1017">
        <v>1.0712782889566526E-3</v>
      </c>
    </row>
    <row r="1018" spans="1:14" x14ac:dyDescent="0.35">
      <c r="A1018">
        <v>9</v>
      </c>
      <c r="B1018" t="s">
        <v>29</v>
      </c>
      <c r="C1018" s="23">
        <v>43845</v>
      </c>
      <c r="D1018">
        <v>1.2017862048713499E-2</v>
      </c>
      <c r="E1018">
        <v>0.35823603999999998</v>
      </c>
      <c r="F1018">
        <v>4.3052313654240995E-3</v>
      </c>
      <c r="G1018" s="32">
        <f t="shared" si="12"/>
        <v>4.4460921494324547E-2</v>
      </c>
      <c r="H1018">
        <v>5.4306841218809999E-3</v>
      </c>
      <c r="I1018">
        <v>4.3047869429706049E-3</v>
      </c>
      <c r="J1018">
        <v>4.3043425205171112E-3</v>
      </c>
      <c r="K1018">
        <v>4.3038980980636167E-3</v>
      </c>
      <c r="L1018">
        <v>4.3034536756101222E-3</v>
      </c>
      <c r="M1018">
        <v>4.3030092531566285E-3</v>
      </c>
      <c r="N1018">
        <v>4.3025648307031339E-3</v>
      </c>
    </row>
    <row r="1019" spans="1:14" x14ac:dyDescent="0.35">
      <c r="A1019">
        <v>10</v>
      </c>
      <c r="B1019" t="s">
        <v>29</v>
      </c>
      <c r="C1019" s="23">
        <v>43846</v>
      </c>
      <c r="D1019">
        <v>4.4607021438592999E-3</v>
      </c>
      <c r="E1019">
        <v>0.35760639999999999</v>
      </c>
      <c r="F1019">
        <v>1.5951756841173178E-3</v>
      </c>
      <c r="G1019" s="32">
        <f t="shared" si="12"/>
        <v>4.6056097178441863E-2</v>
      </c>
      <c r="H1019">
        <v>5.4290855830533002E-3</v>
      </c>
      <c r="I1019">
        <v>1.5951300687375078E-3</v>
      </c>
      <c r="J1019">
        <v>1.5950844533576978E-3</v>
      </c>
      <c r="K1019">
        <v>1.5950388379778876E-3</v>
      </c>
      <c r="L1019">
        <v>1.5949932225980776E-3</v>
      </c>
      <c r="M1019">
        <v>1.5949476072182676E-3</v>
      </c>
      <c r="N1019">
        <v>1.5949019918384576E-3</v>
      </c>
    </row>
    <row r="1020" spans="1:14" x14ac:dyDescent="0.35">
      <c r="A1020">
        <v>11</v>
      </c>
      <c r="B1020" t="s">
        <v>29</v>
      </c>
      <c r="C1020" s="23">
        <v>43847</v>
      </c>
      <c r="D1020">
        <v>-2.9259940088796001E-3</v>
      </c>
      <c r="E1020">
        <v>0.35766130000000002</v>
      </c>
      <c r="F1020">
        <v>-1.0465148410747397E-3</v>
      </c>
      <c r="G1020" s="32">
        <f t="shared" si="12"/>
        <v>4.500958233736712E-2</v>
      </c>
      <c r="H1020">
        <v>5.3418119581457998E-3</v>
      </c>
      <c r="I1020">
        <v>-1.0470281288258811E-3</v>
      </c>
      <c r="J1020">
        <v>-1.0475414165770226E-3</v>
      </c>
      <c r="K1020">
        <v>-1.0480547043281638E-3</v>
      </c>
      <c r="L1020">
        <v>-1.0485679920793052E-3</v>
      </c>
      <c r="M1020">
        <v>-1.0490812798304467E-3</v>
      </c>
      <c r="N1020">
        <v>-1.0495945675815881E-3</v>
      </c>
    </row>
    <row r="1021" spans="1:14" x14ac:dyDescent="0.35">
      <c r="A1021">
        <v>12</v>
      </c>
      <c r="B1021" t="s">
        <v>29</v>
      </c>
      <c r="C1021" s="23">
        <v>43851</v>
      </c>
      <c r="D1021">
        <v>1.3458370004159999E-4</v>
      </c>
      <c r="E1021">
        <v>0.35800406000000001</v>
      </c>
      <c r="F1021">
        <v>4.8181511477971818E-5</v>
      </c>
      <c r="G1021" s="32">
        <f t="shared" si="12"/>
        <v>4.5057763848845092E-2</v>
      </c>
      <c r="H1021">
        <v>5.2876884711125999E-3</v>
      </c>
      <c r="I1021">
        <v>4.7827095952324077E-5</v>
      </c>
      <c r="J1021">
        <v>4.7472680426676343E-5</v>
      </c>
      <c r="K1021">
        <v>4.7118264901028601E-5</v>
      </c>
      <c r="L1021">
        <v>4.676384937538086E-5</v>
      </c>
      <c r="M1021">
        <v>4.6409433849733126E-5</v>
      </c>
      <c r="N1021">
        <v>4.6055018324085385E-5</v>
      </c>
    </row>
    <row r="1022" spans="1:14" x14ac:dyDescent="0.35">
      <c r="A1022">
        <v>13</v>
      </c>
      <c r="B1022" t="s">
        <v>29</v>
      </c>
      <c r="C1022" s="23">
        <v>43852</v>
      </c>
      <c r="D1022">
        <v>3.416286175861E-3</v>
      </c>
      <c r="E1022">
        <v>0.35781336000000002</v>
      </c>
      <c r="F1022">
        <v>1.222392829522209E-3</v>
      </c>
      <c r="G1022" s="32">
        <f t="shared" si="12"/>
        <v>4.6280156678367303E-2</v>
      </c>
      <c r="H1022">
        <v>5.2072854215474999E-3</v>
      </c>
      <c r="I1022">
        <v>1.2219162266629818E-3</v>
      </c>
      <c r="J1022">
        <v>1.2214396238037543E-3</v>
      </c>
      <c r="K1022">
        <v>1.220963020944527E-3</v>
      </c>
      <c r="L1022">
        <v>1.2204864180852997E-3</v>
      </c>
      <c r="M1022">
        <v>1.2200098152260722E-3</v>
      </c>
      <c r="N1022">
        <v>1.2195332123668449E-3</v>
      </c>
    </row>
    <row r="1023" spans="1:14" x14ac:dyDescent="0.35">
      <c r="A1023">
        <v>14</v>
      </c>
      <c r="B1023" t="s">
        <v>29</v>
      </c>
      <c r="C1023" s="23">
        <v>43853</v>
      </c>
      <c r="D1023">
        <v>-1.80279481605462E-2</v>
      </c>
      <c r="E1023">
        <v>0.35758007000000003</v>
      </c>
      <c r="F1023">
        <v>-6.4464348881752755E-3</v>
      </c>
      <c r="G1023" s="32">
        <f t="shared" si="12"/>
        <v>3.9833721790192025E-2</v>
      </c>
      <c r="H1023">
        <v>5.1216017379867003E-3</v>
      </c>
      <c r="I1023">
        <v>-6.4469564922341478E-3</v>
      </c>
      <c r="J1023">
        <v>-6.44747809629302E-3</v>
      </c>
      <c r="K1023">
        <v>-6.4479997003518913E-3</v>
      </c>
      <c r="L1023">
        <v>-6.4485213044107636E-3</v>
      </c>
      <c r="M1023">
        <v>-6.4490429084696358E-3</v>
      </c>
      <c r="N1023">
        <v>-6.449564512528508E-3</v>
      </c>
    </row>
    <row r="1024" spans="1:14" x14ac:dyDescent="0.35">
      <c r="A1024">
        <v>15</v>
      </c>
      <c r="B1024" t="s">
        <v>29</v>
      </c>
      <c r="C1024" s="23">
        <v>43854</v>
      </c>
      <c r="D1024">
        <v>-2.8525454435916701E-2</v>
      </c>
      <c r="E1024">
        <v>0.36220822000000003</v>
      </c>
      <c r="F1024">
        <v>-1.0332154001257149E-2</v>
      </c>
      <c r="G1024" s="32">
        <f t="shared" si="12"/>
        <v>2.9501567788934875E-2</v>
      </c>
      <c r="H1024">
        <v>5.4311839075653996E-3</v>
      </c>
      <c r="I1024">
        <v>-1.0333631626505602E-2</v>
      </c>
      <c r="J1024">
        <v>-1.0335109251754054E-2</v>
      </c>
      <c r="K1024">
        <v>-1.0336586877002507E-2</v>
      </c>
      <c r="L1024">
        <v>-1.0338064502250961E-2</v>
      </c>
      <c r="M1024">
        <v>-1.0339542127499412E-2</v>
      </c>
      <c r="N1024">
        <v>-1.0341019752747866E-2</v>
      </c>
    </row>
    <row r="1025" spans="1:14" x14ac:dyDescent="0.35">
      <c r="A1025">
        <v>16</v>
      </c>
      <c r="B1025" t="s">
        <v>29</v>
      </c>
      <c r="C1025" s="23">
        <v>43857</v>
      </c>
      <c r="D1025">
        <v>1.82204151135354E-2</v>
      </c>
      <c r="E1025">
        <v>0.37827903000000002</v>
      </c>
      <c r="F1025">
        <v>6.8924009612312256E-3</v>
      </c>
      <c r="G1025" s="32">
        <f t="shared" si="12"/>
        <v>3.6393968750166102E-2</v>
      </c>
      <c r="H1025">
        <v>6.2033522676376001E-3</v>
      </c>
      <c r="I1025">
        <v>6.8897029099782387E-3</v>
      </c>
      <c r="J1025">
        <v>6.887004858725251E-3</v>
      </c>
      <c r="K1025">
        <v>6.8843068074722642E-3</v>
      </c>
      <c r="L1025">
        <v>6.8816087562192764E-3</v>
      </c>
      <c r="M1025">
        <v>6.8789107049662896E-3</v>
      </c>
      <c r="N1025">
        <v>6.8762126537133018E-3</v>
      </c>
    </row>
    <row r="1026" spans="1:14" x14ac:dyDescent="0.35">
      <c r="A1026">
        <v>17</v>
      </c>
      <c r="B1026" t="s">
        <v>29</v>
      </c>
      <c r="C1026" s="23">
        <v>43858</v>
      </c>
      <c r="D1026">
        <v>-2.5762229879332998E-3</v>
      </c>
      <c r="E1026">
        <v>0.3574367</v>
      </c>
      <c r="F1026">
        <v>-9.2083660914695279E-4</v>
      </c>
      <c r="G1026" s="32">
        <f t="shared" si="12"/>
        <v>3.5473132141019152E-2</v>
      </c>
      <c r="H1026">
        <v>6.4332927156031004E-3</v>
      </c>
      <c r="I1026">
        <v>-9.2339699528077776E-4</v>
      </c>
      <c r="J1026">
        <v>-9.2595738141460285E-4</v>
      </c>
      <c r="K1026">
        <v>-9.2851776754842782E-4</v>
      </c>
      <c r="L1026">
        <v>-9.3107815368225291E-4</v>
      </c>
      <c r="M1026">
        <v>-9.3363853981607789E-4</v>
      </c>
      <c r="N1026">
        <v>-9.3619892594990286E-4</v>
      </c>
    </row>
    <row r="1027" spans="1:14" x14ac:dyDescent="0.35">
      <c r="A1027">
        <v>18</v>
      </c>
      <c r="B1027" t="s">
        <v>29</v>
      </c>
      <c r="C1027" s="23">
        <v>43859</v>
      </c>
      <c r="D1027">
        <v>7.8490096641459003E-3</v>
      </c>
      <c r="E1027">
        <v>0.36002624</v>
      </c>
      <c r="F1027">
        <v>2.8258494398439708E-3</v>
      </c>
      <c r="G1027" s="32">
        <f t="shared" si="12"/>
        <v>3.8298981580863124E-2</v>
      </c>
      <c r="H1027">
        <v>6.3457881451997999E-3</v>
      </c>
      <c r="I1027">
        <v>2.8252946736666514E-3</v>
      </c>
      <c r="J1027">
        <v>2.8247399074893325E-3</v>
      </c>
      <c r="K1027">
        <v>2.8241851413120132E-3</v>
      </c>
      <c r="L1027">
        <v>2.8236303751346943E-3</v>
      </c>
      <c r="M1027">
        <v>2.823075608957375E-3</v>
      </c>
      <c r="N1027">
        <v>2.822520842780056E-3</v>
      </c>
    </row>
    <row r="1028" spans="1:14" x14ac:dyDescent="0.35">
      <c r="A1028">
        <v>19</v>
      </c>
      <c r="B1028" t="s">
        <v>29</v>
      </c>
      <c r="C1028" s="23">
        <v>43860</v>
      </c>
      <c r="D1028">
        <v>-3.00216027520811E-2</v>
      </c>
      <c r="E1028">
        <v>0.35745218000000001</v>
      </c>
      <c r="F1028">
        <v>-1.0731287469767025E-2</v>
      </c>
      <c r="G1028" s="32">
        <f t="shared" si="12"/>
        <v>2.7567694111096101E-2</v>
      </c>
      <c r="H1028">
        <v>6.2905696631737002E-3</v>
      </c>
      <c r="I1028">
        <v>-1.0731329435007153E-2</v>
      </c>
      <c r="J1028">
        <v>-1.0731371400247281E-2</v>
      </c>
      <c r="K1028">
        <v>-1.073141336548741E-2</v>
      </c>
      <c r="L1028">
        <v>-1.0731455330727538E-2</v>
      </c>
      <c r="M1028">
        <v>-1.0731497295967667E-2</v>
      </c>
      <c r="N1028">
        <v>-1.0731539261207795E-2</v>
      </c>
    </row>
    <row r="1029" spans="1:14" x14ac:dyDescent="0.35">
      <c r="A1029">
        <v>20</v>
      </c>
      <c r="B1029" t="s">
        <v>29</v>
      </c>
      <c r="C1029" s="23">
        <v>43861</v>
      </c>
      <c r="D1029">
        <v>8.6961570170617994E-3</v>
      </c>
      <c r="E1029">
        <v>0.37676979999999999</v>
      </c>
      <c r="F1029">
        <v>3.2764494350054664E-3</v>
      </c>
      <c r="G1029" s="32">
        <f t="shared" si="12"/>
        <v>3.0844143546101568E-2</v>
      </c>
      <c r="H1029">
        <v>7.2461453740517E-3</v>
      </c>
      <c r="I1029">
        <v>3.274168605031564E-3</v>
      </c>
      <c r="J1029">
        <v>3.2718877750576615E-3</v>
      </c>
      <c r="K1029">
        <v>3.2696069450837591E-3</v>
      </c>
      <c r="L1029">
        <v>3.2673261151098571E-3</v>
      </c>
      <c r="M1029">
        <v>3.2650452851359546E-3</v>
      </c>
      <c r="N1029">
        <v>3.2627644551620522E-3</v>
      </c>
    </row>
    <row r="1030" spans="1:14" x14ac:dyDescent="0.35">
      <c r="A1030">
        <v>21</v>
      </c>
      <c r="B1030" t="s">
        <v>29</v>
      </c>
      <c r="C1030" s="23">
        <v>43864</v>
      </c>
      <c r="D1030">
        <v>2.1785570204581099E-2</v>
      </c>
      <c r="E1030">
        <v>0.35793039999999998</v>
      </c>
      <c r="F1030">
        <v>7.7977176838552919E-3</v>
      </c>
      <c r="G1030" s="32">
        <f t="shared" si="12"/>
        <v>3.8641861229956859E-2</v>
      </c>
      <c r="H1030">
        <v>7.2166260818565002E-3</v>
      </c>
      <c r="I1030">
        <v>7.7965847967226371E-3</v>
      </c>
      <c r="J1030">
        <v>7.7954519095899824E-3</v>
      </c>
      <c r="K1030">
        <v>7.7943190224573277E-3</v>
      </c>
      <c r="L1030">
        <v>7.7931861353246739E-3</v>
      </c>
      <c r="M1030">
        <v>7.7920532481920192E-3</v>
      </c>
      <c r="N1030">
        <v>7.7909203610593645E-3</v>
      </c>
    </row>
    <row r="1031" spans="1:14" x14ac:dyDescent="0.35">
      <c r="A1031">
        <v>22</v>
      </c>
      <c r="B1031" t="s">
        <v>29</v>
      </c>
      <c r="C1031" s="23">
        <v>43865</v>
      </c>
      <c r="D1031">
        <v>1.3266119164426901E-2</v>
      </c>
      <c r="E1031">
        <v>0.35655146999999998</v>
      </c>
      <c r="F1031">
        <v>4.7300542676789173E-3</v>
      </c>
      <c r="G1031" s="32">
        <f t="shared" si="12"/>
        <v>4.3371915497635777E-2</v>
      </c>
      <c r="H1031">
        <v>7.6635027034234002E-3</v>
      </c>
      <c r="I1031">
        <v>4.7286028318941466E-3</v>
      </c>
      <c r="J1031">
        <v>4.7271513961093751E-3</v>
      </c>
      <c r="K1031">
        <v>4.7256999603246044E-3</v>
      </c>
      <c r="L1031">
        <v>4.7242485245398329E-3</v>
      </c>
      <c r="M1031">
        <v>4.7227970887550623E-3</v>
      </c>
      <c r="N1031">
        <v>4.7213456529702916E-3</v>
      </c>
    </row>
    <row r="1032" spans="1:14" x14ac:dyDescent="0.35">
      <c r="A1032">
        <v>23</v>
      </c>
      <c r="B1032" t="s">
        <v>29</v>
      </c>
      <c r="C1032" s="23">
        <v>43866</v>
      </c>
      <c r="D1032">
        <v>3.754491039729E-3</v>
      </c>
      <c r="E1032">
        <v>0.3566184</v>
      </c>
      <c r="F1032">
        <v>1.338920603878805E-3</v>
      </c>
      <c r="G1032" s="32">
        <f t="shared" si="12"/>
        <v>4.4710836101514578E-2</v>
      </c>
      <c r="H1032">
        <v>7.7351358163377003E-3</v>
      </c>
      <c r="I1032">
        <v>1.3387211275818376E-3</v>
      </c>
      <c r="J1032">
        <v>1.3385216512848703E-3</v>
      </c>
      <c r="K1032">
        <v>1.3383221749879027E-3</v>
      </c>
      <c r="L1032">
        <v>1.3381226986909354E-3</v>
      </c>
      <c r="M1032">
        <v>1.337923222393968E-3</v>
      </c>
      <c r="N1032">
        <v>1.3377237460970007E-3</v>
      </c>
    </row>
    <row r="1033" spans="1:14" x14ac:dyDescent="0.35">
      <c r="A1033">
        <v>24</v>
      </c>
      <c r="B1033" t="s">
        <v>29</v>
      </c>
      <c r="C1033" s="23">
        <v>43867</v>
      </c>
      <c r="D1033">
        <v>-7.3275066783330001E-3</v>
      </c>
      <c r="E1033">
        <v>0.35685664</v>
      </c>
      <c r="F1033">
        <v>-2.6148694432429702E-3</v>
      </c>
      <c r="G1033" s="32">
        <f t="shared" si="12"/>
        <v>4.2095966658271609E-2</v>
      </c>
      <c r="H1033">
        <v>7.6133060118374002E-3</v>
      </c>
      <c r="I1033">
        <v>-2.6152327875130282E-3</v>
      </c>
      <c r="J1033">
        <v>-2.6155961317830857E-3</v>
      </c>
      <c r="K1033">
        <v>-2.6159594760531437E-3</v>
      </c>
      <c r="L1033">
        <v>-2.6163228203232012E-3</v>
      </c>
      <c r="M1033">
        <v>-2.6166861645932592E-3</v>
      </c>
      <c r="N1033">
        <v>-2.6170495088633167E-3</v>
      </c>
    </row>
    <row r="1034" spans="1:14" x14ac:dyDescent="0.35">
      <c r="A1034">
        <v>25</v>
      </c>
      <c r="B1034" t="s">
        <v>29</v>
      </c>
      <c r="C1034" s="23">
        <v>43868</v>
      </c>
      <c r="D1034">
        <v>1.02776844713609E-2</v>
      </c>
      <c r="E1034">
        <v>0.35837328000000002</v>
      </c>
      <c r="F1034">
        <v>3.6832475394108439E-3</v>
      </c>
      <c r="G1034" s="32">
        <f t="shared" si="12"/>
        <v>4.5779214197682452E-2</v>
      </c>
      <c r="H1034">
        <v>7.6027629523863997E-3</v>
      </c>
      <c r="I1034">
        <v>3.6831225816387537E-3</v>
      </c>
      <c r="J1034">
        <v>3.6829976238666635E-3</v>
      </c>
      <c r="K1034">
        <v>3.682872666094573E-3</v>
      </c>
      <c r="L1034">
        <v>3.6827477083224828E-3</v>
      </c>
      <c r="M1034">
        <v>3.6826227505503926E-3</v>
      </c>
      <c r="N1034">
        <v>3.6824977927783025E-3</v>
      </c>
    </row>
    <row r="1035" spans="1:14" x14ac:dyDescent="0.35">
      <c r="A1035">
        <v>26</v>
      </c>
      <c r="B1035" t="s">
        <v>29</v>
      </c>
      <c r="C1035" s="23">
        <v>43871</v>
      </c>
      <c r="D1035">
        <v>1.6721180043058001E-3</v>
      </c>
      <c r="E1035">
        <v>0.35656663999999999</v>
      </c>
      <c r="F1035">
        <v>5.9622149472398386E-4</v>
      </c>
      <c r="G1035" s="32">
        <f t="shared" si="12"/>
        <v>4.6375435692406437E-2</v>
      </c>
      <c r="H1035">
        <v>7.5840821030841001E-3</v>
      </c>
      <c r="I1035">
        <v>5.9616380406977661E-4</v>
      </c>
      <c r="J1035">
        <v>5.9610611341556926E-4</v>
      </c>
      <c r="K1035">
        <v>5.9604842276136201E-4</v>
      </c>
      <c r="L1035">
        <v>5.9599073210715465E-4</v>
      </c>
      <c r="M1035">
        <v>5.959330414529474E-4</v>
      </c>
      <c r="N1035">
        <v>5.9587535079874004E-4</v>
      </c>
    </row>
    <row r="1036" spans="1:14" x14ac:dyDescent="0.35">
      <c r="A1036">
        <v>27</v>
      </c>
      <c r="B1036" t="s">
        <v>29</v>
      </c>
      <c r="C1036" s="23">
        <v>43872</v>
      </c>
      <c r="D1036">
        <v>8.6783600200906995E-3</v>
      </c>
      <c r="E1036">
        <v>0.3568326</v>
      </c>
      <c r="F1036">
        <v>3.0967217148528182E-3</v>
      </c>
      <c r="G1036" s="32">
        <f t="shared" si="12"/>
        <v>4.9472157407259257E-2</v>
      </c>
      <c r="H1036">
        <v>7.4587343661524997E-3</v>
      </c>
      <c r="I1036">
        <v>3.0963315750209357E-3</v>
      </c>
      <c r="J1036">
        <v>3.0959414351890533E-3</v>
      </c>
      <c r="K1036">
        <v>3.0955512953571712E-3</v>
      </c>
      <c r="L1036">
        <v>3.0951611555252887E-3</v>
      </c>
      <c r="M1036">
        <v>3.0947710156934063E-3</v>
      </c>
      <c r="N1036">
        <v>3.0943808758615238E-3</v>
      </c>
    </row>
    <row r="1037" spans="1:14" x14ac:dyDescent="0.35">
      <c r="A1037">
        <v>28</v>
      </c>
      <c r="B1037" t="s">
        <v>29</v>
      </c>
      <c r="C1037" s="23">
        <v>43873</v>
      </c>
      <c r="D1037">
        <v>-1.1332191693294001E-3</v>
      </c>
      <c r="E1037">
        <v>0.35654253000000002</v>
      </c>
      <c r="F1037">
        <v>-4.0404082704318056E-4</v>
      </c>
      <c r="G1037" s="32">
        <f t="shared" si="12"/>
        <v>4.9068116580216078E-2</v>
      </c>
      <c r="H1037">
        <v>7.3997558507541E-3</v>
      </c>
      <c r="I1037">
        <v>-4.0420245750188321E-4</v>
      </c>
      <c r="J1037">
        <v>-4.043640879605858E-4</v>
      </c>
      <c r="K1037">
        <v>-4.0452571841928845E-4</v>
      </c>
      <c r="L1037">
        <v>-4.046873488779911E-4</v>
      </c>
      <c r="M1037">
        <v>-4.0484897933669369E-4</v>
      </c>
      <c r="N1037">
        <v>-4.0501060979539633E-4</v>
      </c>
    </row>
    <row r="1038" spans="1:14" x14ac:dyDescent="0.35">
      <c r="A1038">
        <v>29</v>
      </c>
      <c r="B1038" t="s">
        <v>29</v>
      </c>
      <c r="C1038" s="23">
        <v>43874</v>
      </c>
      <c r="D1038">
        <v>1.3429625566650999E-3</v>
      </c>
      <c r="E1038">
        <v>0.35674095</v>
      </c>
      <c r="F1038">
        <v>4.7908974034472843E-4</v>
      </c>
      <c r="G1038" s="32">
        <f t="shared" si="12"/>
        <v>4.9547206320560803E-2</v>
      </c>
      <c r="H1038">
        <v>7.2912127572217003E-3</v>
      </c>
      <c r="I1038">
        <v>4.787379933122157E-4</v>
      </c>
      <c r="J1038">
        <v>4.7838624627970304E-4</v>
      </c>
      <c r="K1038">
        <v>4.7803449924719031E-4</v>
      </c>
      <c r="L1038">
        <v>4.7768275221467759E-4</v>
      </c>
      <c r="M1038">
        <v>4.7733100518216492E-4</v>
      </c>
      <c r="N1038">
        <v>4.769792581496522E-4</v>
      </c>
    </row>
    <row r="1039" spans="1:14" x14ac:dyDescent="0.35">
      <c r="A1039">
        <v>30</v>
      </c>
      <c r="B1039" t="s">
        <v>29</v>
      </c>
      <c r="C1039" s="23">
        <v>43875</v>
      </c>
      <c r="D1039">
        <v>-4.5792067108388996E-3</v>
      </c>
      <c r="E1039">
        <v>0.35660811999999997</v>
      </c>
      <c r="F1039">
        <v>-1.6329823080909855E-3</v>
      </c>
      <c r="G1039" s="32">
        <f t="shared" si="12"/>
        <v>4.7914224012469815E-2</v>
      </c>
      <c r="H1039">
        <v>7.1712264380896003E-3</v>
      </c>
      <c r="I1039">
        <v>-1.6333603258184121E-3</v>
      </c>
      <c r="J1039">
        <v>-1.6337383435458387E-3</v>
      </c>
      <c r="K1039">
        <v>-1.6341163612732651E-3</v>
      </c>
      <c r="L1039">
        <v>-1.6344943790006917E-3</v>
      </c>
      <c r="M1039">
        <v>-1.6348723967281183E-3</v>
      </c>
      <c r="N1039">
        <v>-1.635250414455545E-3</v>
      </c>
    </row>
    <row r="1040" spans="1:14" x14ac:dyDescent="0.35">
      <c r="A1040">
        <v>31</v>
      </c>
      <c r="B1040" t="s">
        <v>29</v>
      </c>
      <c r="C1040" s="23">
        <v>43879</v>
      </c>
      <c r="D1040">
        <v>7.1007709811014997E-3</v>
      </c>
      <c r="E1040">
        <v>0.35690293000000001</v>
      </c>
      <c r="F1040">
        <v>2.534285948249778E-3</v>
      </c>
      <c r="G1040" s="32">
        <f t="shared" si="12"/>
        <v>5.044850996071959E-2</v>
      </c>
      <c r="H1040">
        <v>7.1092657861849999E-3</v>
      </c>
      <c r="I1040">
        <v>2.5340615933211489E-3</v>
      </c>
      <c r="J1040">
        <v>2.5338372383925199E-3</v>
      </c>
      <c r="K1040">
        <v>2.5336128834638912E-3</v>
      </c>
      <c r="L1040">
        <v>2.5333885285352621E-3</v>
      </c>
      <c r="M1040">
        <v>2.5331641736066331E-3</v>
      </c>
      <c r="N1040">
        <v>2.532939818678004E-3</v>
      </c>
    </row>
    <row r="1041" spans="1:14" x14ac:dyDescent="0.35">
      <c r="A1041">
        <v>32</v>
      </c>
      <c r="B1041" t="s">
        <v>29</v>
      </c>
      <c r="C1041" s="23">
        <v>43880</v>
      </c>
      <c r="D1041">
        <v>-7.1442112516661004E-3</v>
      </c>
      <c r="E1041">
        <v>0.35650712000000001</v>
      </c>
      <c r="F1041">
        <v>-2.546962195982428E-3</v>
      </c>
      <c r="G1041" s="32">
        <f t="shared" si="12"/>
        <v>4.7901547764737165E-2</v>
      </c>
      <c r="H1041">
        <v>7.0284887548562004E-3</v>
      </c>
      <c r="I1041">
        <v>-2.5472081801303E-3</v>
      </c>
      <c r="J1041">
        <v>-2.5474541642781716E-3</v>
      </c>
      <c r="K1041">
        <v>-2.5477001484260436E-3</v>
      </c>
      <c r="L1041">
        <v>-2.5479461325739151E-3</v>
      </c>
      <c r="M1041">
        <v>-2.5481921167217871E-3</v>
      </c>
      <c r="N1041">
        <v>-2.5484381008696591E-3</v>
      </c>
    </row>
    <row r="1042" spans="1:14" x14ac:dyDescent="0.35">
      <c r="A1042">
        <v>33</v>
      </c>
      <c r="B1042" t="s">
        <v>29</v>
      </c>
      <c r="C1042" s="23">
        <v>43881</v>
      </c>
      <c r="D1042">
        <v>-1.19867057734449E-2</v>
      </c>
      <c r="E1042">
        <v>0.35710831999999998</v>
      </c>
      <c r="F1042">
        <v>-4.2805524182197557E-3</v>
      </c>
      <c r="G1042" s="32">
        <f t="shared" si="12"/>
        <v>4.3620995346517408E-2</v>
      </c>
      <c r="H1042">
        <v>7.0190633336637996E-3</v>
      </c>
      <c r="I1042">
        <v>-4.2806250662297349E-3</v>
      </c>
      <c r="J1042">
        <v>-4.2806977142397142E-3</v>
      </c>
      <c r="K1042">
        <v>-4.2807703622496935E-3</v>
      </c>
      <c r="L1042">
        <v>-4.2808430102596728E-3</v>
      </c>
      <c r="M1042">
        <v>-4.280915658269652E-3</v>
      </c>
      <c r="N1042">
        <v>-4.2809883062796313E-3</v>
      </c>
    </row>
    <row r="1043" spans="1:14" x14ac:dyDescent="0.35">
      <c r="A1043">
        <v>34</v>
      </c>
      <c r="B1043" t="s">
        <v>29</v>
      </c>
      <c r="C1043" s="23">
        <v>43882</v>
      </c>
      <c r="D1043">
        <v>-4.47838498369462E-2</v>
      </c>
      <c r="E1043">
        <v>0.35791898</v>
      </c>
      <c r="F1043">
        <v>-1.6028989752786209E-2</v>
      </c>
      <c r="G1043" s="32">
        <f t="shared" si="12"/>
        <v>2.7592005593731199E-2</v>
      </c>
      <c r="H1043">
        <v>7.1400141522810004E-3</v>
      </c>
      <c r="I1043">
        <v>-1.6029343296916607E-2</v>
      </c>
      <c r="J1043">
        <v>-1.6029696841047002E-2</v>
      </c>
      <c r="K1043">
        <v>-1.6030050385177401E-2</v>
      </c>
      <c r="L1043">
        <v>-1.6030403929307796E-2</v>
      </c>
      <c r="M1043">
        <v>-1.6030757473438195E-2</v>
      </c>
      <c r="N1043">
        <v>-1.603111101756859E-2</v>
      </c>
    </row>
    <row r="1044" spans="1:14" x14ac:dyDescent="0.35">
      <c r="A1044">
        <v>35</v>
      </c>
      <c r="B1044" t="s">
        <v>29</v>
      </c>
      <c r="C1044" s="23">
        <v>43885</v>
      </c>
      <c r="D1044">
        <v>-2.9224139071204899E-2</v>
      </c>
      <c r="E1044">
        <v>0.23280706000000001</v>
      </c>
      <c r="F1044">
        <v>-6.8035857554588743E-3</v>
      </c>
      <c r="G1044" s="32">
        <f t="shared" si="12"/>
        <v>2.0788419838272326E-2</v>
      </c>
      <c r="H1044">
        <v>9.3955567829140003E-3</v>
      </c>
      <c r="I1044">
        <v>-6.8155625935009921E-3</v>
      </c>
      <c r="J1044">
        <v>-6.8275394315431099E-3</v>
      </c>
      <c r="K1044">
        <v>-6.8395162695852278E-3</v>
      </c>
      <c r="L1044">
        <v>-6.8514931076273456E-3</v>
      </c>
      <c r="M1044">
        <v>-6.8634699456694634E-3</v>
      </c>
      <c r="N1044">
        <v>-6.8754467837115812E-3</v>
      </c>
    </row>
    <row r="1045" spans="1:14" x14ac:dyDescent="0.35">
      <c r="A1045">
        <v>36</v>
      </c>
      <c r="B1045" t="s">
        <v>29</v>
      </c>
      <c r="C1045" s="23">
        <v>43886</v>
      </c>
      <c r="D1045">
        <v>-6.3361124457673003E-3</v>
      </c>
      <c r="E1045">
        <v>0.15987375000000001</v>
      </c>
      <c r="F1045">
        <v>-1.0129780811155632E-3</v>
      </c>
      <c r="G1045" s="32">
        <f t="shared" si="12"/>
        <v>1.9775441757156762E-2</v>
      </c>
      <c r="H1045">
        <v>1.05927091633614E-2</v>
      </c>
      <c r="I1045">
        <v>-1.0175541021103E-3</v>
      </c>
      <c r="J1045">
        <v>-1.0221301231050366E-3</v>
      </c>
      <c r="K1045">
        <v>-1.0267061440997734E-3</v>
      </c>
      <c r="L1045">
        <v>-1.03128216509451E-3</v>
      </c>
      <c r="M1045">
        <v>-1.0358581860892468E-3</v>
      </c>
      <c r="N1045">
        <v>-1.0404342070839834E-3</v>
      </c>
    </row>
    <row r="1046" spans="1:14" x14ac:dyDescent="0.35">
      <c r="A1046">
        <v>37</v>
      </c>
      <c r="B1046" t="s">
        <v>29</v>
      </c>
      <c r="C1046" s="23">
        <v>43887</v>
      </c>
      <c r="D1046">
        <v>-4.4459441250646999E-2</v>
      </c>
      <c r="E1046">
        <v>0.33366388000000002</v>
      </c>
      <c r="F1046">
        <v>-1.4834509707003868E-2</v>
      </c>
      <c r="G1046" s="32">
        <f t="shared" si="12"/>
        <v>4.9409320501528943E-3</v>
      </c>
      <c r="H1046">
        <v>1.04720612272565E-2</v>
      </c>
      <c r="I1046">
        <v>-1.484243254282255E-2</v>
      </c>
      <c r="J1046">
        <v>-1.4850355378641232E-2</v>
      </c>
      <c r="K1046">
        <v>-1.4858278214459914E-2</v>
      </c>
      <c r="L1046">
        <v>-1.4866201050278598E-2</v>
      </c>
      <c r="M1046">
        <v>-1.487412388609728E-2</v>
      </c>
      <c r="N1046">
        <v>-1.4882046721915962E-2</v>
      </c>
    </row>
    <row r="1047" spans="1:14" x14ac:dyDescent="0.35">
      <c r="A1047">
        <v>38</v>
      </c>
      <c r="B1047" t="s">
        <v>29</v>
      </c>
      <c r="C1047" s="23">
        <v>43888</v>
      </c>
      <c r="D1047">
        <v>-1.4286594103185E-3</v>
      </c>
      <c r="E1047">
        <v>0.60862905</v>
      </c>
      <c r="F1047">
        <v>-8.6952361663357285E-4</v>
      </c>
      <c r="G1047" s="32">
        <f t="shared" si="12"/>
        <v>4.0714084335193215E-3</v>
      </c>
      <c r="H1047">
        <v>1.34202995094184E-2</v>
      </c>
      <c r="I1047">
        <v>-8.758966101061103E-4</v>
      </c>
      <c r="J1047">
        <v>-8.8226960357864765E-4</v>
      </c>
      <c r="K1047">
        <v>-8.8864259705118511E-4</v>
      </c>
      <c r="L1047">
        <v>-8.9501559052372257E-4</v>
      </c>
      <c r="M1047">
        <v>-9.0138858399625992E-4</v>
      </c>
      <c r="N1047">
        <v>-9.0776157746879737E-4</v>
      </c>
    </row>
    <row r="1048" spans="1:14" x14ac:dyDescent="0.35">
      <c r="A1048">
        <v>39</v>
      </c>
      <c r="B1048" t="s">
        <v>29</v>
      </c>
      <c r="C1048" s="23">
        <v>43889</v>
      </c>
      <c r="D1048">
        <v>2.7654813070129201E-2</v>
      </c>
      <c r="E1048">
        <v>0.44460008000000001</v>
      </c>
      <c r="F1048">
        <v>1.2295331978456607E-2</v>
      </c>
      <c r="G1048" s="32">
        <f t="shared" si="12"/>
        <v>1.636674041197593E-2</v>
      </c>
      <c r="H1048">
        <v>1.31994520676219E-2</v>
      </c>
      <c r="I1048">
        <v>1.2289819292902361E-2</v>
      </c>
      <c r="J1048">
        <v>1.2284306607348115E-2</v>
      </c>
      <c r="K1048">
        <v>1.2278793921793867E-2</v>
      </c>
      <c r="L1048">
        <v>1.227328123623962E-2</v>
      </c>
      <c r="M1048">
        <v>1.2267768550685374E-2</v>
      </c>
      <c r="N1048">
        <v>1.2262255865131128E-2</v>
      </c>
    </row>
    <row r="1049" spans="1:14" x14ac:dyDescent="0.35">
      <c r="A1049">
        <v>40</v>
      </c>
      <c r="B1049" t="s">
        <v>29</v>
      </c>
      <c r="C1049" s="23">
        <v>43892</v>
      </c>
      <c r="D1049">
        <v>-1.40026897947584E-2</v>
      </c>
      <c r="E1049">
        <v>0.26281982999999998</v>
      </c>
      <c r="F1049">
        <v>-3.6801845038331011E-3</v>
      </c>
      <c r="G1049" s="32">
        <f t="shared" si="12"/>
        <v>1.2686555908142829E-2</v>
      </c>
      <c r="H1049">
        <v>1.4971246279508001E-2</v>
      </c>
      <c r="I1049">
        <v>-3.6878043855739246E-3</v>
      </c>
      <c r="J1049">
        <v>-3.6954242673147486E-3</v>
      </c>
      <c r="K1049">
        <v>-3.7030441490555721E-3</v>
      </c>
      <c r="L1049">
        <v>-3.7106640307963961E-3</v>
      </c>
      <c r="M1049">
        <v>-3.7182839125372196E-3</v>
      </c>
      <c r="N1049">
        <v>-3.7259037942780435E-3</v>
      </c>
    </row>
    <row r="1050" spans="1:14" x14ac:dyDescent="0.35">
      <c r="A1050">
        <v>41</v>
      </c>
      <c r="B1050" t="s">
        <v>29</v>
      </c>
      <c r="C1050" s="23">
        <v>43893</v>
      </c>
      <c r="D1050">
        <v>2.4450852412841E-2</v>
      </c>
      <c r="E1050">
        <v>0.53076774000000004</v>
      </c>
      <c r="F1050">
        <v>1.2977723647363699E-2</v>
      </c>
      <c r="G1050" s="32">
        <f t="shared" si="12"/>
        <v>2.5664279555506528E-2</v>
      </c>
      <c r="H1050">
        <v>1.5183474251121E-2</v>
      </c>
      <c r="I1050">
        <v>1.2969501992684589E-2</v>
      </c>
      <c r="J1050">
        <v>1.2961280338005476E-2</v>
      </c>
      <c r="K1050">
        <v>1.2953058683326366E-2</v>
      </c>
      <c r="L1050">
        <v>1.2944837028647254E-2</v>
      </c>
      <c r="M1050">
        <v>1.2936615373968143E-2</v>
      </c>
      <c r="N1050">
        <v>1.2928393719289031E-2</v>
      </c>
    </row>
    <row r="1051" spans="1:14" x14ac:dyDescent="0.35">
      <c r="A1051">
        <v>42</v>
      </c>
      <c r="B1051" t="s">
        <v>29</v>
      </c>
      <c r="C1051" s="23">
        <v>43894</v>
      </c>
      <c r="D1051">
        <v>-1.8040955229256899E-2</v>
      </c>
      <c r="E1051">
        <v>0.23976663000000001</v>
      </c>
      <c r="F1051">
        <v>-4.3256189931017213E-3</v>
      </c>
      <c r="G1051" s="32">
        <f t="shared" si="12"/>
        <v>2.1338660562404806E-2</v>
      </c>
      <c r="H1051">
        <v>1.6689325340090801E-2</v>
      </c>
      <c r="I1051">
        <v>-4.335347075464499E-3</v>
      </c>
      <c r="J1051">
        <v>-4.3450751578272759E-3</v>
      </c>
      <c r="K1051">
        <v>-4.3548032401900527E-3</v>
      </c>
      <c r="L1051">
        <v>-4.3645313225528304E-3</v>
      </c>
      <c r="M1051">
        <v>-4.3742594049156081E-3</v>
      </c>
      <c r="N1051">
        <v>-4.383987487278385E-3</v>
      </c>
    </row>
    <row r="1052" spans="1:14" x14ac:dyDescent="0.35">
      <c r="A1052">
        <v>43</v>
      </c>
      <c r="B1052" t="s">
        <v>29</v>
      </c>
      <c r="C1052" s="23">
        <v>43895</v>
      </c>
      <c r="D1052">
        <v>-9.3106447473593999E-3</v>
      </c>
      <c r="E1052">
        <v>0.47792225999999999</v>
      </c>
      <c r="F1052">
        <v>-4.4497643868029639E-3</v>
      </c>
      <c r="G1052" s="32">
        <f t="shared" si="12"/>
        <v>1.6888896175601843E-2</v>
      </c>
      <c r="H1052">
        <v>1.7332416980444298E-2</v>
      </c>
      <c r="I1052">
        <v>-4.4560043105332132E-3</v>
      </c>
      <c r="J1052">
        <v>-4.4622442342634626E-3</v>
      </c>
      <c r="K1052">
        <v>-4.4684841579937119E-3</v>
      </c>
      <c r="L1052">
        <v>-4.4747240817239612E-3</v>
      </c>
      <c r="M1052">
        <v>-4.4809640054542105E-3</v>
      </c>
      <c r="N1052">
        <v>-4.4872039291844598E-3</v>
      </c>
    </row>
    <row r="1053" spans="1:14" x14ac:dyDescent="0.35">
      <c r="A1053">
        <v>44</v>
      </c>
      <c r="B1053" t="s">
        <v>29</v>
      </c>
      <c r="C1053" s="23">
        <v>43896</v>
      </c>
      <c r="D1053">
        <v>-3.9934252279978197E-2</v>
      </c>
      <c r="E1053">
        <v>0.4448105</v>
      </c>
      <c r="F1053">
        <v>-1.776317511041476E-2</v>
      </c>
      <c r="G1053" s="32">
        <f t="shared" si="12"/>
        <v>-8.7427893481291721E-4</v>
      </c>
      <c r="H1053">
        <v>1.7263281339411601E-2</v>
      </c>
      <c r="I1053">
        <v>-1.7764029128666599E-2</v>
      </c>
      <c r="J1053">
        <v>-1.7764883146918438E-2</v>
      </c>
      <c r="K1053">
        <v>-1.7765737165170277E-2</v>
      </c>
      <c r="L1053">
        <v>-1.7766591183422116E-2</v>
      </c>
      <c r="M1053">
        <v>-1.7767445201673955E-2</v>
      </c>
      <c r="N1053">
        <v>-1.7768299219925794E-2</v>
      </c>
    </row>
    <row r="1054" spans="1:14" x14ac:dyDescent="0.35">
      <c r="A1054">
        <v>45</v>
      </c>
      <c r="B1054" t="s">
        <v>29</v>
      </c>
      <c r="C1054" s="23">
        <v>43899</v>
      </c>
      <c r="D1054">
        <v>1.9151415240100101E-2</v>
      </c>
      <c r="E1054">
        <v>0.57872564000000004</v>
      </c>
      <c r="F1054">
        <v>1.1083414965230472E-2</v>
      </c>
      <c r="G1054" s="32">
        <f t="shared" si="12"/>
        <v>1.0209136030417554E-2</v>
      </c>
      <c r="H1054">
        <v>2.1188241128943901E-2</v>
      </c>
      <c r="I1054">
        <v>1.1082683958812185E-2</v>
      </c>
      <c r="J1054">
        <v>1.1081952952393901E-2</v>
      </c>
      <c r="K1054">
        <v>1.1081221945975614E-2</v>
      </c>
      <c r="L1054">
        <v>1.108049093955733E-2</v>
      </c>
      <c r="M1054">
        <v>1.1079759933139043E-2</v>
      </c>
      <c r="N1054">
        <v>1.1079028926720757E-2</v>
      </c>
    </row>
    <row r="1055" spans="1:14" x14ac:dyDescent="0.35">
      <c r="A1055">
        <v>46</v>
      </c>
      <c r="B1055" t="s">
        <v>29</v>
      </c>
      <c r="C1055" s="23">
        <v>43900</v>
      </c>
      <c r="D1055">
        <v>-1.8370881856712901E-2</v>
      </c>
      <c r="E1055">
        <v>0.52430343999999995</v>
      </c>
      <c r="F1055">
        <v>-9.6319164849555626E-3</v>
      </c>
      <c r="G1055" s="32">
        <f t="shared" si="12"/>
        <v>5.7721954546199189E-4</v>
      </c>
      <c r="H1055">
        <v>2.25250834792791E-2</v>
      </c>
      <c r="I1055">
        <v>-9.633823836210734E-3</v>
      </c>
      <c r="J1055">
        <v>-9.6357311874659037E-3</v>
      </c>
      <c r="K1055">
        <v>-9.6376385387210751E-3</v>
      </c>
      <c r="L1055">
        <v>-9.6395458899762448E-3</v>
      </c>
      <c r="M1055">
        <v>-9.6414532412314163E-3</v>
      </c>
      <c r="N1055">
        <v>-9.643360592486586E-3</v>
      </c>
    </row>
    <row r="1056" spans="1:14" x14ac:dyDescent="0.35">
      <c r="A1056">
        <v>47</v>
      </c>
      <c r="B1056" t="s">
        <v>29</v>
      </c>
      <c r="C1056" s="23">
        <v>43901</v>
      </c>
      <c r="D1056">
        <v>-4.00992671575729E-2</v>
      </c>
      <c r="E1056">
        <v>0.58452440000000006</v>
      </c>
      <c r="F1056">
        <v>-2.3438999798299841E-2</v>
      </c>
      <c r="G1056" s="32">
        <f t="shared" si="12"/>
        <v>-2.286178025283785E-2</v>
      </c>
      <c r="H1056">
        <v>2.33256692639092E-2</v>
      </c>
      <c r="I1056">
        <v>-2.3439842115965649E-2</v>
      </c>
      <c r="J1056">
        <v>-2.3440684433631457E-2</v>
      </c>
      <c r="K1056">
        <v>-2.3441526751297261E-2</v>
      </c>
      <c r="L1056">
        <v>-2.3442369068963069E-2</v>
      </c>
      <c r="M1056">
        <v>-2.3443211386628877E-2</v>
      </c>
      <c r="N1056">
        <v>-2.3444053704294684E-2</v>
      </c>
    </row>
    <row r="1057" spans="1:14" x14ac:dyDescent="0.35">
      <c r="A1057">
        <v>48</v>
      </c>
      <c r="B1057" t="s">
        <v>29</v>
      </c>
      <c r="C1057" s="23">
        <v>43902</v>
      </c>
      <c r="D1057">
        <v>3.0441649266498401E-2</v>
      </c>
      <c r="E1057">
        <v>0.58727527000000002</v>
      </c>
      <c r="F1057">
        <v>1.7877627690167618E-2</v>
      </c>
      <c r="G1057" s="32">
        <f t="shared" si="12"/>
        <v>-4.984152562670232E-3</v>
      </c>
      <c r="H1057">
        <v>2.8538265762160699E-2</v>
      </c>
      <c r="I1057">
        <v>1.7875510731217525E-2</v>
      </c>
      <c r="J1057">
        <v>1.7873393772267432E-2</v>
      </c>
      <c r="K1057">
        <v>1.7871276813317336E-2</v>
      </c>
      <c r="L1057">
        <v>1.7869159854367243E-2</v>
      </c>
      <c r="M1057">
        <v>1.786704289541715E-2</v>
      </c>
      <c r="N1057">
        <v>1.7864925936467057E-2</v>
      </c>
    </row>
    <row r="1058" spans="1:14" x14ac:dyDescent="0.35">
      <c r="A1058">
        <v>49</v>
      </c>
      <c r="B1058" t="s">
        <v>29</v>
      </c>
      <c r="C1058" s="23">
        <v>43903</v>
      </c>
      <c r="D1058">
        <v>-2.94694120007713E-2</v>
      </c>
      <c r="E1058">
        <v>0.62281810000000004</v>
      </c>
      <c r="F1058">
        <v>-1.8354083555072988E-2</v>
      </c>
      <c r="G1058" s="32">
        <f t="shared" si="12"/>
        <v>-2.333823611774322E-2</v>
      </c>
      <c r="H1058">
        <v>3.3271296569455898E-2</v>
      </c>
      <c r="I1058">
        <v>-1.8354961915106334E-2</v>
      </c>
      <c r="J1058">
        <v>-1.835584027513968E-2</v>
      </c>
      <c r="K1058">
        <v>-1.8356718635173026E-2</v>
      </c>
      <c r="L1058">
        <v>-1.8357596995206376E-2</v>
      </c>
      <c r="M1058">
        <v>-1.8358475355239722E-2</v>
      </c>
      <c r="N1058">
        <v>-1.8359353715273068E-2</v>
      </c>
    </row>
    <row r="1059" spans="1:14" x14ac:dyDescent="0.35">
      <c r="A1059">
        <v>50</v>
      </c>
      <c r="B1059" t="s">
        <v>29</v>
      </c>
      <c r="C1059" s="23">
        <v>43906</v>
      </c>
      <c r="D1059">
        <v>8.3133419554785003E-3</v>
      </c>
      <c r="E1059">
        <v>0.58499420000000002</v>
      </c>
      <c r="F1059">
        <v>4.8632568007319242E-3</v>
      </c>
      <c r="G1059" s="32">
        <f t="shared" si="12"/>
        <v>-1.8474979317011295E-2</v>
      </c>
      <c r="H1059">
        <v>3.7279729087609098E-2</v>
      </c>
      <c r="I1059">
        <v>4.8618265058517811E-3</v>
      </c>
      <c r="J1059">
        <v>4.8603962109716381E-3</v>
      </c>
      <c r="K1059">
        <v>4.858965916091495E-3</v>
      </c>
      <c r="L1059">
        <v>4.857535621211352E-3</v>
      </c>
      <c r="M1059">
        <v>4.8561053263312089E-3</v>
      </c>
      <c r="N1059">
        <v>4.8546750314510658E-3</v>
      </c>
    </row>
    <row r="1060" spans="1:14" x14ac:dyDescent="0.35">
      <c r="A1060">
        <v>51</v>
      </c>
      <c r="B1060" t="s">
        <v>29</v>
      </c>
      <c r="C1060" s="23">
        <v>43907</v>
      </c>
      <c r="D1060">
        <v>-8.2572467748505008E-3</v>
      </c>
      <c r="E1060">
        <v>0.58917355999999999</v>
      </c>
      <c r="F1060">
        <v>-4.8649514399403656E-3</v>
      </c>
      <c r="G1060" s="32">
        <f t="shared" si="12"/>
        <v>-2.3339930756951659E-2</v>
      </c>
      <c r="H1060">
        <v>3.7372810532567899E-2</v>
      </c>
      <c r="I1060">
        <v>-4.8649858094488869E-3</v>
      </c>
      <c r="J1060">
        <v>-4.8650201789574082E-3</v>
      </c>
      <c r="K1060">
        <v>-4.8650545484659295E-3</v>
      </c>
      <c r="L1060">
        <v>-4.8650889179744508E-3</v>
      </c>
      <c r="M1060">
        <v>-4.8651232874829722E-3</v>
      </c>
      <c r="N1060">
        <v>-4.8651576569914935E-3</v>
      </c>
    </row>
    <row r="1061" spans="1:14" x14ac:dyDescent="0.35">
      <c r="A1061">
        <v>52</v>
      </c>
      <c r="B1061" t="s">
        <v>29</v>
      </c>
      <c r="C1061" s="23">
        <v>43908</v>
      </c>
      <c r="D1061">
        <v>-1.1354157941198999E-3</v>
      </c>
      <c r="E1061">
        <v>0.58153759999999999</v>
      </c>
      <c r="F1061">
        <v>-6.602869808331681E-4</v>
      </c>
      <c r="G1061" s="32">
        <f t="shared" si="12"/>
        <v>-2.4000217737784827E-2</v>
      </c>
      <c r="H1061">
        <v>3.7060157101459303E-2</v>
      </c>
      <c r="I1061">
        <v>-6.603214911468045E-4</v>
      </c>
      <c r="J1061">
        <v>-6.6035600146044089E-4</v>
      </c>
      <c r="K1061">
        <v>-6.6039051177407728E-4</v>
      </c>
      <c r="L1061">
        <v>-6.6042502208771368E-4</v>
      </c>
      <c r="M1061">
        <v>-6.6045953240135007E-4</v>
      </c>
      <c r="N1061">
        <v>-6.6049404271498646E-4</v>
      </c>
    </row>
    <row r="1062" spans="1:14" x14ac:dyDescent="0.35">
      <c r="A1062">
        <v>53</v>
      </c>
      <c r="B1062" t="s">
        <v>29</v>
      </c>
      <c r="C1062" s="23">
        <v>43909</v>
      </c>
      <c r="D1062">
        <v>3.7462055192130999E-3</v>
      </c>
      <c r="E1062">
        <v>0.57934719999999995</v>
      </c>
      <c r="F1062">
        <v>2.1703536528604999E-3</v>
      </c>
      <c r="G1062" s="32">
        <f t="shared" si="12"/>
        <v>-2.1829864084924329E-2</v>
      </c>
      <c r="H1062">
        <v>3.6450645335335798E-2</v>
      </c>
      <c r="I1062">
        <v>2.1702580763669778E-3</v>
      </c>
      <c r="J1062">
        <v>2.1701624998734558E-3</v>
      </c>
      <c r="K1062">
        <v>2.1700669233799337E-3</v>
      </c>
      <c r="L1062">
        <v>2.1699713468864121E-3</v>
      </c>
      <c r="M1062">
        <v>2.16987577039289E-3</v>
      </c>
      <c r="N1062">
        <v>2.169780193899368E-3</v>
      </c>
    </row>
    <row r="1063" spans="1:14" x14ac:dyDescent="0.35">
      <c r="A1063">
        <v>54</v>
      </c>
      <c r="B1063" t="s">
        <v>29</v>
      </c>
      <c r="C1063" s="23">
        <v>43910</v>
      </c>
      <c r="D1063">
        <v>-2.3378574695078501E-2</v>
      </c>
      <c r="E1063">
        <v>0.52939829999999999</v>
      </c>
      <c r="F1063">
        <v>-1.2376578216790501E-2</v>
      </c>
      <c r="G1063" s="32">
        <f t="shared" si="12"/>
        <v>-3.420644230171483E-2</v>
      </c>
      <c r="H1063">
        <v>3.6054721406089403E-2</v>
      </c>
      <c r="I1063">
        <v>-1.2377150279284993E-2</v>
      </c>
      <c r="J1063">
        <v>-1.2377722341779486E-2</v>
      </c>
      <c r="K1063">
        <v>-1.2378294404273977E-2</v>
      </c>
      <c r="L1063">
        <v>-1.2378866466768468E-2</v>
      </c>
      <c r="M1063">
        <v>-1.2379438529262959E-2</v>
      </c>
      <c r="N1063">
        <v>-1.2380010591757452E-2</v>
      </c>
    </row>
    <row r="1064" spans="1:14" x14ac:dyDescent="0.35">
      <c r="A1064">
        <v>55</v>
      </c>
      <c r="B1064" t="s">
        <v>29</v>
      </c>
      <c r="C1064" s="23">
        <v>43913</v>
      </c>
      <c r="D1064">
        <v>2.4067140215912899E-2</v>
      </c>
      <c r="E1064">
        <v>0.50978120000000005</v>
      </c>
      <c r="F1064">
        <v>1.2268975182110084E-2</v>
      </c>
      <c r="G1064" s="32">
        <f t="shared" si="12"/>
        <v>-2.1937467119604745E-2</v>
      </c>
      <c r="H1064">
        <v>3.8456962986023802E-2</v>
      </c>
      <c r="I1064">
        <v>1.2268300845305422E-2</v>
      </c>
      <c r="J1064">
        <v>1.2267626508500761E-2</v>
      </c>
      <c r="K1064">
        <v>1.2266952171696099E-2</v>
      </c>
      <c r="L1064">
        <v>1.2266277834891438E-2</v>
      </c>
      <c r="M1064">
        <v>1.2265603498086777E-2</v>
      </c>
      <c r="N1064">
        <v>1.2264929161282115E-2</v>
      </c>
    </row>
    <row r="1065" spans="1:14" x14ac:dyDescent="0.35">
      <c r="A1065">
        <v>56</v>
      </c>
      <c r="B1065" t="s">
        <v>29</v>
      </c>
      <c r="C1065" s="23">
        <v>43914</v>
      </c>
      <c r="D1065">
        <v>2.6495865375527998E-3</v>
      </c>
      <c r="E1065">
        <v>0.1773497</v>
      </c>
      <c r="F1065">
        <v>4.6990338159641693E-4</v>
      </c>
      <c r="G1065" s="32">
        <f t="shared" si="12"/>
        <v>-2.1467563738008327E-2</v>
      </c>
      <c r="H1065">
        <v>4.24206361296246E-2</v>
      </c>
      <c r="I1065">
        <v>4.6561577786554087E-4</v>
      </c>
      <c r="J1065">
        <v>4.613281741346648E-4</v>
      </c>
      <c r="K1065">
        <v>4.5704057040378874E-4</v>
      </c>
      <c r="L1065">
        <v>4.5275296667291262E-4</v>
      </c>
      <c r="M1065">
        <v>4.4846536294203656E-4</v>
      </c>
      <c r="N1065">
        <v>4.4417775921116049E-4</v>
      </c>
    </row>
    <row r="1066" spans="1:14" x14ac:dyDescent="0.35">
      <c r="A1066">
        <v>57</v>
      </c>
      <c r="B1066" t="s">
        <v>29</v>
      </c>
      <c r="C1066" s="23">
        <v>43915</v>
      </c>
      <c r="D1066">
        <v>1.2908806685939699E-2</v>
      </c>
      <c r="E1066">
        <v>-3.7962254000000001E-2</v>
      </c>
      <c r="F1066">
        <v>-4.9004740001447572E-4</v>
      </c>
      <c r="G1066" s="32">
        <f t="shared" si="12"/>
        <v>-2.1957611138022803E-2</v>
      </c>
      <c r="H1066">
        <v>4.1836452793700803E-2</v>
      </c>
      <c r="I1066">
        <v>-4.9245131924382482E-4</v>
      </c>
      <c r="J1066">
        <v>-4.9485523847317403E-4</v>
      </c>
      <c r="K1066">
        <v>-4.9725915770252314E-4</v>
      </c>
      <c r="L1066">
        <v>-4.9966307693187235E-4</v>
      </c>
      <c r="M1066">
        <v>-5.0206699616122145E-4</v>
      </c>
      <c r="N1066">
        <v>-5.0447091539057066E-4</v>
      </c>
    </row>
    <row r="1067" spans="1:14" x14ac:dyDescent="0.35">
      <c r="A1067">
        <v>58</v>
      </c>
      <c r="B1067" t="s">
        <v>29</v>
      </c>
      <c r="C1067" s="23">
        <v>43916</v>
      </c>
      <c r="D1067">
        <v>-7.1392434860088998E-3</v>
      </c>
      <c r="E1067">
        <v>2.9785186E-4</v>
      </c>
      <c r="F1067">
        <v>-2.1264369550360573E-6</v>
      </c>
      <c r="G1067" s="32">
        <f t="shared" si="12"/>
        <v>-2.195973757497784E-2</v>
      </c>
      <c r="H1067">
        <v>4.2629525016836603E-2</v>
      </c>
      <c r="I1067">
        <v>-2.558442582598558E-6</v>
      </c>
      <c r="J1067">
        <v>-2.9904482101610586E-6</v>
      </c>
      <c r="K1067">
        <v>-3.4224538377235593E-6</v>
      </c>
      <c r="L1067">
        <v>-3.8544594652860599E-6</v>
      </c>
      <c r="M1067">
        <v>-4.2864650928485605E-6</v>
      </c>
      <c r="N1067">
        <v>-4.7184707204110612E-6</v>
      </c>
    </row>
    <row r="1068" spans="1:14" x14ac:dyDescent="0.35">
      <c r="A1068">
        <v>59</v>
      </c>
      <c r="B1068" t="s">
        <v>29</v>
      </c>
      <c r="C1068" s="23">
        <v>43917</v>
      </c>
      <c r="D1068">
        <v>7.7304082548732998E-3</v>
      </c>
      <c r="E1068">
        <v>-3.4761246000000003E-2</v>
      </c>
      <c r="F1068">
        <v>-2.6871862529914545E-4</v>
      </c>
      <c r="G1068" s="32">
        <f t="shared" si="12"/>
        <v>-2.2228456200276987E-2</v>
      </c>
      <c r="H1068">
        <v>4.22536901659957E-2</v>
      </c>
      <c r="I1068">
        <v>-2.691106059147256E-4</v>
      </c>
      <c r="J1068">
        <v>-2.6950258653030568E-4</v>
      </c>
      <c r="K1068">
        <v>-2.6989456714588583E-4</v>
      </c>
      <c r="L1068">
        <v>-2.7028654776146597E-4</v>
      </c>
      <c r="M1068">
        <v>-2.7067852837704611E-4</v>
      </c>
      <c r="N1068">
        <v>-2.710705089926262E-4</v>
      </c>
    </row>
    <row r="1069" spans="1:14" x14ac:dyDescent="0.35">
      <c r="A1069">
        <v>60</v>
      </c>
      <c r="B1069" t="s">
        <v>29</v>
      </c>
      <c r="C1069" s="23">
        <v>43920</v>
      </c>
      <c r="D1069">
        <v>-3.5649532134937999E-3</v>
      </c>
      <c r="E1069">
        <v>9.2476963999999995E-2</v>
      </c>
      <c r="F1069">
        <v>-3.2967604997485351E-4</v>
      </c>
      <c r="G1069" s="32">
        <f t="shared" si="12"/>
        <v>-2.2558132250251842E-2</v>
      </c>
      <c r="H1069">
        <v>4.2124697757601401E-2</v>
      </c>
      <c r="I1069">
        <v>-3.3110191823512643E-4</v>
      </c>
      <c r="J1069">
        <v>-3.3252778649539929E-4</v>
      </c>
      <c r="K1069">
        <v>-3.3395365475567221E-4</v>
      </c>
      <c r="L1069">
        <v>-3.3537952301594508E-4</v>
      </c>
      <c r="M1069">
        <v>-3.3680539127621799E-4</v>
      </c>
      <c r="N1069">
        <v>-3.3823125953649086E-4</v>
      </c>
    </row>
    <row r="1070" spans="1:14" x14ac:dyDescent="0.35">
      <c r="A1070">
        <v>61</v>
      </c>
      <c r="B1070" t="s">
        <v>29</v>
      </c>
      <c r="C1070" s="23">
        <v>43921</v>
      </c>
      <c r="D1070">
        <v>-1.0788291517265401E-2</v>
      </c>
      <c r="E1070">
        <v>7.9055050000000002E-2</v>
      </c>
      <c r="F1070">
        <v>-8.5286890940285901E-4</v>
      </c>
      <c r="G1070" s="32">
        <f t="shared" si="12"/>
        <v>-2.34110011596547E-2</v>
      </c>
      <c r="H1070">
        <v>4.1496972265434501E-2</v>
      </c>
      <c r="I1070">
        <v>-8.5300603241468857E-4</v>
      </c>
      <c r="J1070">
        <v>-8.5314315542651801E-4</v>
      </c>
      <c r="K1070">
        <v>-8.5328027843834756E-4</v>
      </c>
      <c r="L1070">
        <v>-8.5341740145017701E-4</v>
      </c>
      <c r="M1070">
        <v>-8.5355452446200656E-4</v>
      </c>
      <c r="N1070">
        <v>-8.53691647473836E-4</v>
      </c>
    </row>
    <row r="1071" spans="1:14" x14ac:dyDescent="0.35">
      <c r="A1071">
        <v>62</v>
      </c>
      <c r="B1071" t="s">
        <v>29</v>
      </c>
      <c r="C1071" s="23">
        <v>43922</v>
      </c>
      <c r="D1071">
        <v>6.3589138577302001E-3</v>
      </c>
      <c r="E1071">
        <v>0.18870055999999999</v>
      </c>
      <c r="F1071">
        <v>1.1999305853111928E-3</v>
      </c>
      <c r="G1071" s="32">
        <f t="shared" si="12"/>
        <v>-2.2211070574343506E-2</v>
      </c>
      <c r="H1071">
        <v>4.1580260410004302E-2</v>
      </c>
      <c r="I1071">
        <v>1.1986865413011272E-3</v>
      </c>
      <c r="J1071">
        <v>1.1974424972910616E-3</v>
      </c>
      <c r="K1071">
        <v>1.1961984532809957E-3</v>
      </c>
      <c r="L1071">
        <v>1.1949544092709301E-3</v>
      </c>
      <c r="M1071">
        <v>1.1937103652608645E-3</v>
      </c>
      <c r="N1071">
        <v>1.1924663212507988E-3</v>
      </c>
    </row>
    <row r="1072" spans="1:14" x14ac:dyDescent="0.35">
      <c r="A1072">
        <v>63</v>
      </c>
      <c r="B1072" t="s">
        <v>29</v>
      </c>
      <c r="C1072" s="23">
        <v>43923</v>
      </c>
      <c r="D1072">
        <v>-3.0679294712123999E-3</v>
      </c>
      <c r="E1072">
        <v>0.27955015999999999</v>
      </c>
      <c r="F1072">
        <v>-8.5764018969549478E-4</v>
      </c>
      <c r="G1072" s="32">
        <f t="shared" si="12"/>
        <v>-2.3068710764039001E-2</v>
      </c>
      <c r="H1072">
        <v>4.1306886347100197E-2</v>
      </c>
      <c r="I1072">
        <v>-8.5869348986760481E-4</v>
      </c>
      <c r="J1072">
        <v>-8.5974679003971485E-4</v>
      </c>
      <c r="K1072">
        <v>-8.6080009021182488E-4</v>
      </c>
      <c r="L1072">
        <v>-8.6185339038393491E-4</v>
      </c>
      <c r="M1072">
        <v>-8.6290669055604494E-4</v>
      </c>
      <c r="N1072">
        <v>-8.6395999072815498E-4</v>
      </c>
    </row>
    <row r="1073" spans="1:14" x14ac:dyDescent="0.35">
      <c r="A1073">
        <v>64</v>
      </c>
      <c r="B1073" t="s">
        <v>29</v>
      </c>
      <c r="C1073" s="23">
        <v>43924</v>
      </c>
      <c r="D1073">
        <v>1.5138987968658899E-2</v>
      </c>
      <c r="E1073">
        <v>0.30822787000000001</v>
      </c>
      <c r="F1073">
        <v>4.6662579684235289E-3</v>
      </c>
      <c r="G1073" s="32">
        <f t="shared" si="12"/>
        <v>-1.8402452795615473E-2</v>
      </c>
      <c r="H1073">
        <v>4.0663564322998301E-2</v>
      </c>
      <c r="I1073">
        <v>4.6658741873306158E-3</v>
      </c>
      <c r="J1073">
        <v>4.6654904062377019E-3</v>
      </c>
      <c r="K1073">
        <v>4.6651066251447888E-3</v>
      </c>
      <c r="L1073">
        <v>4.6647228440518758E-3</v>
      </c>
      <c r="M1073">
        <v>4.6643390629589618E-3</v>
      </c>
      <c r="N1073">
        <v>4.6639552818660487E-3</v>
      </c>
    </row>
    <row r="1074" spans="1:14" x14ac:dyDescent="0.35">
      <c r="A1074">
        <v>65</v>
      </c>
      <c r="B1074" t="s">
        <v>29</v>
      </c>
      <c r="C1074" s="23">
        <v>43927</v>
      </c>
      <c r="D1074">
        <v>-2.133847652154E-4</v>
      </c>
      <c r="E1074">
        <v>0.49522983999999998</v>
      </c>
      <c r="F1074">
        <v>-1.0567450319551454E-4</v>
      </c>
      <c r="G1074" s="32">
        <f t="shared" ref="G1074:G1137" si="13">G1073+F1074</f>
        <v>-1.8508127298810986E-2</v>
      </c>
      <c r="H1074">
        <v>4.1862389733332103E-2</v>
      </c>
      <c r="I1074">
        <v>-1.0768243694541857E-4</v>
      </c>
      <c r="J1074">
        <v>-1.0969037069532261E-4</v>
      </c>
      <c r="K1074">
        <v>-1.1169830444522664E-4</v>
      </c>
      <c r="L1074">
        <v>-1.1370623819513066E-4</v>
      </c>
      <c r="M1074">
        <v>-1.157141719450347E-4</v>
      </c>
      <c r="N1074">
        <v>-1.1772210569493873E-4</v>
      </c>
    </row>
    <row r="1075" spans="1:14" x14ac:dyDescent="0.35">
      <c r="A1075">
        <v>66</v>
      </c>
      <c r="B1075" t="s">
        <v>29</v>
      </c>
      <c r="C1075" s="23">
        <v>43928</v>
      </c>
      <c r="D1075">
        <v>8.0789465308186998E-3</v>
      </c>
      <c r="E1075">
        <v>0.66723200000000005</v>
      </c>
      <c r="F1075">
        <v>5.3905314657217932E-3</v>
      </c>
      <c r="G1075" s="32">
        <f t="shared" si="13"/>
        <v>-1.3117595833089192E-2</v>
      </c>
      <c r="H1075">
        <v>4.1170523579848302E-2</v>
      </c>
      <c r="I1075">
        <v>5.388463716660556E-3</v>
      </c>
      <c r="J1075">
        <v>5.3863959675993179E-3</v>
      </c>
      <c r="K1075">
        <v>5.3843282185380807E-3</v>
      </c>
      <c r="L1075">
        <v>5.3822604694768435E-3</v>
      </c>
      <c r="M1075">
        <v>5.3801927204156063E-3</v>
      </c>
      <c r="N1075">
        <v>5.3781249713543682E-3</v>
      </c>
    </row>
    <row r="1076" spans="1:14" x14ac:dyDescent="0.35">
      <c r="A1076">
        <v>67</v>
      </c>
      <c r="B1076" t="s">
        <v>29</v>
      </c>
      <c r="C1076" s="23">
        <v>43929</v>
      </c>
      <c r="D1076">
        <v>3.7688193462875998E-3</v>
      </c>
      <c r="E1076">
        <v>0.79657109999999998</v>
      </c>
      <c r="F1076">
        <v>3.0021324816064433E-3</v>
      </c>
      <c r="G1076" s="32">
        <f t="shared" si="13"/>
        <v>-1.0115463351482749E-2</v>
      </c>
      <c r="H1076">
        <v>4.1022429476416301E-2</v>
      </c>
      <c r="I1076">
        <v>3.0006152404506345E-3</v>
      </c>
      <c r="J1076">
        <v>2.9990979992948258E-3</v>
      </c>
      <c r="K1076">
        <v>2.9975807581390174E-3</v>
      </c>
      <c r="L1076">
        <v>2.9960635169832086E-3</v>
      </c>
      <c r="M1076">
        <v>2.9945462758273998E-3</v>
      </c>
      <c r="N1076">
        <v>2.993029034671591E-3</v>
      </c>
    </row>
    <row r="1077" spans="1:14" x14ac:dyDescent="0.35">
      <c r="A1077">
        <v>68</v>
      </c>
      <c r="B1077" t="s">
        <v>29</v>
      </c>
      <c r="C1077" s="23">
        <v>43930</v>
      </c>
      <c r="D1077">
        <v>-1.7225349545141001E-3</v>
      </c>
      <c r="E1077">
        <v>0.88603330000000002</v>
      </c>
      <c r="F1077">
        <v>-1.5262233242311642E-3</v>
      </c>
      <c r="G1077" s="32">
        <f t="shared" si="13"/>
        <v>-1.1641686675713914E-2</v>
      </c>
      <c r="H1077">
        <v>4.0454893968702603E-2</v>
      </c>
      <c r="I1077">
        <v>-1.5273968182574968E-3</v>
      </c>
      <c r="J1077">
        <v>-1.5285703122838294E-3</v>
      </c>
      <c r="K1077">
        <v>-1.5297438063101619E-3</v>
      </c>
      <c r="L1077">
        <v>-1.5309173003364945E-3</v>
      </c>
      <c r="M1077">
        <v>-1.5320907943628271E-3</v>
      </c>
      <c r="N1077">
        <v>-1.5332642883891597E-3</v>
      </c>
    </row>
    <row r="1078" spans="1:14" x14ac:dyDescent="0.35">
      <c r="A1078">
        <v>69</v>
      </c>
      <c r="B1078" t="s">
        <v>29</v>
      </c>
      <c r="C1078" s="23">
        <v>43934</v>
      </c>
      <c r="D1078">
        <v>7.2043471238494999E-3</v>
      </c>
      <c r="E1078">
        <v>0.94531390000000004</v>
      </c>
      <c r="F1078">
        <v>6.8103692670026571E-3</v>
      </c>
      <c r="G1078" s="32">
        <f t="shared" si="13"/>
        <v>-4.8313174087112566E-3</v>
      </c>
      <c r="H1078">
        <v>3.9809811672607401E-2</v>
      </c>
      <c r="I1078">
        <v>6.8094980631681727E-3</v>
      </c>
      <c r="J1078">
        <v>6.8086268593336892E-3</v>
      </c>
      <c r="K1078">
        <v>6.8077556554992048E-3</v>
      </c>
      <c r="L1078">
        <v>6.8068844516647213E-3</v>
      </c>
      <c r="M1078">
        <v>6.8060132478302369E-3</v>
      </c>
      <c r="N1078">
        <v>6.8051420439957525E-3</v>
      </c>
    </row>
    <row r="1079" spans="1:14" x14ac:dyDescent="0.35">
      <c r="A1079">
        <v>70</v>
      </c>
      <c r="B1079" t="s">
        <v>29</v>
      </c>
      <c r="C1079" s="23">
        <v>43935</v>
      </c>
      <c r="D1079">
        <v>-5.7175092770428001E-3</v>
      </c>
      <c r="E1079">
        <v>0.91716129999999996</v>
      </c>
      <c r="F1079">
        <v>-5.243878160547554E-3</v>
      </c>
      <c r="G1079" s="32">
        <f t="shared" si="13"/>
        <v>-1.0075195569258811E-2</v>
      </c>
      <c r="H1079">
        <v>3.9529030580377301E-2</v>
      </c>
      <c r="I1079">
        <v>-5.2441349542549894E-3</v>
      </c>
      <c r="J1079">
        <v>-5.2443917479624239E-3</v>
      </c>
      <c r="K1079">
        <v>-5.2446485416698593E-3</v>
      </c>
      <c r="L1079">
        <v>-5.2449053353772947E-3</v>
      </c>
      <c r="M1079">
        <v>-5.2451621290847293E-3</v>
      </c>
      <c r="N1079">
        <v>-5.2454189227921647E-3</v>
      </c>
    </row>
    <row r="1080" spans="1:14" x14ac:dyDescent="0.35">
      <c r="A1080">
        <v>71</v>
      </c>
      <c r="B1080" t="s">
        <v>29</v>
      </c>
      <c r="C1080" s="23">
        <v>43936</v>
      </c>
      <c r="D1080">
        <v>1.0876788737062E-3</v>
      </c>
      <c r="E1080">
        <v>0.97213084000000005</v>
      </c>
      <c r="F1080">
        <v>1.0573661717691095E-3</v>
      </c>
      <c r="G1080" s="32">
        <f t="shared" si="13"/>
        <v>-9.0178293974897007E-3</v>
      </c>
      <c r="H1080">
        <v>3.9132475410947901E-2</v>
      </c>
      <c r="I1080">
        <v>1.0565914256115212E-3</v>
      </c>
      <c r="J1080">
        <v>1.0558166794539332E-3</v>
      </c>
      <c r="K1080">
        <v>1.055041933296345E-3</v>
      </c>
      <c r="L1080">
        <v>1.054267187138757E-3</v>
      </c>
      <c r="M1080">
        <v>1.0534924409811687E-3</v>
      </c>
      <c r="N1080">
        <v>1.0527176948235805E-3</v>
      </c>
    </row>
    <row r="1081" spans="1:14" x14ac:dyDescent="0.35">
      <c r="A1081">
        <v>72</v>
      </c>
      <c r="B1081" t="s">
        <v>29</v>
      </c>
      <c r="C1081" s="23">
        <v>43937</v>
      </c>
      <c r="D1081">
        <v>7.2651349765951003E-3</v>
      </c>
      <c r="E1081">
        <v>0.96191347000000005</v>
      </c>
      <c r="F1081">
        <v>6.9884311695895401E-3</v>
      </c>
      <c r="G1081" s="32">
        <f t="shared" si="13"/>
        <v>-2.0293982279001605E-3</v>
      </c>
      <c r="H1081">
        <v>3.8493408968827802E-2</v>
      </c>
      <c r="I1081">
        <v>6.9883617215520224E-3</v>
      </c>
      <c r="J1081">
        <v>6.9882922735145054E-3</v>
      </c>
      <c r="K1081">
        <v>6.9882228254769876E-3</v>
      </c>
      <c r="L1081">
        <v>6.9881533774394699E-3</v>
      </c>
      <c r="M1081">
        <v>6.9880839294019521E-3</v>
      </c>
      <c r="N1081">
        <v>6.9880144813644351E-3</v>
      </c>
    </row>
    <row r="1082" spans="1:14" x14ac:dyDescent="0.35">
      <c r="A1082">
        <v>73</v>
      </c>
      <c r="B1082" t="s">
        <v>29</v>
      </c>
      <c r="C1082" s="23">
        <v>43938</v>
      </c>
      <c r="D1082">
        <v>-5.4700405576535004E-3</v>
      </c>
      <c r="E1082">
        <v>0.95817450000000004</v>
      </c>
      <c r="F1082">
        <v>-5.2412535223126059E-3</v>
      </c>
      <c r="G1082" s="32">
        <f t="shared" si="13"/>
        <v>-7.2706517502127664E-3</v>
      </c>
      <c r="H1082">
        <v>3.8220139758842003E-2</v>
      </c>
      <c r="I1082">
        <v>-5.2412917171061994E-3</v>
      </c>
      <c r="J1082">
        <v>-5.241329911899793E-3</v>
      </c>
      <c r="K1082">
        <v>-5.2413681066933874E-3</v>
      </c>
      <c r="L1082">
        <v>-5.2414063014869809E-3</v>
      </c>
      <c r="M1082">
        <v>-5.2414444962805744E-3</v>
      </c>
      <c r="N1082">
        <v>-5.2414826910741679E-3</v>
      </c>
    </row>
    <row r="1083" spans="1:14" x14ac:dyDescent="0.35">
      <c r="A1083">
        <v>74</v>
      </c>
      <c r="B1083" t="s">
        <v>29</v>
      </c>
      <c r="C1083" s="23">
        <v>43941</v>
      </c>
      <c r="D1083">
        <v>-6.6317449832479997E-3</v>
      </c>
      <c r="E1083">
        <v>0.98680084999999995</v>
      </c>
      <c r="F1083">
        <v>-6.5442115827234219E-3</v>
      </c>
      <c r="G1083" s="32">
        <f t="shared" si="13"/>
        <v>-1.3814863332936189E-2</v>
      </c>
      <c r="H1083">
        <v>3.7822862797467799E-2</v>
      </c>
      <c r="I1083">
        <v>-6.5446935710059767E-3</v>
      </c>
      <c r="J1083">
        <v>-6.5451755592885307E-3</v>
      </c>
      <c r="K1083">
        <v>-6.5456575475710856E-3</v>
      </c>
      <c r="L1083">
        <v>-6.5461395358536395E-3</v>
      </c>
      <c r="M1083">
        <v>-6.5466215241361944E-3</v>
      </c>
      <c r="N1083">
        <v>-6.5471035124187484E-3</v>
      </c>
    </row>
    <row r="1084" spans="1:14" x14ac:dyDescent="0.35">
      <c r="A1084">
        <v>75</v>
      </c>
      <c r="B1084" t="s">
        <v>29</v>
      </c>
      <c r="C1084" s="23">
        <v>43942</v>
      </c>
      <c r="D1084">
        <v>5.2091400960641004E-3</v>
      </c>
      <c r="E1084">
        <v>0.98526360000000002</v>
      </c>
      <c r="F1084">
        <v>5.1323760512553248E-3</v>
      </c>
      <c r="G1084" s="32">
        <f t="shared" si="13"/>
        <v>-8.6824872816808653E-3</v>
      </c>
      <c r="H1084">
        <v>3.7513942106305001E-2</v>
      </c>
      <c r="I1084">
        <v>5.1322939065580548E-3</v>
      </c>
      <c r="J1084">
        <v>5.1322117618607848E-3</v>
      </c>
      <c r="K1084">
        <v>5.1321296171635148E-3</v>
      </c>
      <c r="L1084">
        <v>5.1320474724662448E-3</v>
      </c>
      <c r="M1084">
        <v>5.1319653277689756E-3</v>
      </c>
      <c r="N1084">
        <v>5.1318831830717056E-3</v>
      </c>
    </row>
    <row r="1085" spans="1:14" x14ac:dyDescent="0.35">
      <c r="A1085">
        <v>76</v>
      </c>
      <c r="B1085" t="s">
        <v>29</v>
      </c>
      <c r="C1085" s="23">
        <v>43943</v>
      </c>
      <c r="D1085">
        <v>-7.0811149659689998E-4</v>
      </c>
      <c r="E1085">
        <v>0.97764130000000005</v>
      </c>
      <c r="F1085">
        <v>-6.9227903307798606E-4</v>
      </c>
      <c r="G1085" s="32">
        <f t="shared" si="13"/>
        <v>-9.3747663147588506E-3</v>
      </c>
      <c r="H1085">
        <v>3.7086888352780803E-2</v>
      </c>
      <c r="I1085">
        <v>-6.9232481592099615E-4</v>
      </c>
      <c r="J1085">
        <v>-6.9237059876400614E-4</v>
      </c>
      <c r="K1085">
        <v>-6.9241638160701623E-4</v>
      </c>
      <c r="L1085">
        <v>-6.9246216445002621E-4</v>
      </c>
      <c r="M1085">
        <v>-6.9250794729303631E-4</v>
      </c>
      <c r="N1085">
        <v>-6.9255373013604629E-4</v>
      </c>
    </row>
    <row r="1086" spans="1:14" x14ac:dyDescent="0.35">
      <c r="A1086">
        <v>77</v>
      </c>
      <c r="B1086" t="s">
        <v>29</v>
      </c>
      <c r="C1086" s="23">
        <v>43944</v>
      </c>
      <c r="D1086">
        <v>4.5412082046362E-3</v>
      </c>
      <c r="E1086">
        <v>0.98765840000000005</v>
      </c>
      <c r="F1086">
        <v>4.4851623452733854E-3</v>
      </c>
      <c r="G1086" s="32">
        <f t="shared" si="13"/>
        <v>-4.8896039694854652E-3</v>
      </c>
      <c r="H1086">
        <v>3.6478103310764197E-2</v>
      </c>
      <c r="I1086">
        <v>4.4848247558792161E-3</v>
      </c>
      <c r="J1086">
        <v>4.4844871664850476E-3</v>
      </c>
      <c r="K1086">
        <v>4.4841495770908783E-3</v>
      </c>
      <c r="L1086">
        <v>4.483811987696709E-3</v>
      </c>
      <c r="M1086">
        <v>4.4834743983025406E-3</v>
      </c>
      <c r="N1086">
        <v>4.4831368089083713E-3</v>
      </c>
    </row>
    <row r="1087" spans="1:14" x14ac:dyDescent="0.35">
      <c r="A1087">
        <v>78</v>
      </c>
      <c r="B1087" t="s">
        <v>29</v>
      </c>
      <c r="C1087" s="23">
        <v>43945</v>
      </c>
      <c r="D1087">
        <v>3.6632064054164999E-3</v>
      </c>
      <c r="E1087">
        <v>0.97240700000000002</v>
      </c>
      <c r="F1087">
        <v>3.562127490173048E-3</v>
      </c>
      <c r="G1087" s="32">
        <f t="shared" si="13"/>
        <v>-1.3274764793124172E-3</v>
      </c>
      <c r="H1087">
        <v>3.6009492120060098E-2</v>
      </c>
      <c r="I1087">
        <v>3.5620938560849838E-3</v>
      </c>
      <c r="J1087">
        <v>3.5620602219969197E-3</v>
      </c>
      <c r="K1087">
        <v>3.5620265879088555E-3</v>
      </c>
      <c r="L1087">
        <v>3.5619929538207914E-3</v>
      </c>
      <c r="M1087">
        <v>3.5619593197327277E-3</v>
      </c>
      <c r="N1087">
        <v>3.5619256856446635E-3</v>
      </c>
    </row>
    <row r="1088" spans="1:14" x14ac:dyDescent="0.35">
      <c r="A1088">
        <v>79</v>
      </c>
      <c r="B1088" t="s">
        <v>29</v>
      </c>
      <c r="C1088" s="23">
        <v>43948</v>
      </c>
      <c r="D1088">
        <v>-1.6238815652590001E-4</v>
      </c>
      <c r="E1088">
        <v>0.97435749999999999</v>
      </c>
      <c r="F1088">
        <v>-1.5822411591159263E-4</v>
      </c>
      <c r="G1088" s="32">
        <f t="shared" si="13"/>
        <v>-1.4857005952240098E-3</v>
      </c>
      <c r="H1088">
        <v>3.5493116738328001E-2</v>
      </c>
      <c r="I1088">
        <v>-1.5843569406995289E-4</v>
      </c>
      <c r="J1088">
        <v>-1.5864727222831315E-4</v>
      </c>
      <c r="K1088">
        <v>-1.5885885038667341E-4</v>
      </c>
      <c r="L1088">
        <v>-1.5907042854503367E-4</v>
      </c>
      <c r="M1088">
        <v>-1.592820067033939E-4</v>
      </c>
      <c r="N1088">
        <v>-1.5949358486175416E-4</v>
      </c>
    </row>
    <row r="1089" spans="1:14" x14ac:dyDescent="0.35">
      <c r="A1089">
        <v>80</v>
      </c>
      <c r="B1089" t="s">
        <v>29</v>
      </c>
      <c r="C1089" s="23">
        <v>43949</v>
      </c>
      <c r="D1089">
        <v>6.9624630416553999E-3</v>
      </c>
      <c r="E1089">
        <v>0.98083186</v>
      </c>
      <c r="F1089">
        <v>6.8290055857437712E-3</v>
      </c>
      <c r="G1089" s="32">
        <f t="shared" si="13"/>
        <v>5.3433049905197618E-3</v>
      </c>
      <c r="H1089">
        <v>3.49079663821424E-2</v>
      </c>
      <c r="I1089">
        <v>6.8287005504359963E-3</v>
      </c>
      <c r="J1089">
        <v>6.8283955151282215E-3</v>
      </c>
      <c r="K1089">
        <v>6.8280904798204466E-3</v>
      </c>
      <c r="L1089">
        <v>6.8277854445126726E-3</v>
      </c>
      <c r="M1089">
        <v>6.8274804092048978E-3</v>
      </c>
      <c r="N1089">
        <v>6.8271753738971229E-3</v>
      </c>
    </row>
    <row r="1090" spans="1:14" x14ac:dyDescent="0.35">
      <c r="A1090">
        <v>81</v>
      </c>
      <c r="B1090" t="s">
        <v>29</v>
      </c>
      <c r="C1090" s="23">
        <v>43950</v>
      </c>
      <c r="D1090">
        <v>-3.5736906451266002E-3</v>
      </c>
      <c r="E1090">
        <v>0.95750844000000002</v>
      </c>
      <c r="F1090">
        <v>-3.4218389717617045E-3</v>
      </c>
      <c r="G1090" s="32">
        <f t="shared" si="13"/>
        <v>1.9214660187580573E-3</v>
      </c>
      <c r="H1090">
        <v>3.4613039530628303E-2</v>
      </c>
      <c r="I1090">
        <v>-3.4220442165783177E-3</v>
      </c>
      <c r="J1090">
        <v>-3.422249461394931E-3</v>
      </c>
      <c r="K1090">
        <v>-3.4224547062115442E-3</v>
      </c>
      <c r="L1090">
        <v>-3.4226599510281579E-3</v>
      </c>
      <c r="M1090">
        <v>-3.4228651958447712E-3</v>
      </c>
      <c r="N1090">
        <v>-3.4230704406613844E-3</v>
      </c>
    </row>
    <row r="1091" spans="1:14" x14ac:dyDescent="0.35">
      <c r="A1091">
        <v>82</v>
      </c>
      <c r="B1091" t="s">
        <v>29</v>
      </c>
      <c r="C1091" s="23">
        <v>43951</v>
      </c>
      <c r="D1091">
        <v>-7.6982890774449997E-3</v>
      </c>
      <c r="E1091">
        <v>0.98720050000000004</v>
      </c>
      <c r="F1091">
        <v>-7.5997548154738519E-3</v>
      </c>
      <c r="G1091" s="32">
        <f t="shared" si="13"/>
        <v>-5.6782887967157941E-3</v>
      </c>
      <c r="H1091">
        <v>3.4148141791999598E-2</v>
      </c>
      <c r="I1091">
        <v>-7.6003435510682343E-3</v>
      </c>
      <c r="J1091">
        <v>-7.6009322866626167E-3</v>
      </c>
      <c r="K1091">
        <v>-7.6015210222569992E-3</v>
      </c>
      <c r="L1091">
        <v>-7.6021097578513816E-3</v>
      </c>
      <c r="M1091">
        <v>-7.6026984934457649E-3</v>
      </c>
      <c r="N1091">
        <v>-7.6032872290401473E-3</v>
      </c>
    </row>
    <row r="1092" spans="1:14" x14ac:dyDescent="0.35">
      <c r="A1092">
        <v>83</v>
      </c>
      <c r="B1092" t="s">
        <v>29</v>
      </c>
      <c r="C1092" s="23">
        <v>43952</v>
      </c>
      <c r="D1092">
        <v>3.4478459041150002E-4</v>
      </c>
      <c r="E1092">
        <v>0.98520490000000005</v>
      </c>
      <c r="F1092">
        <v>3.3968345946006366E-4</v>
      </c>
      <c r="G1092" s="32">
        <f t="shared" si="13"/>
        <v>-5.33860533725573E-3</v>
      </c>
      <c r="H1092">
        <v>3.3993247146626999E-2</v>
      </c>
      <c r="I1092">
        <v>3.3964896000839777E-4</v>
      </c>
      <c r="J1092">
        <v>3.3961446055673182E-4</v>
      </c>
      <c r="K1092">
        <v>3.3957996110506593E-4</v>
      </c>
      <c r="L1092">
        <v>3.3954546165340004E-4</v>
      </c>
      <c r="M1092">
        <v>3.3951096220173415E-4</v>
      </c>
      <c r="N1092">
        <v>3.394764627500682E-4</v>
      </c>
    </row>
    <row r="1093" spans="1:14" x14ac:dyDescent="0.35">
      <c r="A1093">
        <v>84</v>
      </c>
      <c r="B1093" t="s">
        <v>29</v>
      </c>
      <c r="C1093" s="23">
        <v>43955</v>
      </c>
      <c r="D1093">
        <v>3.3013456962059E-3</v>
      </c>
      <c r="E1093">
        <v>0.97984325999999999</v>
      </c>
      <c r="F1093">
        <v>3.2348013255863207E-3</v>
      </c>
      <c r="G1093" s="32">
        <f t="shared" si="13"/>
        <v>-2.1038040116694093E-3</v>
      </c>
      <c r="H1093">
        <v>3.34315907387992E-2</v>
      </c>
      <c r="I1093">
        <v>3.234647052125221E-3</v>
      </c>
      <c r="J1093">
        <v>3.2344927786641213E-3</v>
      </c>
      <c r="K1093">
        <v>3.2343385052030216E-3</v>
      </c>
      <c r="L1093">
        <v>3.2341842317419218E-3</v>
      </c>
      <c r="M1093">
        <v>3.2340299582808221E-3</v>
      </c>
      <c r="N1093">
        <v>3.233875684819722E-3</v>
      </c>
    </row>
    <row r="1094" spans="1:14" x14ac:dyDescent="0.35">
      <c r="A1094">
        <v>85</v>
      </c>
      <c r="B1094" t="s">
        <v>29</v>
      </c>
      <c r="C1094" s="23">
        <v>43956</v>
      </c>
      <c r="D1094">
        <v>-2.4839629596241E-3</v>
      </c>
      <c r="E1094">
        <v>0.98154783000000001</v>
      </c>
      <c r="F1094">
        <v>-2.4381284590020307E-3</v>
      </c>
      <c r="G1094" s="32">
        <f t="shared" si="13"/>
        <v>-4.5419324706714396E-3</v>
      </c>
      <c r="H1094">
        <v>3.2939792899961497E-2</v>
      </c>
      <c r="I1094">
        <v>-2.4383596474427741E-3</v>
      </c>
      <c r="J1094">
        <v>-2.4385908358835169E-3</v>
      </c>
      <c r="K1094">
        <v>-2.4388220243242603E-3</v>
      </c>
      <c r="L1094">
        <v>-2.4390532127650036E-3</v>
      </c>
      <c r="M1094">
        <v>-2.4392844012057469E-3</v>
      </c>
      <c r="N1094">
        <v>-2.4395155896464898E-3</v>
      </c>
    </row>
    <row r="1095" spans="1:14" x14ac:dyDescent="0.35">
      <c r="A1095">
        <v>86</v>
      </c>
      <c r="B1095" t="s">
        <v>29</v>
      </c>
      <c r="C1095" s="23">
        <v>43957</v>
      </c>
      <c r="D1095">
        <v>4.7800167994184002E-3</v>
      </c>
      <c r="E1095">
        <v>0.98790270000000002</v>
      </c>
      <c r="F1095">
        <v>4.7221915064977419E-3</v>
      </c>
      <c r="G1095" s="32">
        <f t="shared" si="13"/>
        <v>1.8025903582630232E-4</v>
      </c>
      <c r="H1095">
        <v>3.2440781036114703E-2</v>
      </c>
      <c r="I1095">
        <v>4.7218823989050602E-3</v>
      </c>
      <c r="J1095">
        <v>4.7215732913123785E-3</v>
      </c>
      <c r="K1095">
        <v>4.7212641837196968E-3</v>
      </c>
      <c r="L1095">
        <v>4.7209550761270151E-3</v>
      </c>
      <c r="M1095">
        <v>4.7206459685343333E-3</v>
      </c>
      <c r="N1095">
        <v>4.7203368609416516E-3</v>
      </c>
    </row>
    <row r="1096" spans="1:14" x14ac:dyDescent="0.35">
      <c r="A1096">
        <v>87</v>
      </c>
      <c r="B1096" t="s">
        <v>29</v>
      </c>
      <c r="C1096" s="23">
        <v>43958</v>
      </c>
      <c r="D1096">
        <v>4.9678980294345001E-3</v>
      </c>
      <c r="E1096">
        <v>0.97061783000000001</v>
      </c>
      <c r="F1096">
        <v>4.8219304087334398E-3</v>
      </c>
      <c r="G1096" s="32">
        <f t="shared" si="13"/>
        <v>5.0021894445597421E-3</v>
      </c>
      <c r="H1096">
        <v>3.2030783833999397E-2</v>
      </c>
      <c r="I1096">
        <v>4.8218596157149247E-3</v>
      </c>
      <c r="J1096">
        <v>4.8217888226964097E-3</v>
      </c>
      <c r="K1096">
        <v>4.8217180296778938E-3</v>
      </c>
      <c r="L1096">
        <v>4.8216472366593788E-3</v>
      </c>
      <c r="M1096">
        <v>4.8215764436408638E-3</v>
      </c>
      <c r="N1096">
        <v>4.8215056506223488E-3</v>
      </c>
    </row>
    <row r="1097" spans="1:14" x14ac:dyDescent="0.35">
      <c r="A1097">
        <v>88</v>
      </c>
      <c r="B1097" t="s">
        <v>29</v>
      </c>
      <c r="C1097" s="23">
        <v>43959</v>
      </c>
      <c r="D1097">
        <v>-5.8660461052839998E-4</v>
      </c>
      <c r="E1097">
        <v>0.97407820000000001</v>
      </c>
      <c r="F1097">
        <v>-5.713987504679252E-4</v>
      </c>
      <c r="G1097" s="32">
        <f t="shared" si="13"/>
        <v>4.4307906940918166E-3</v>
      </c>
      <c r="H1097">
        <v>3.1627738029989298E-2</v>
      </c>
      <c r="I1097">
        <v>-5.7163288450782146E-4</v>
      </c>
      <c r="J1097">
        <v>-5.7186701854771761E-4</v>
      </c>
      <c r="K1097">
        <v>-5.7210115258761387E-4</v>
      </c>
      <c r="L1097">
        <v>-5.7233528662751013E-4</v>
      </c>
      <c r="M1097">
        <v>-5.7256942066740639E-4</v>
      </c>
      <c r="N1097">
        <v>-5.7280355470730254E-4</v>
      </c>
    </row>
    <row r="1098" spans="1:14" x14ac:dyDescent="0.35">
      <c r="A1098">
        <v>89</v>
      </c>
      <c r="B1098" t="s">
        <v>29</v>
      </c>
      <c r="C1098" s="23">
        <v>43962</v>
      </c>
      <c r="D1098">
        <v>-7.3000068251325E-3</v>
      </c>
      <c r="E1098">
        <v>0.98115350000000001</v>
      </c>
      <c r="F1098">
        <v>-7.1624271600645717E-3</v>
      </c>
      <c r="G1098" s="32">
        <f t="shared" si="13"/>
        <v>-2.7316364659727551E-3</v>
      </c>
      <c r="H1098">
        <v>3.1111602537174501E-2</v>
      </c>
      <c r="I1098">
        <v>-7.1627760002993908E-3</v>
      </c>
      <c r="J1098">
        <v>-7.1631248405342098E-3</v>
      </c>
      <c r="K1098">
        <v>-7.1634736807690289E-3</v>
      </c>
      <c r="L1098">
        <v>-7.1638225210038488E-3</v>
      </c>
      <c r="M1098">
        <v>-7.1641713612386679E-3</v>
      </c>
      <c r="N1098">
        <v>-7.1645202014734869E-3</v>
      </c>
    </row>
    <row r="1099" spans="1:14" x14ac:dyDescent="0.35">
      <c r="A1099">
        <v>90</v>
      </c>
      <c r="B1099" t="s">
        <v>29</v>
      </c>
      <c r="C1099" s="23">
        <v>43963</v>
      </c>
      <c r="D1099">
        <v>-4.2291473276106998E-3</v>
      </c>
      <c r="E1099">
        <v>0.98730147000000001</v>
      </c>
      <c r="F1099">
        <v>-4.1754433685296374E-3</v>
      </c>
      <c r="G1099" s="32">
        <f t="shared" si="13"/>
        <v>-6.9070798345023925E-3</v>
      </c>
      <c r="H1099">
        <v>3.0939238235849899E-2</v>
      </c>
      <c r="I1099">
        <v>-4.1756202566802366E-3</v>
      </c>
      <c r="J1099">
        <v>-4.1757971448308359E-3</v>
      </c>
      <c r="K1099">
        <v>-4.1759740329814351E-3</v>
      </c>
      <c r="L1099">
        <v>-4.1761509211320344E-3</v>
      </c>
      <c r="M1099">
        <v>-4.1763278092826336E-3</v>
      </c>
      <c r="N1099">
        <v>-4.1765046974332328E-3</v>
      </c>
    </row>
    <row r="1100" spans="1:14" x14ac:dyDescent="0.35">
      <c r="A1100">
        <v>91</v>
      </c>
      <c r="B1100" t="s">
        <v>29</v>
      </c>
      <c r="C1100" s="23">
        <v>43964</v>
      </c>
      <c r="D1100">
        <v>3.7397390627687001E-3</v>
      </c>
      <c r="E1100">
        <v>0.98399380000000003</v>
      </c>
      <c r="F1100">
        <v>3.6798801572043415E-3</v>
      </c>
      <c r="G1100" s="32">
        <f t="shared" si="13"/>
        <v>-3.227199677298051E-3</v>
      </c>
      <c r="H1100">
        <v>3.0539285554961701E-2</v>
      </c>
      <c r="I1100">
        <v>3.6797338794018666E-3</v>
      </c>
      <c r="J1100">
        <v>3.6795876015993916E-3</v>
      </c>
      <c r="K1100">
        <v>3.6794413237969167E-3</v>
      </c>
      <c r="L1100">
        <v>3.6792950459944413E-3</v>
      </c>
      <c r="M1100">
        <v>3.6791487681919663E-3</v>
      </c>
      <c r="N1100">
        <v>3.6790024903894914E-3</v>
      </c>
    </row>
    <row r="1101" spans="1:14" x14ac:dyDescent="0.35">
      <c r="A1101">
        <v>92</v>
      </c>
      <c r="B1101" t="s">
        <v>29</v>
      </c>
      <c r="C1101" s="23">
        <v>43965</v>
      </c>
      <c r="D1101">
        <v>-5.5113531928435881E-5</v>
      </c>
      <c r="E1101">
        <v>0.97357930000000004</v>
      </c>
      <c r="F1101">
        <v>-5.3657393148092943E-5</v>
      </c>
      <c r="G1101" s="32">
        <f t="shared" si="13"/>
        <v>-3.280857070446144E-3</v>
      </c>
      <c r="H1101">
        <v>3.0110313851064299E-2</v>
      </c>
      <c r="I1101">
        <v>-5.3710853391676443E-5</v>
      </c>
      <c r="J1101">
        <v>-5.376431363525995E-5</v>
      </c>
      <c r="K1101">
        <v>-5.381777387884345E-5</v>
      </c>
      <c r="L1101">
        <v>-5.3871234122426957E-5</v>
      </c>
      <c r="M1101">
        <v>-5.3924694366010457E-5</v>
      </c>
      <c r="N1101">
        <v>-5.3978154609593964E-5</v>
      </c>
    </row>
    <row r="1102" spans="1:14" x14ac:dyDescent="0.35">
      <c r="A1102">
        <v>93</v>
      </c>
      <c r="B1102" t="s">
        <v>29</v>
      </c>
      <c r="C1102" s="23">
        <v>43966</v>
      </c>
      <c r="D1102">
        <v>1.1377972269969901E-2</v>
      </c>
      <c r="E1102">
        <v>0.98272309999999996</v>
      </c>
      <c r="F1102">
        <v>1.1181396372858667E-2</v>
      </c>
      <c r="G1102" s="32">
        <f t="shared" si="13"/>
        <v>7.9005393024125237E-3</v>
      </c>
      <c r="H1102">
        <v>2.9612902163136501E-2</v>
      </c>
      <c r="I1102">
        <v>1.1180993891102303E-2</v>
      </c>
      <c r="J1102">
        <v>1.1180591409345939E-2</v>
      </c>
      <c r="K1102">
        <v>1.1180188927589573E-2</v>
      </c>
      <c r="L1102">
        <v>1.1179786445833209E-2</v>
      </c>
      <c r="M1102">
        <v>1.1179383964076845E-2</v>
      </c>
      <c r="N1102">
        <v>1.1178981482320481E-2</v>
      </c>
    </row>
    <row r="1103" spans="1:14" x14ac:dyDescent="0.35">
      <c r="A1103">
        <v>94</v>
      </c>
      <c r="B1103" t="s">
        <v>29</v>
      </c>
      <c r="C1103" s="23">
        <v>43969</v>
      </c>
      <c r="D1103">
        <v>-3.1463482044245001E-3</v>
      </c>
      <c r="E1103">
        <v>0.92891599999999996</v>
      </c>
      <c r="F1103">
        <v>-2.9226931177992205E-3</v>
      </c>
      <c r="G1103" s="32">
        <f t="shared" si="13"/>
        <v>4.9778461846133031E-3</v>
      </c>
      <c r="H1103">
        <v>2.9797689875340601E-2</v>
      </c>
      <c r="I1103">
        <v>-2.9236434835487254E-3</v>
      </c>
      <c r="J1103">
        <v>-2.9245938492982303E-3</v>
      </c>
      <c r="K1103">
        <v>-2.9255442150477352E-3</v>
      </c>
      <c r="L1103">
        <v>-2.9264945807972401E-3</v>
      </c>
      <c r="M1103">
        <v>-2.927444946546745E-3</v>
      </c>
      <c r="N1103">
        <v>-2.9283953122962499E-3</v>
      </c>
    </row>
    <row r="1104" spans="1:14" x14ac:dyDescent="0.35">
      <c r="A1104">
        <v>95</v>
      </c>
      <c r="B1104" t="s">
        <v>29</v>
      </c>
      <c r="C1104" s="23">
        <v>43970</v>
      </c>
      <c r="D1104">
        <v>5.4820514112268997E-3</v>
      </c>
      <c r="E1104">
        <v>0.98723879999999997</v>
      </c>
      <c r="F1104">
        <v>5.4120939903419662E-3</v>
      </c>
      <c r="G1104" s="32">
        <f t="shared" si="13"/>
        <v>1.0389940174955269E-2</v>
      </c>
      <c r="H1104">
        <v>2.9379477767493001E-2</v>
      </c>
      <c r="I1104">
        <v>5.41094643624037E-3</v>
      </c>
      <c r="J1104">
        <v>5.4097988821387747E-3</v>
      </c>
      <c r="K1104">
        <v>5.4086513280371786E-3</v>
      </c>
      <c r="L1104">
        <v>5.4075037739355833E-3</v>
      </c>
      <c r="M1104">
        <v>5.4063562198339871E-3</v>
      </c>
      <c r="N1104">
        <v>5.4052086657323918E-3</v>
      </c>
    </row>
    <row r="1105" spans="1:14" x14ac:dyDescent="0.35">
      <c r="A1105">
        <v>96</v>
      </c>
      <c r="B1105" t="s">
        <v>29</v>
      </c>
      <c r="C1105" s="23">
        <v>43971</v>
      </c>
      <c r="D1105">
        <v>-3.4537992026969998E-3</v>
      </c>
      <c r="E1105">
        <v>0.94364559999999997</v>
      </c>
      <c r="F1105">
        <v>-3.2591624088347802E-3</v>
      </c>
      <c r="G1105" s="32">
        <f t="shared" si="13"/>
        <v>7.1307777661204896E-3</v>
      </c>
      <c r="H1105">
        <v>2.9031361541443201E-2</v>
      </c>
      <c r="I1105">
        <v>-3.2596814752518183E-3</v>
      </c>
      <c r="J1105">
        <v>-3.2602005416688569E-3</v>
      </c>
      <c r="K1105">
        <v>-3.260719608085895E-3</v>
      </c>
      <c r="L1105">
        <v>-3.2612386745029332E-3</v>
      </c>
      <c r="M1105">
        <v>-3.2617577409199718E-3</v>
      </c>
      <c r="N1105">
        <v>-3.2622768073370099E-3</v>
      </c>
    </row>
    <row r="1106" spans="1:14" x14ac:dyDescent="0.35">
      <c r="A1106">
        <v>97</v>
      </c>
      <c r="B1106" t="s">
        <v>29</v>
      </c>
      <c r="C1106" s="23">
        <v>43972</v>
      </c>
      <c r="D1106">
        <v>1.7974219671206999E-3</v>
      </c>
      <c r="E1106">
        <v>0.98540879999999997</v>
      </c>
      <c r="F1106">
        <v>1.7711953930841526E-3</v>
      </c>
      <c r="G1106" s="32">
        <f t="shared" si="13"/>
        <v>8.901973159204643E-3</v>
      </c>
      <c r="H1106">
        <v>2.8638942644881701E-2</v>
      </c>
      <c r="I1106">
        <v>1.7702960032321502E-3</v>
      </c>
      <c r="J1106">
        <v>1.7693966133801478E-3</v>
      </c>
      <c r="K1106">
        <v>1.7684972235281454E-3</v>
      </c>
      <c r="L1106">
        <v>1.767597833676143E-3</v>
      </c>
      <c r="M1106">
        <v>1.7666984438241406E-3</v>
      </c>
      <c r="N1106">
        <v>1.7657990539721381E-3</v>
      </c>
    </row>
    <row r="1107" spans="1:14" x14ac:dyDescent="0.35">
      <c r="A1107">
        <v>98</v>
      </c>
      <c r="B1107" t="s">
        <v>29</v>
      </c>
      <c r="C1107" s="23">
        <v>43973</v>
      </c>
      <c r="D1107">
        <v>4.7131956852978999E-3</v>
      </c>
      <c r="E1107">
        <v>0.94852860000000006</v>
      </c>
      <c r="F1107">
        <v>4.4706008474861949E-3</v>
      </c>
      <c r="G1107" s="32">
        <f t="shared" si="13"/>
        <v>1.3372574006690837E-2</v>
      </c>
      <c r="H1107">
        <v>2.8174756216405E-2</v>
      </c>
      <c r="I1107">
        <v>4.4702502388511136E-3</v>
      </c>
      <c r="J1107">
        <v>4.4698996302160324E-3</v>
      </c>
      <c r="K1107">
        <v>4.4695490215809512E-3</v>
      </c>
      <c r="L1107">
        <v>4.46919841294587E-3</v>
      </c>
      <c r="M1107">
        <v>4.4688478043107887E-3</v>
      </c>
      <c r="N1107">
        <v>4.4684971956757075E-3</v>
      </c>
    </row>
    <row r="1108" spans="1:14" x14ac:dyDescent="0.35">
      <c r="A1108">
        <v>99</v>
      </c>
      <c r="B1108" t="s">
        <v>29</v>
      </c>
      <c r="C1108" s="23">
        <v>43977</v>
      </c>
      <c r="D1108">
        <v>4.6538432047049001E-3</v>
      </c>
      <c r="E1108">
        <v>0.94902253000000003</v>
      </c>
      <c r="F1108">
        <v>4.4166020593768606E-3</v>
      </c>
      <c r="G1108" s="32">
        <f t="shared" si="13"/>
        <v>1.7789176066067697E-2</v>
      </c>
      <c r="H1108">
        <v>2.7799614965732598E-2</v>
      </c>
      <c r="I1108">
        <v>4.4163790267723047E-3</v>
      </c>
      <c r="J1108">
        <v>4.4161559941677479E-3</v>
      </c>
      <c r="K1108">
        <v>4.4159329615631919E-3</v>
      </c>
      <c r="L1108">
        <v>4.415709928958636E-3</v>
      </c>
      <c r="M1108">
        <v>4.4154868963540801E-3</v>
      </c>
      <c r="N1108">
        <v>4.4152638637495233E-3</v>
      </c>
    </row>
    <row r="1109" spans="1:14" x14ac:dyDescent="0.35">
      <c r="A1109">
        <v>100</v>
      </c>
      <c r="B1109" t="s">
        <v>29</v>
      </c>
      <c r="C1109" s="23">
        <v>43978</v>
      </c>
      <c r="D1109">
        <v>2.8380414570429999E-4</v>
      </c>
      <c r="E1109">
        <v>0.93918849999999998</v>
      </c>
      <c r="F1109">
        <v>2.6654558432877019E-4</v>
      </c>
      <c r="G1109" s="32">
        <f t="shared" si="13"/>
        <v>1.8055721650396466E-2</v>
      </c>
      <c r="H1109">
        <v>2.7420920203700499E-2</v>
      </c>
      <c r="I1109">
        <v>2.6649227890400282E-4</v>
      </c>
      <c r="J1109">
        <v>2.6643897347923545E-4</v>
      </c>
      <c r="K1109">
        <v>2.6638566805446809E-4</v>
      </c>
      <c r="L1109">
        <v>2.6633236262970067E-4</v>
      </c>
      <c r="M1109">
        <v>2.662790572049333E-4</v>
      </c>
      <c r="N1109">
        <v>2.6622575178016593E-4</v>
      </c>
    </row>
    <row r="1110" spans="1:14" x14ac:dyDescent="0.35">
      <c r="A1110">
        <v>101</v>
      </c>
      <c r="B1110" t="s">
        <v>29</v>
      </c>
      <c r="C1110" s="23">
        <v>43979</v>
      </c>
      <c r="D1110">
        <v>4.6131477741919997E-4</v>
      </c>
      <c r="E1110">
        <v>0.93069493999999997</v>
      </c>
      <c r="F1110">
        <v>4.2934332803301666E-4</v>
      </c>
      <c r="G1110" s="32">
        <f t="shared" si="13"/>
        <v>1.8485064978429482E-2</v>
      </c>
      <c r="H1110">
        <v>2.6969062128457202E-2</v>
      </c>
      <c r="I1110">
        <v>4.292209979178836E-4</v>
      </c>
      <c r="J1110">
        <v>4.2909866780275053E-4</v>
      </c>
      <c r="K1110">
        <v>4.2897633768761747E-4</v>
      </c>
      <c r="L1110">
        <v>4.2885400757248447E-4</v>
      </c>
      <c r="M1110">
        <v>4.2873167745735141E-4</v>
      </c>
      <c r="N1110">
        <v>4.2860934734221834E-4</v>
      </c>
    </row>
    <row r="1111" spans="1:14" x14ac:dyDescent="0.35">
      <c r="A1111">
        <v>102</v>
      </c>
      <c r="B1111" t="s">
        <v>29</v>
      </c>
      <c r="C1111" s="23">
        <v>43980</v>
      </c>
      <c r="D1111">
        <v>1.4053233980814001E-3</v>
      </c>
      <c r="E1111">
        <v>0.91742000000000001</v>
      </c>
      <c r="F1111">
        <v>1.2892718335219015E-3</v>
      </c>
      <c r="G1111" s="32">
        <f t="shared" si="13"/>
        <v>1.9774336811951385E-2</v>
      </c>
      <c r="H1111">
        <v>2.65238612775958E-2</v>
      </c>
      <c r="I1111">
        <v>1.2892346248523623E-3</v>
      </c>
      <c r="J1111">
        <v>1.289197416182823E-3</v>
      </c>
      <c r="K1111">
        <v>1.2891602075132838E-3</v>
      </c>
      <c r="L1111">
        <v>1.2891229988437447E-3</v>
      </c>
      <c r="M1111">
        <v>1.2890857901742055E-3</v>
      </c>
      <c r="N1111">
        <v>1.2890485815046661E-3</v>
      </c>
    </row>
    <row r="1112" spans="1:14" x14ac:dyDescent="0.35">
      <c r="A1112">
        <v>103</v>
      </c>
      <c r="B1112" t="s">
        <v>29</v>
      </c>
      <c r="C1112" s="23">
        <v>43983</v>
      </c>
      <c r="D1112">
        <v>2.7278679043505E-3</v>
      </c>
      <c r="E1112">
        <v>0.91960359999999997</v>
      </c>
      <c r="F1112">
        <v>2.5085571075121405E-3</v>
      </c>
      <c r="G1112" s="32">
        <f t="shared" si="13"/>
        <v>2.2282893919463524E-2</v>
      </c>
      <c r="H1112">
        <v>2.60871392233262E-2</v>
      </c>
      <c r="I1112">
        <v>2.5082439908640356E-3</v>
      </c>
      <c r="J1112">
        <v>2.5079308742159308E-3</v>
      </c>
      <c r="K1112">
        <v>2.5076177575678255E-3</v>
      </c>
      <c r="L1112">
        <v>2.5073046409197206E-3</v>
      </c>
      <c r="M1112">
        <v>2.5069915242716158E-3</v>
      </c>
      <c r="N1112">
        <v>2.5066784076235109E-3</v>
      </c>
    </row>
    <row r="1113" spans="1:14" x14ac:dyDescent="0.35">
      <c r="A1113">
        <v>104</v>
      </c>
      <c r="B1113" t="s">
        <v>29</v>
      </c>
      <c r="C1113" s="23">
        <v>43984</v>
      </c>
      <c r="D1113">
        <v>4.8743436963105003E-3</v>
      </c>
      <c r="E1113">
        <v>0.90765649999999998</v>
      </c>
      <c r="F1113">
        <v>4.4242296943597667E-3</v>
      </c>
      <c r="G1113" s="32">
        <f t="shared" si="13"/>
        <v>2.670712361382329E-2</v>
      </c>
      <c r="H1113">
        <v>2.5672901639344801E-2</v>
      </c>
      <c r="I1113">
        <v>4.4241808286778518E-3</v>
      </c>
      <c r="J1113">
        <v>4.4241319629959378E-3</v>
      </c>
      <c r="K1113">
        <v>4.4240830973140228E-3</v>
      </c>
      <c r="L1113">
        <v>4.4240342316321079E-3</v>
      </c>
      <c r="M1113">
        <v>4.4239853659501938E-3</v>
      </c>
      <c r="N1113">
        <v>4.4239365002682789E-3</v>
      </c>
    </row>
    <row r="1114" spans="1:14" x14ac:dyDescent="0.35">
      <c r="A1114">
        <v>105</v>
      </c>
      <c r="B1114" t="s">
        <v>29</v>
      </c>
      <c r="C1114" s="23">
        <v>43985</v>
      </c>
      <c r="D1114">
        <v>-8.6773670529879997E-4</v>
      </c>
      <c r="E1114">
        <v>0.9023542</v>
      </c>
      <c r="F1114">
        <v>-7.8300584387112763E-4</v>
      </c>
      <c r="G1114" s="32">
        <f t="shared" si="13"/>
        <v>2.5924117769952161E-2</v>
      </c>
      <c r="H1114">
        <v>2.5322101124535701E-2</v>
      </c>
      <c r="I1114">
        <v>-7.8313831638421392E-4</v>
      </c>
      <c r="J1114">
        <v>-7.8327078889730032E-4</v>
      </c>
      <c r="K1114">
        <v>-7.8340326141038662E-4</v>
      </c>
      <c r="L1114">
        <v>-7.8353573392347291E-4</v>
      </c>
      <c r="M1114">
        <v>-7.8366820643655931E-4</v>
      </c>
      <c r="N1114">
        <v>-7.8380067894964561E-4</v>
      </c>
    </row>
    <row r="1115" spans="1:14" x14ac:dyDescent="0.35">
      <c r="A1115">
        <v>106</v>
      </c>
      <c r="B1115" t="s">
        <v>29</v>
      </c>
      <c r="C1115" s="23">
        <v>43986</v>
      </c>
      <c r="D1115">
        <v>9.2947359316998997E-3</v>
      </c>
      <c r="E1115">
        <v>0.91263039999999995</v>
      </c>
      <c r="F1115">
        <v>8.4826583779109739E-3</v>
      </c>
      <c r="G1115" s="32">
        <f t="shared" si="13"/>
        <v>3.4406776147863138E-2</v>
      </c>
      <c r="H1115">
        <v>2.4920891550900701E-2</v>
      </c>
      <c r="I1115">
        <v>8.4821925109075415E-3</v>
      </c>
      <c r="J1115">
        <v>8.4817266439041108E-3</v>
      </c>
      <c r="K1115">
        <v>8.4812607769006784E-3</v>
      </c>
      <c r="L1115">
        <v>8.4807949098972477E-3</v>
      </c>
      <c r="M1115">
        <v>8.4803290428938152E-3</v>
      </c>
      <c r="N1115">
        <v>8.4798631758903828E-3</v>
      </c>
    </row>
    <row r="1116" spans="1:14" x14ac:dyDescent="0.35">
      <c r="A1116">
        <v>107</v>
      </c>
      <c r="B1116" t="s">
        <v>29</v>
      </c>
      <c r="C1116" s="23">
        <v>43987</v>
      </c>
      <c r="D1116">
        <v>4.8681125325674996E-3</v>
      </c>
      <c r="E1116">
        <v>0.83896225999999996</v>
      </c>
      <c r="F1116">
        <v>4.0841626772069777E-3</v>
      </c>
      <c r="G1116" s="32">
        <f t="shared" si="13"/>
        <v>3.8490938825070119E-2</v>
      </c>
      <c r="H1116">
        <v>2.4820469844937899E-2</v>
      </c>
      <c r="I1116">
        <v>4.0828304117573573E-3</v>
      </c>
      <c r="J1116">
        <v>4.0814981463077379E-3</v>
      </c>
      <c r="K1116">
        <v>4.0801658808581175E-3</v>
      </c>
      <c r="L1116">
        <v>4.0788336154084981E-3</v>
      </c>
      <c r="M1116">
        <v>4.0775013499588777E-3</v>
      </c>
      <c r="N1116">
        <v>4.0761690845092582E-3</v>
      </c>
    </row>
    <row r="1117" spans="1:14" x14ac:dyDescent="0.35">
      <c r="A1117">
        <v>108</v>
      </c>
      <c r="B1117" t="s">
        <v>29</v>
      </c>
      <c r="C1117" s="23">
        <v>43990</v>
      </c>
      <c r="D1117">
        <v>-2.632347384797E-3</v>
      </c>
      <c r="E1117">
        <v>0.80220276000000001</v>
      </c>
      <c r="F1117">
        <v>-2.1116763404513323E-3</v>
      </c>
      <c r="G1117" s="32">
        <f t="shared" si="13"/>
        <v>3.6379262484618785E-2</v>
      </c>
      <c r="H1117">
        <v>2.44683236824818E-2</v>
      </c>
      <c r="I1117">
        <v>-2.1121562923243778E-3</v>
      </c>
      <c r="J1117">
        <v>-2.1126362441974238E-3</v>
      </c>
      <c r="K1117">
        <v>-2.1131161960704693E-3</v>
      </c>
      <c r="L1117">
        <v>-2.1135961479435152E-3</v>
      </c>
      <c r="M1117">
        <v>-2.1140760998165607E-3</v>
      </c>
      <c r="N1117">
        <v>-2.1145560516896067E-3</v>
      </c>
    </row>
    <row r="1118" spans="1:14" x14ac:dyDescent="0.35">
      <c r="A1118">
        <v>109</v>
      </c>
      <c r="B1118" t="s">
        <v>29</v>
      </c>
      <c r="C1118" s="23">
        <v>43991</v>
      </c>
      <c r="D1118">
        <v>-2.3813822430913002E-3</v>
      </c>
      <c r="E1118">
        <v>0.87204130000000002</v>
      </c>
      <c r="F1118">
        <v>-2.076663631431999E-3</v>
      </c>
      <c r="G1118" s="32">
        <f t="shared" si="13"/>
        <v>3.4302598853186789E-2</v>
      </c>
      <c r="H1118">
        <v>2.4137968035565002E-2</v>
      </c>
      <c r="I1118">
        <v>-2.0782425829733399E-3</v>
      </c>
      <c r="J1118">
        <v>-2.0798215345146803E-3</v>
      </c>
      <c r="K1118">
        <v>-2.0814004860560211E-3</v>
      </c>
      <c r="L1118">
        <v>-2.0829794375973616E-3</v>
      </c>
      <c r="M1118">
        <v>-2.0845583891387024E-3</v>
      </c>
      <c r="N1118">
        <v>-2.0861373406800433E-3</v>
      </c>
    </row>
    <row r="1119" spans="1:14" x14ac:dyDescent="0.35">
      <c r="A1119">
        <v>110</v>
      </c>
      <c r="B1119" t="s">
        <v>29</v>
      </c>
      <c r="C1119" s="23">
        <v>43992</v>
      </c>
      <c r="D1119">
        <v>-2.1901442349659701E-2</v>
      </c>
      <c r="E1119">
        <v>0.86195224999999998</v>
      </c>
      <c r="F1119">
        <v>-1.8877997407183798E-2</v>
      </c>
      <c r="G1119" s="32">
        <f t="shared" si="13"/>
        <v>1.5424601446002991E-2</v>
      </c>
      <c r="H1119">
        <v>2.3799500050485398E-2</v>
      </c>
      <c r="I1119">
        <v>-1.8878039869082885E-2</v>
      </c>
      <c r="J1119">
        <v>-1.8878082330981975E-2</v>
      </c>
      <c r="K1119">
        <v>-1.8878124792881062E-2</v>
      </c>
      <c r="L1119">
        <v>-1.8878167254780153E-2</v>
      </c>
      <c r="M1119">
        <v>-1.887820971667924E-2</v>
      </c>
      <c r="N1119">
        <v>-1.8878252178578331E-2</v>
      </c>
    </row>
    <row r="1120" spans="1:14" x14ac:dyDescent="0.35">
      <c r="A1120">
        <v>111</v>
      </c>
      <c r="B1120" t="s">
        <v>29</v>
      </c>
      <c r="C1120" s="23">
        <v>43993</v>
      </c>
      <c r="D1120">
        <v>3.0000214590623002E-3</v>
      </c>
      <c r="E1120">
        <v>0.90477350000000001</v>
      </c>
      <c r="F1120">
        <v>2.7143398368092127E-3</v>
      </c>
      <c r="G1120" s="32">
        <f t="shared" si="13"/>
        <v>1.8138941282812203E-2</v>
      </c>
      <c r="H1120">
        <v>2.56348125883799E-2</v>
      </c>
      <c r="I1120">
        <v>2.713903984015264E-3</v>
      </c>
      <c r="J1120">
        <v>2.7134681312213156E-3</v>
      </c>
      <c r="K1120">
        <v>2.7130322784273669E-3</v>
      </c>
      <c r="L1120">
        <v>2.7125964256334181E-3</v>
      </c>
      <c r="M1120">
        <v>2.7121605728394694E-3</v>
      </c>
      <c r="N1120">
        <v>2.711724720045521E-3</v>
      </c>
    </row>
    <row r="1121" spans="1:14" x14ac:dyDescent="0.35">
      <c r="A1121">
        <v>112</v>
      </c>
      <c r="B1121" t="s">
        <v>29</v>
      </c>
      <c r="C1121" s="23">
        <v>43994</v>
      </c>
      <c r="D1121">
        <v>4.7181305064502004E-3</v>
      </c>
      <c r="E1121">
        <v>0.82519050000000005</v>
      </c>
      <c r="F1121">
        <v>3.8933563986640364E-3</v>
      </c>
      <c r="G1121" s="32">
        <f t="shared" si="13"/>
        <v>2.2032297681476239E-2</v>
      </c>
      <c r="H1121">
        <v>2.5242336881610698E-2</v>
      </c>
      <c r="I1121">
        <v>3.8921261315147484E-3</v>
      </c>
      <c r="J1121">
        <v>3.8908958643654604E-3</v>
      </c>
      <c r="K1121">
        <v>3.8896655972161724E-3</v>
      </c>
      <c r="L1121">
        <v>3.8884353300668848E-3</v>
      </c>
      <c r="M1121">
        <v>3.8872050629175968E-3</v>
      </c>
      <c r="N1121">
        <v>3.8859747957683088E-3</v>
      </c>
    </row>
    <row r="1122" spans="1:14" x14ac:dyDescent="0.35">
      <c r="A1122">
        <v>113</v>
      </c>
      <c r="B1122" t="s">
        <v>29</v>
      </c>
      <c r="C1122" s="23">
        <v>43997</v>
      </c>
      <c r="D1122">
        <v>6.8826281136519004E-3</v>
      </c>
      <c r="E1122">
        <v>0.64959454999999999</v>
      </c>
      <c r="F1122">
        <v>4.4709176803998055E-3</v>
      </c>
      <c r="G1122" s="32">
        <f t="shared" si="13"/>
        <v>2.6503215361876047E-2</v>
      </c>
      <c r="H1122">
        <v>2.4906860939727701E-2</v>
      </c>
      <c r="I1122">
        <v>4.4677948509187033E-3</v>
      </c>
      <c r="J1122">
        <v>4.4646720214376002E-3</v>
      </c>
      <c r="K1122">
        <v>4.461549191956498E-3</v>
      </c>
      <c r="L1122">
        <v>4.4584263624753949E-3</v>
      </c>
      <c r="M1122">
        <v>4.4553035329942927E-3</v>
      </c>
      <c r="N1122">
        <v>4.4521807035131896E-3</v>
      </c>
    </row>
    <row r="1123" spans="1:14" x14ac:dyDescent="0.35">
      <c r="A1123">
        <v>114</v>
      </c>
      <c r="B1123" t="s">
        <v>29</v>
      </c>
      <c r="C1123" s="23">
        <v>43998</v>
      </c>
      <c r="D1123">
        <v>-1.3159275146485999E-3</v>
      </c>
      <c r="E1123">
        <v>0.52075064000000004</v>
      </c>
      <c r="F1123">
        <v>-6.8527009784556008E-4</v>
      </c>
      <c r="G1123" s="32">
        <f t="shared" si="13"/>
        <v>2.5817945264030487E-2</v>
      </c>
      <c r="H1123">
        <v>2.4671560655730399E-2</v>
      </c>
      <c r="I1123">
        <v>-6.8761991360113029E-4</v>
      </c>
      <c r="J1123">
        <v>-6.8996972935670049E-4</v>
      </c>
      <c r="K1123">
        <v>-6.9231954511227059E-4</v>
      </c>
      <c r="L1123">
        <v>-6.9466936086784079E-4</v>
      </c>
      <c r="M1123">
        <v>-6.9701917662341099E-4</v>
      </c>
      <c r="N1123">
        <v>-6.993689923789812E-4</v>
      </c>
    </row>
    <row r="1124" spans="1:14" x14ac:dyDescent="0.35">
      <c r="A1124">
        <v>115</v>
      </c>
      <c r="B1124" t="s">
        <v>29</v>
      </c>
      <c r="C1124" s="23">
        <v>43999</v>
      </c>
      <c r="D1124">
        <v>-1.1230819112877999E-3</v>
      </c>
      <c r="E1124">
        <v>0.34280416000000002</v>
      </c>
      <c r="F1124">
        <v>-3.8499715535930207E-4</v>
      </c>
      <c r="G1124" s="32">
        <f t="shared" si="13"/>
        <v>2.5432948108671184E-2</v>
      </c>
      <c r="H1124">
        <v>2.4285438796100699E-2</v>
      </c>
      <c r="I1124">
        <v>-3.8830042331860262E-4</v>
      </c>
      <c r="J1124">
        <v>-3.9160369127790311E-4</v>
      </c>
      <c r="K1124">
        <v>-3.9490695923720366E-4</v>
      </c>
      <c r="L1124">
        <v>-3.9821022719650415E-4</v>
      </c>
      <c r="M1124">
        <v>-4.0151349515580469E-4</v>
      </c>
      <c r="N1124">
        <v>-4.0481676311510524E-4</v>
      </c>
    </row>
    <row r="1125" spans="1:14" x14ac:dyDescent="0.35">
      <c r="A1125">
        <v>116</v>
      </c>
      <c r="B1125" t="s">
        <v>29</v>
      </c>
      <c r="C1125" s="23">
        <v>44000</v>
      </c>
      <c r="D1125">
        <v>6.6455132703636E-3</v>
      </c>
      <c r="E1125">
        <v>0.17259942</v>
      </c>
      <c r="F1125">
        <v>1.147011735744347E-3</v>
      </c>
      <c r="G1125" s="32">
        <f t="shared" si="13"/>
        <v>2.6579959844415531E-2</v>
      </c>
      <c r="H1125">
        <v>2.39007287136721E-2</v>
      </c>
      <c r="I1125">
        <v>1.1437545736957082E-3</v>
      </c>
      <c r="J1125">
        <v>1.1404974116470694E-3</v>
      </c>
      <c r="K1125">
        <v>1.1372402495984305E-3</v>
      </c>
      <c r="L1125">
        <v>1.1339830875497917E-3</v>
      </c>
      <c r="M1125">
        <v>1.1307259255011529E-3</v>
      </c>
      <c r="N1125">
        <v>1.1274687634525141E-3</v>
      </c>
    </row>
    <row r="1126" spans="1:14" x14ac:dyDescent="0.35">
      <c r="A1126">
        <v>117</v>
      </c>
      <c r="B1126" t="s">
        <v>29</v>
      </c>
      <c r="C1126" s="23">
        <v>44001</v>
      </c>
      <c r="D1126">
        <v>-6.3818636812467003E-3</v>
      </c>
      <c r="E1126">
        <v>0.15462819999999999</v>
      </c>
      <c r="F1126">
        <v>-9.8681610847701964E-4</v>
      </c>
      <c r="G1126" s="32">
        <f t="shared" si="13"/>
        <v>2.559314373593851E-2</v>
      </c>
      <c r="H1126">
        <v>2.36570516323928E-2</v>
      </c>
      <c r="I1126">
        <v>-9.8713986886991411E-4</v>
      </c>
      <c r="J1126">
        <v>-9.8746362926280858E-4</v>
      </c>
      <c r="K1126">
        <v>-9.8778738965570306E-4</v>
      </c>
      <c r="L1126">
        <v>-9.8811115004859775E-4</v>
      </c>
      <c r="M1126">
        <v>-9.8843491044149222E-4</v>
      </c>
      <c r="N1126">
        <v>-9.8875867083438669E-4</v>
      </c>
    </row>
    <row r="1127" spans="1:14" x14ac:dyDescent="0.35">
      <c r="A1127">
        <v>118</v>
      </c>
      <c r="B1127" t="s">
        <v>29</v>
      </c>
      <c r="C1127" s="23">
        <v>44004</v>
      </c>
      <c r="D1127">
        <v>1.0017790376929E-3</v>
      </c>
      <c r="E1127">
        <v>2.3244919999999999E-2</v>
      </c>
      <c r="F1127">
        <v>2.3286272842899594E-5</v>
      </c>
      <c r="G1127" s="32">
        <f t="shared" si="13"/>
        <v>2.5616430008781409E-2</v>
      </c>
      <c r="H1127">
        <v>2.3499338738159199E-2</v>
      </c>
      <c r="I1127">
        <v>2.066552940526601E-5</v>
      </c>
      <c r="J1127">
        <v>1.8044785967632427E-5</v>
      </c>
      <c r="K1127">
        <v>1.5424042529998844E-5</v>
      </c>
      <c r="L1127">
        <v>1.2803299092365262E-5</v>
      </c>
      <c r="M1127">
        <v>1.0182555654731679E-5</v>
      </c>
      <c r="N1127">
        <v>7.561812217098094E-6</v>
      </c>
    </row>
    <row r="1128" spans="1:14" x14ac:dyDescent="0.35">
      <c r="A1128">
        <v>119</v>
      </c>
      <c r="B1128" t="s">
        <v>29</v>
      </c>
      <c r="C1128" s="23">
        <v>44005</v>
      </c>
      <c r="D1128">
        <v>-9.1118654417748999E-3</v>
      </c>
      <c r="E1128">
        <v>0.12471826</v>
      </c>
      <c r="F1128">
        <v>-1.1364159694903508E-3</v>
      </c>
      <c r="G1128" s="32">
        <f t="shared" si="13"/>
        <v>2.4480014039291058E-2</v>
      </c>
      <c r="H1128">
        <v>2.3111213370406999E-2</v>
      </c>
      <c r="I1128">
        <v>-1.1384982069367121E-3</v>
      </c>
      <c r="J1128">
        <v>-1.1405804443830735E-3</v>
      </c>
      <c r="K1128">
        <v>-1.1426626818294347E-3</v>
      </c>
      <c r="L1128">
        <v>-1.1447449192757962E-3</v>
      </c>
      <c r="M1128">
        <v>-1.1468271567221574E-3</v>
      </c>
      <c r="N1128">
        <v>-1.1489093941685188E-3</v>
      </c>
    </row>
    <row r="1129" spans="1:14" x14ac:dyDescent="0.35">
      <c r="A1129">
        <v>120</v>
      </c>
      <c r="B1129" t="s">
        <v>29</v>
      </c>
      <c r="C1129" s="23">
        <v>44006</v>
      </c>
      <c r="D1129">
        <v>2.9131385753378E-3</v>
      </c>
      <c r="E1129">
        <v>-7.3671139999999996E-2</v>
      </c>
      <c r="F1129">
        <v>-2.1461423917262728E-4</v>
      </c>
      <c r="G1129" s="32">
        <f t="shared" si="13"/>
        <v>2.426539980011843E-2</v>
      </c>
      <c r="H1129">
        <v>2.3138312459240602E-2</v>
      </c>
      <c r="I1129">
        <v>-2.1866809030569666E-4</v>
      </c>
      <c r="J1129">
        <v>-2.2272194143876605E-4</v>
      </c>
      <c r="K1129">
        <v>-2.2677579257183542E-4</v>
      </c>
      <c r="L1129">
        <v>-2.308296437049048E-4</v>
      </c>
      <c r="M1129">
        <v>-2.3488349483797419E-4</v>
      </c>
      <c r="N1129">
        <v>-2.3893734597104358E-4</v>
      </c>
    </row>
    <row r="1130" spans="1:14" x14ac:dyDescent="0.35">
      <c r="A1130">
        <v>121</v>
      </c>
      <c r="B1130" t="s">
        <v>29</v>
      </c>
      <c r="C1130" s="23">
        <v>44007</v>
      </c>
      <c r="D1130">
        <v>-8.6105966863757998E-3</v>
      </c>
      <c r="E1130">
        <v>2.0021747999999999E-2</v>
      </c>
      <c r="F1130">
        <v>-1.7239919524256512E-4</v>
      </c>
      <c r="G1130" s="32">
        <f t="shared" si="13"/>
        <v>2.4093000604875865E-2</v>
      </c>
      <c r="H1130">
        <v>2.2782085088021299E-2</v>
      </c>
      <c r="I1130">
        <v>-1.7431868006861462E-4</v>
      </c>
      <c r="J1130">
        <v>-1.7623816489466414E-4</v>
      </c>
      <c r="K1130">
        <v>-1.7815764972071364E-4</v>
      </c>
      <c r="L1130">
        <v>-1.8007713454676314E-4</v>
      </c>
      <c r="M1130">
        <v>-1.8199661937281266E-4</v>
      </c>
      <c r="N1130">
        <v>-1.8391610419886216E-4</v>
      </c>
    </row>
    <row r="1131" spans="1:14" x14ac:dyDescent="0.35">
      <c r="A1131">
        <v>122</v>
      </c>
      <c r="B1131" t="s">
        <v>29</v>
      </c>
      <c r="C1131" s="23">
        <v>44008</v>
      </c>
      <c r="D1131">
        <v>5.6283183485608002E-3</v>
      </c>
      <c r="E1131">
        <v>-0.37773475000000001</v>
      </c>
      <c r="F1131">
        <v>-2.126011427180316E-3</v>
      </c>
      <c r="G1131" s="32">
        <f t="shared" si="13"/>
        <v>2.1966989177695549E-2</v>
      </c>
      <c r="H1131">
        <v>2.2751315848913298E-2</v>
      </c>
      <c r="I1131">
        <v>-2.1342707084881624E-3</v>
      </c>
      <c r="J1131">
        <v>-2.1425299897960093E-3</v>
      </c>
      <c r="K1131">
        <v>-2.1507892711038557E-3</v>
      </c>
      <c r="L1131">
        <v>-2.1590485524117021E-3</v>
      </c>
      <c r="M1131">
        <v>-2.1673078337195485E-3</v>
      </c>
      <c r="N1131">
        <v>-2.1755671150273954E-3</v>
      </c>
    </row>
    <row r="1132" spans="1:14" x14ac:dyDescent="0.35">
      <c r="A1132">
        <v>123</v>
      </c>
      <c r="B1132" t="s">
        <v>29</v>
      </c>
      <c r="C1132" s="23">
        <v>44011</v>
      </c>
      <c r="D1132">
        <v>5.8569516548324999E-3</v>
      </c>
      <c r="E1132">
        <v>1.8907407000000001E-2</v>
      </c>
      <c r="F1132">
        <v>1.1073977046662004E-4</v>
      </c>
      <c r="G1132" s="32">
        <f t="shared" si="13"/>
        <v>2.2077728948162168E-2</v>
      </c>
      <c r="H1132">
        <v>2.2497224363725699E-2</v>
      </c>
      <c r="I1132">
        <v>1.024986335579132E-4</v>
      </c>
      <c r="J1132">
        <v>9.4257496649206355E-5</v>
      </c>
      <c r="K1132">
        <v>8.6016359740499513E-5</v>
      </c>
      <c r="L1132">
        <v>7.7775222831792684E-5</v>
      </c>
      <c r="M1132">
        <v>6.9534085923085841E-5</v>
      </c>
      <c r="N1132">
        <v>6.1292949014378999E-5</v>
      </c>
    </row>
    <row r="1133" spans="1:14" x14ac:dyDescent="0.35">
      <c r="A1133">
        <v>124</v>
      </c>
      <c r="B1133" t="s">
        <v>29</v>
      </c>
      <c r="C1133" s="23">
        <v>44012</v>
      </c>
      <c r="D1133">
        <v>1.7523281236590999E-3</v>
      </c>
      <c r="E1133">
        <v>-1.7129041000000001E-2</v>
      </c>
      <c r="F1133">
        <v>-3.0015700721613075E-5</v>
      </c>
      <c r="G1133" s="32">
        <f t="shared" si="13"/>
        <v>2.2047713247440554E-2</v>
      </c>
      <c r="H1133">
        <v>2.2248058980759398E-2</v>
      </c>
      <c r="I1133">
        <v>-3.0776517060653535E-5</v>
      </c>
      <c r="J1133">
        <v>-3.1537333399694001E-5</v>
      </c>
      <c r="K1133">
        <v>-3.2298149738734461E-5</v>
      </c>
      <c r="L1133">
        <v>-3.3058966077774928E-5</v>
      </c>
      <c r="M1133">
        <v>-3.3819782416815388E-5</v>
      </c>
      <c r="N1133">
        <v>-3.4580598755855848E-5</v>
      </c>
    </row>
    <row r="1134" spans="1:14" x14ac:dyDescent="0.35">
      <c r="A1134">
        <v>125</v>
      </c>
      <c r="B1134" t="s">
        <v>29</v>
      </c>
      <c r="C1134" s="23">
        <v>44013</v>
      </c>
      <c r="D1134">
        <v>3.6175855235901998E-3</v>
      </c>
      <c r="E1134">
        <v>-9.9072579999999993E-2</v>
      </c>
      <c r="F1134">
        <v>-3.5840354211687589E-4</v>
      </c>
      <c r="G1134" s="32">
        <f t="shared" si="13"/>
        <v>2.1689309705323678E-2</v>
      </c>
      <c r="H1134">
        <v>2.1885866912234601E-2</v>
      </c>
      <c r="I1134">
        <v>-3.601784973098012E-4</v>
      </c>
      <c r="J1134">
        <v>-3.6195345250272651E-4</v>
      </c>
      <c r="K1134">
        <v>-3.6372840769565183E-4</v>
      </c>
      <c r="L1134">
        <v>-3.6550336288857714E-4</v>
      </c>
      <c r="M1134">
        <v>-3.6727831808150245E-4</v>
      </c>
      <c r="N1134">
        <v>-3.6905327327442771E-4</v>
      </c>
    </row>
    <row r="1135" spans="1:14" x14ac:dyDescent="0.35">
      <c r="A1135">
        <v>126</v>
      </c>
      <c r="B1135" t="s">
        <v>29</v>
      </c>
      <c r="C1135" s="23">
        <v>44014</v>
      </c>
      <c r="D1135">
        <v>6.0229327562292996E-3</v>
      </c>
      <c r="E1135">
        <v>-5.0514244E-2</v>
      </c>
      <c r="F1135">
        <v>-3.0424389209217074E-4</v>
      </c>
      <c r="G1135" s="32">
        <f t="shared" si="13"/>
        <v>2.1385065813231508E-2</v>
      </c>
      <c r="H1135">
        <v>2.15598565360367E-2</v>
      </c>
      <c r="I1135">
        <v>-3.0527564388634711E-4</v>
      </c>
      <c r="J1135">
        <v>-3.0630739568052352E-4</v>
      </c>
      <c r="K1135">
        <v>-3.0733914747469988E-4</v>
      </c>
      <c r="L1135">
        <v>-3.083708992688763E-4</v>
      </c>
      <c r="M1135">
        <v>-3.0940265106305266E-4</v>
      </c>
      <c r="N1135">
        <v>-3.1043440285722908E-4</v>
      </c>
    </row>
    <row r="1136" spans="1:14" x14ac:dyDescent="0.35">
      <c r="A1136">
        <v>127</v>
      </c>
      <c r="B1136" t="s">
        <v>29</v>
      </c>
      <c r="C1136" s="23">
        <v>44018</v>
      </c>
      <c r="D1136">
        <v>-4.9616889973958999E-3</v>
      </c>
      <c r="E1136">
        <v>8.8851819999999998E-2</v>
      </c>
      <c r="F1136">
        <v>-4.4085508257050689E-4</v>
      </c>
      <c r="G1136" s="32">
        <f t="shared" si="13"/>
        <v>2.0944210730661002E-2</v>
      </c>
      <c r="H1136">
        <v>2.13135908350237E-2</v>
      </c>
      <c r="I1136">
        <v>-4.439316017486823E-4</v>
      </c>
      <c r="J1136">
        <v>-4.4700812092685771E-4</v>
      </c>
      <c r="K1136">
        <v>-4.5008464010503312E-4</v>
      </c>
      <c r="L1136">
        <v>-4.5316115928320852E-4</v>
      </c>
      <c r="M1136">
        <v>-4.5623767846138393E-4</v>
      </c>
      <c r="N1136">
        <v>-4.5931419763955934E-4</v>
      </c>
    </row>
    <row r="1137" spans="1:14" x14ac:dyDescent="0.35">
      <c r="A1137">
        <v>128</v>
      </c>
      <c r="B1137" t="s">
        <v>29</v>
      </c>
      <c r="C1137" s="23">
        <v>44019</v>
      </c>
      <c r="D1137">
        <v>3.8556616921783002E-3</v>
      </c>
      <c r="E1137">
        <v>-0.33418769999999998</v>
      </c>
      <c r="F1137">
        <v>-1.2885146606172366E-3</v>
      </c>
      <c r="G1137" s="32">
        <f t="shared" si="13"/>
        <v>1.9655696070043766E-2</v>
      </c>
      <c r="H1137">
        <v>2.10965063368856E-2</v>
      </c>
      <c r="I1137">
        <v>-1.2979683501715712E-3</v>
      </c>
      <c r="J1137">
        <v>-1.3074220397259059E-3</v>
      </c>
      <c r="K1137">
        <v>-1.3168757292802405E-3</v>
      </c>
      <c r="L1137">
        <v>-1.3263294188345751E-3</v>
      </c>
      <c r="M1137">
        <v>-1.3357831083889097E-3</v>
      </c>
      <c r="N1137">
        <v>-1.3452367979432443E-3</v>
      </c>
    </row>
    <row r="1138" spans="1:14" x14ac:dyDescent="0.35">
      <c r="A1138">
        <v>129</v>
      </c>
      <c r="B1138" t="s">
        <v>29</v>
      </c>
      <c r="C1138" s="23">
        <v>44020</v>
      </c>
      <c r="D1138">
        <v>-3.2333183536635002E-3</v>
      </c>
      <c r="E1138">
        <v>3.7190090000000002E-2</v>
      </c>
      <c r="F1138">
        <v>-1.2024740336788402E-4</v>
      </c>
      <c r="G1138" s="32">
        <f t="shared" ref="G1138:G1201" si="14">G1137+F1138</f>
        <v>1.9535448666675882E-2</v>
      </c>
      <c r="H1138">
        <v>2.0785343231744899E-2</v>
      </c>
      <c r="I1138">
        <v>-1.28576865503899E-4</v>
      </c>
      <c r="J1138">
        <v>-1.3690632763991401E-4</v>
      </c>
      <c r="K1138">
        <v>-1.45235789775929E-4</v>
      </c>
      <c r="L1138">
        <v>-1.5356525191194398E-4</v>
      </c>
      <c r="M1138">
        <v>-1.6189471404795899E-4</v>
      </c>
      <c r="N1138">
        <v>-1.70224176183974E-4</v>
      </c>
    </row>
    <row r="1139" spans="1:14" x14ac:dyDescent="0.35">
      <c r="A1139">
        <v>130</v>
      </c>
      <c r="B1139" t="s">
        <v>29</v>
      </c>
      <c r="C1139" s="23">
        <v>44021</v>
      </c>
      <c r="D1139">
        <v>5.5015464985005997E-3</v>
      </c>
      <c r="E1139">
        <v>-0.24377365000000001</v>
      </c>
      <c r="F1139">
        <v>-1.3411320931585916E-3</v>
      </c>
      <c r="G1139" s="32">
        <f t="shared" si="14"/>
        <v>1.8194316573517291E-2</v>
      </c>
      <c r="H1139">
        <v>2.0505460745482599E-2</v>
      </c>
      <c r="I1139">
        <v>-1.3475940937389722E-3</v>
      </c>
      <c r="J1139">
        <v>-1.3540560943193529E-3</v>
      </c>
      <c r="K1139">
        <v>-1.3605180948997335E-3</v>
      </c>
      <c r="L1139">
        <v>-1.3669800954801141E-3</v>
      </c>
      <c r="M1139">
        <v>-1.3734420960604947E-3</v>
      </c>
      <c r="N1139">
        <v>-1.3799040966408754E-3</v>
      </c>
    </row>
    <row r="1140" spans="1:14" x14ac:dyDescent="0.35">
      <c r="A1140">
        <v>131</v>
      </c>
      <c r="B1140" t="s">
        <v>29</v>
      </c>
      <c r="C1140" s="23">
        <v>44022</v>
      </c>
      <c r="D1140">
        <v>-4.4404377461779001E-3</v>
      </c>
      <c r="E1140">
        <v>6.3807900000000001E-2</v>
      </c>
      <c r="F1140">
        <v>-2.833349955407322E-4</v>
      </c>
      <c r="G1140" s="32">
        <f t="shared" si="14"/>
        <v>1.7910981577976558E-2</v>
      </c>
      <c r="H1140">
        <v>2.02520208646252E-2</v>
      </c>
      <c r="I1140">
        <v>-2.9044021942897818E-4</v>
      </c>
      <c r="J1140">
        <v>-2.975454433172241E-4</v>
      </c>
      <c r="K1140">
        <v>-3.0465066720547008E-4</v>
      </c>
      <c r="L1140">
        <v>-3.11755891093716E-4</v>
      </c>
      <c r="M1140">
        <v>-3.1886111498196198E-4</v>
      </c>
      <c r="N1140">
        <v>-3.2596633887020795E-4</v>
      </c>
    </row>
    <row r="1141" spans="1:14" x14ac:dyDescent="0.35">
      <c r="A1141">
        <v>132</v>
      </c>
      <c r="B1141" t="s">
        <v>29</v>
      </c>
      <c r="C1141" s="23">
        <v>44025</v>
      </c>
      <c r="D1141">
        <v>5.2838719800720997E-3</v>
      </c>
      <c r="E1141">
        <v>-0.1981581</v>
      </c>
      <c r="F1141">
        <v>-1.047042033521466E-3</v>
      </c>
      <c r="G1141" s="32">
        <f t="shared" si="14"/>
        <v>1.6863939544455094E-2</v>
      </c>
      <c r="H1141">
        <v>2.00229752788573E-2</v>
      </c>
      <c r="I1141">
        <v>-1.0532062702573483E-3</v>
      </c>
      <c r="J1141">
        <v>-1.0593705069932306E-3</v>
      </c>
      <c r="K1141">
        <v>-1.0655347437291129E-3</v>
      </c>
      <c r="L1141">
        <v>-1.0716989804649953E-3</v>
      </c>
      <c r="M1141">
        <v>-1.0778632172008776E-3</v>
      </c>
      <c r="N1141">
        <v>-1.0840274539367599E-3</v>
      </c>
    </row>
    <row r="1142" spans="1:14" x14ac:dyDescent="0.35">
      <c r="A1142">
        <v>133</v>
      </c>
      <c r="B1142" t="s">
        <v>29</v>
      </c>
      <c r="C1142" s="23">
        <v>44026</v>
      </c>
      <c r="D1142">
        <v>5.4053645313133E-3</v>
      </c>
      <c r="E1142">
        <v>5.4634050000000003E-2</v>
      </c>
      <c r="F1142">
        <v>2.953169535574092E-4</v>
      </c>
      <c r="G1142" s="32">
        <f t="shared" si="14"/>
        <v>1.7159256498012504E-2</v>
      </c>
      <c r="H1142">
        <v>1.97680416604556E-2</v>
      </c>
      <c r="I1142">
        <v>2.8933552721642221E-4</v>
      </c>
      <c r="J1142">
        <v>2.8335410087543516E-4</v>
      </c>
      <c r="K1142">
        <v>2.7737267453444817E-4</v>
      </c>
      <c r="L1142">
        <v>2.7139124819346118E-4</v>
      </c>
      <c r="M1142">
        <v>2.6540982185247413E-4</v>
      </c>
      <c r="N1142">
        <v>2.5942839551148714E-4</v>
      </c>
    </row>
    <row r="1143" spans="1:14" x14ac:dyDescent="0.35">
      <c r="A1143">
        <v>134</v>
      </c>
      <c r="B1143" t="s">
        <v>29</v>
      </c>
      <c r="C1143" s="23">
        <v>44027</v>
      </c>
      <c r="D1143">
        <v>-3.7598664838384001E-3</v>
      </c>
      <c r="E1143">
        <v>8.5964780000000005E-2</v>
      </c>
      <c r="F1143">
        <v>-3.2321608223712453E-4</v>
      </c>
      <c r="G1143" s="32">
        <f t="shared" si="14"/>
        <v>1.6836040415775379E-2</v>
      </c>
      <c r="H1143">
        <v>1.9515071413832501E-2</v>
      </c>
      <c r="I1143">
        <v>-3.2399151850807885E-4</v>
      </c>
      <c r="J1143">
        <v>-3.2476695477903311E-4</v>
      </c>
      <c r="K1143">
        <v>-3.2554239104998743E-4</v>
      </c>
      <c r="L1143">
        <v>-3.2631782732094175E-4</v>
      </c>
      <c r="M1143">
        <v>-3.2709326359189607E-4</v>
      </c>
      <c r="N1143">
        <v>-3.2786869986285033E-4</v>
      </c>
    </row>
    <row r="1144" spans="1:14" x14ac:dyDescent="0.35">
      <c r="A1144">
        <v>135</v>
      </c>
      <c r="B1144" t="s">
        <v>29</v>
      </c>
      <c r="C1144" s="23">
        <v>44028</v>
      </c>
      <c r="D1144">
        <v>2.9924067621684E-3</v>
      </c>
      <c r="E1144">
        <v>-0.114723146</v>
      </c>
      <c r="F1144">
        <v>-3.4329831775320739E-4</v>
      </c>
      <c r="G1144" s="32">
        <f t="shared" si="14"/>
        <v>1.6492742098022171E-2</v>
      </c>
      <c r="H1144">
        <v>1.9275341452056501E-2</v>
      </c>
      <c r="I1144">
        <v>-3.4819147152015834E-4</v>
      </c>
      <c r="J1144">
        <v>-3.5308462528710929E-4</v>
      </c>
      <c r="K1144">
        <v>-3.5797777905406019E-4</v>
      </c>
      <c r="L1144">
        <v>-3.6287093282101114E-4</v>
      </c>
      <c r="M1144">
        <v>-3.6776408658796209E-4</v>
      </c>
      <c r="N1144">
        <v>-3.7265724035491304E-4</v>
      </c>
    </row>
    <row r="1145" spans="1:14" x14ac:dyDescent="0.35">
      <c r="A1145">
        <v>136</v>
      </c>
      <c r="B1145" t="s">
        <v>29</v>
      </c>
      <c r="C1145" s="23">
        <v>44029</v>
      </c>
      <c r="D1145">
        <v>4.8426113267369996E-3</v>
      </c>
      <c r="E1145">
        <v>4.3061919999999997E-2</v>
      </c>
      <c r="F1145">
        <v>2.0853213917192828E-4</v>
      </c>
      <c r="G1145" s="32">
        <f t="shared" si="14"/>
        <v>1.67012742371941E-2</v>
      </c>
      <c r="H1145">
        <v>1.8972105212179801E-2</v>
      </c>
      <c r="I1145">
        <v>2.0464781811436653E-4</v>
      </c>
      <c r="J1145">
        <v>2.0076349705680478E-4</v>
      </c>
      <c r="K1145">
        <v>1.9687917599924302E-4</v>
      </c>
      <c r="L1145">
        <v>1.9299485494168127E-4</v>
      </c>
      <c r="M1145">
        <v>1.8911053388411951E-4</v>
      </c>
      <c r="N1145">
        <v>1.8522621282655776E-4</v>
      </c>
    </row>
    <row r="1146" spans="1:14" x14ac:dyDescent="0.35">
      <c r="A1146">
        <v>137</v>
      </c>
      <c r="B1146" t="s">
        <v>29</v>
      </c>
      <c r="C1146" s="23">
        <v>44032</v>
      </c>
      <c r="D1146">
        <v>9.3372248687349996E-4</v>
      </c>
      <c r="E1146">
        <v>0.11330497</v>
      </c>
      <c r="F1146">
        <v>1.0579540083660393E-4</v>
      </c>
      <c r="G1146" s="32">
        <f t="shared" si="14"/>
        <v>1.6807069638030702E-2</v>
      </c>
      <c r="H1146">
        <v>1.8710106622165799E-2</v>
      </c>
      <c r="I1146">
        <v>1.0400665207412795E-4</v>
      </c>
      <c r="J1146">
        <v>1.0221790331165197E-4</v>
      </c>
      <c r="K1146">
        <v>1.00429154549176E-4</v>
      </c>
      <c r="L1146">
        <v>9.8640405786700022E-5</v>
      </c>
      <c r="M1146">
        <v>9.6851657024224047E-5</v>
      </c>
      <c r="N1146">
        <v>9.5062908261748071E-5</v>
      </c>
    </row>
    <row r="1147" spans="1:14" x14ac:dyDescent="0.35">
      <c r="A1147">
        <v>138</v>
      </c>
      <c r="B1147" t="s">
        <v>29</v>
      </c>
      <c r="C1147" s="23">
        <v>44033</v>
      </c>
      <c r="D1147">
        <v>2.2506860489189999E-3</v>
      </c>
      <c r="E1147">
        <v>8.9523173999999997E-2</v>
      </c>
      <c r="F1147">
        <v>2.0148855848113438E-4</v>
      </c>
      <c r="G1147" s="32">
        <f t="shared" si="14"/>
        <v>1.7008558196511838E-2</v>
      </c>
      <c r="H1147">
        <v>1.8400963712141401E-2</v>
      </c>
      <c r="I1147">
        <v>2.009260143458142E-4</v>
      </c>
      <c r="J1147">
        <v>2.0036347021049406E-4</v>
      </c>
      <c r="K1147">
        <v>1.9980092607517388E-4</v>
      </c>
      <c r="L1147">
        <v>1.9923838193985371E-4</v>
      </c>
      <c r="M1147">
        <v>1.9867583780453356E-4</v>
      </c>
      <c r="N1147">
        <v>1.9811329366921338E-4</v>
      </c>
    </row>
    <row r="1148" spans="1:14" x14ac:dyDescent="0.35">
      <c r="A1148">
        <v>139</v>
      </c>
      <c r="B1148" t="s">
        <v>29</v>
      </c>
      <c r="C1148" s="23">
        <v>44034</v>
      </c>
      <c r="D1148">
        <v>-6.0746909016869003E-3</v>
      </c>
      <c r="E1148">
        <v>0.12013181000000001</v>
      </c>
      <c r="F1148">
        <v>-7.2976363137175417E-4</v>
      </c>
      <c r="G1148" s="32">
        <f t="shared" si="14"/>
        <v>1.6278794565140083E-2</v>
      </c>
      <c r="H1148">
        <v>1.81009226508007E-2</v>
      </c>
      <c r="I1148">
        <v>-7.3060065428138068E-4</v>
      </c>
      <c r="J1148">
        <v>-7.3143767719100719E-4</v>
      </c>
      <c r="K1148">
        <v>-7.3227470010063371E-4</v>
      </c>
      <c r="L1148">
        <v>-7.3311172301026022E-4</v>
      </c>
      <c r="M1148">
        <v>-7.3394874591988673E-4</v>
      </c>
      <c r="N1148">
        <v>-7.3478576882951324E-4</v>
      </c>
    </row>
    <row r="1149" spans="1:14" x14ac:dyDescent="0.35">
      <c r="A1149">
        <v>140</v>
      </c>
      <c r="B1149" t="s">
        <v>29</v>
      </c>
      <c r="C1149" s="23">
        <v>44035</v>
      </c>
      <c r="D1149">
        <v>-3.8271888985791998E-3</v>
      </c>
      <c r="E1149">
        <v>3.2678980000000003E-2</v>
      </c>
      <c r="F1149">
        <v>-1.2506863092835903E-4</v>
      </c>
      <c r="G1149" s="32">
        <f t="shared" si="14"/>
        <v>1.6153725934211723E-2</v>
      </c>
      <c r="H1149">
        <v>1.7976813040561701E-2</v>
      </c>
      <c r="I1149">
        <v>-1.2734536520089284E-4</v>
      </c>
      <c r="J1149">
        <v>-1.2962209947342665E-4</v>
      </c>
      <c r="K1149">
        <v>-1.3189883374596046E-4</v>
      </c>
      <c r="L1149">
        <v>-1.3417556801849427E-4</v>
      </c>
      <c r="M1149">
        <v>-1.3645230229102808E-4</v>
      </c>
      <c r="N1149">
        <v>-1.3872903656356189E-4</v>
      </c>
    </row>
    <row r="1150" spans="1:14" x14ac:dyDescent="0.35">
      <c r="A1150">
        <v>141</v>
      </c>
      <c r="B1150" t="s">
        <v>29</v>
      </c>
      <c r="C1150" s="23">
        <v>44036</v>
      </c>
      <c r="D1150">
        <v>4.6922976216716003E-3</v>
      </c>
      <c r="E1150">
        <v>0.16914841999999999</v>
      </c>
      <c r="F1150">
        <v>7.9369470694874071E-4</v>
      </c>
      <c r="G1150" s="32">
        <f t="shared" si="14"/>
        <v>1.6947420641160463E-2</v>
      </c>
      <c r="H1150">
        <v>1.77554376985209E-2</v>
      </c>
      <c r="I1150">
        <v>7.9005267468051856E-4</v>
      </c>
      <c r="J1150">
        <v>7.8641064241229629E-4</v>
      </c>
      <c r="K1150">
        <v>7.8276861014407414E-4</v>
      </c>
      <c r="L1150">
        <v>7.7912657787585198E-4</v>
      </c>
      <c r="M1150">
        <v>7.7548454560762972E-4</v>
      </c>
      <c r="N1150">
        <v>7.7184251333940756E-4</v>
      </c>
    </row>
    <row r="1151" spans="1:14" x14ac:dyDescent="0.35">
      <c r="A1151">
        <v>142</v>
      </c>
      <c r="B1151" t="s">
        <v>29</v>
      </c>
      <c r="C1151" s="23">
        <v>44039</v>
      </c>
      <c r="D1151">
        <v>-3.2137573754186001E-3</v>
      </c>
      <c r="E1151">
        <v>0.21614204000000001</v>
      </c>
      <c r="F1151">
        <v>-6.9462808634405493E-4</v>
      </c>
      <c r="G1151" s="32">
        <f t="shared" si="14"/>
        <v>1.6252792554816407E-2</v>
      </c>
      <c r="H1151">
        <v>1.75107074370532E-2</v>
      </c>
      <c r="I1151">
        <v>-6.9595892413822113E-4</v>
      </c>
      <c r="J1151">
        <v>-6.9728976193238733E-4</v>
      </c>
      <c r="K1151">
        <v>-6.9862059972655352E-4</v>
      </c>
      <c r="L1151">
        <v>-6.9995143752071972E-4</v>
      </c>
      <c r="M1151">
        <v>-7.0128227531488603E-4</v>
      </c>
      <c r="N1151">
        <v>-7.0261311310905222E-4</v>
      </c>
    </row>
    <row r="1152" spans="1:14" x14ac:dyDescent="0.35">
      <c r="A1152">
        <v>143</v>
      </c>
      <c r="B1152" t="s">
        <v>29</v>
      </c>
      <c r="C1152" s="23">
        <v>44040</v>
      </c>
      <c r="D1152">
        <v>6.7236176024928996E-3</v>
      </c>
      <c r="E1152">
        <v>0.30069985999999999</v>
      </c>
      <c r="F1152">
        <v>2.0217908708054333E-3</v>
      </c>
      <c r="G1152" s="32">
        <f t="shared" si="14"/>
        <v>1.827458342562184E-2</v>
      </c>
      <c r="H1152">
        <v>1.7277239487339498E-2</v>
      </c>
      <c r="I1152">
        <v>2.0193997869771487E-3</v>
      </c>
      <c r="J1152">
        <v>2.0170087031488636E-3</v>
      </c>
      <c r="K1152">
        <v>2.014617619320579E-3</v>
      </c>
      <c r="L1152">
        <v>2.0122265354922939E-3</v>
      </c>
      <c r="M1152">
        <v>2.0098354516640093E-3</v>
      </c>
      <c r="N1152">
        <v>2.0074443678357243E-3</v>
      </c>
    </row>
    <row r="1153" spans="1:14" x14ac:dyDescent="0.35">
      <c r="A1153">
        <v>144</v>
      </c>
      <c r="B1153" t="s">
        <v>29</v>
      </c>
      <c r="C1153" s="23">
        <v>44041</v>
      </c>
      <c r="D1153">
        <v>-6.3705522871360001E-4</v>
      </c>
      <c r="E1153">
        <v>0.30901076999999999</v>
      </c>
      <c r="F1153">
        <v>-1.9685692924002884E-4</v>
      </c>
      <c r="G1153" s="32">
        <f t="shared" si="14"/>
        <v>1.8077726496381813E-2</v>
      </c>
      <c r="H1153">
        <v>1.7101250419958299E-2</v>
      </c>
      <c r="I1153">
        <v>-1.971711557310578E-4</v>
      </c>
      <c r="J1153">
        <v>-1.9748538222208676E-4</v>
      </c>
      <c r="K1153">
        <v>-1.9779960871311571E-4</v>
      </c>
      <c r="L1153">
        <v>-1.9811383520414467E-4</v>
      </c>
      <c r="M1153">
        <v>-1.9842806169517363E-4</v>
      </c>
      <c r="N1153">
        <v>-1.9874228818620259E-4</v>
      </c>
    </row>
    <row r="1154" spans="1:14" x14ac:dyDescent="0.35">
      <c r="A1154">
        <v>145</v>
      </c>
      <c r="B1154" t="s">
        <v>29</v>
      </c>
      <c r="C1154" s="23">
        <v>44042</v>
      </c>
      <c r="D1154">
        <v>2.5494692637118002E-3</v>
      </c>
      <c r="E1154">
        <v>0.2965931</v>
      </c>
      <c r="F1154">
        <v>7.5615499185205295E-4</v>
      </c>
      <c r="G1154" s="32">
        <f t="shared" si="14"/>
        <v>1.8833881488233867E-2</v>
      </c>
      <c r="H1154">
        <v>1.68273968076901E-2</v>
      </c>
      <c r="I1154">
        <v>7.5594527980079348E-4</v>
      </c>
      <c r="J1154">
        <v>7.5573556774953402E-4</v>
      </c>
      <c r="K1154">
        <v>7.5552585569827466E-4</v>
      </c>
      <c r="L1154">
        <v>7.553161436470152E-4</v>
      </c>
      <c r="M1154">
        <v>7.5510643159575573E-4</v>
      </c>
      <c r="N1154">
        <v>7.5489671954449627E-4</v>
      </c>
    </row>
    <row r="1155" spans="1:14" x14ac:dyDescent="0.35">
      <c r="A1155">
        <v>146</v>
      </c>
      <c r="B1155" t="s">
        <v>29</v>
      </c>
      <c r="C1155" s="23">
        <v>44043</v>
      </c>
      <c r="D1155">
        <v>4.3719485952260001E-3</v>
      </c>
      <c r="E1155">
        <v>0.28032220000000002</v>
      </c>
      <c r="F1155">
        <v>1.2255542227036567E-3</v>
      </c>
      <c r="G1155" s="32">
        <f t="shared" si="14"/>
        <v>2.0059435710937525E-2</v>
      </c>
      <c r="H1155">
        <v>1.65566448639408E-2</v>
      </c>
      <c r="I1155">
        <v>1.2252260982114434E-3</v>
      </c>
      <c r="J1155">
        <v>1.2248979737192302E-3</v>
      </c>
      <c r="K1155">
        <v>1.2245698492270168E-3</v>
      </c>
      <c r="L1155">
        <v>1.2242417247348037E-3</v>
      </c>
      <c r="M1155">
        <v>1.2239136002425903E-3</v>
      </c>
      <c r="N1155">
        <v>1.2235854757503772E-3</v>
      </c>
    </row>
    <row r="1156" spans="1:14" x14ac:dyDescent="0.35">
      <c r="A1156">
        <v>147</v>
      </c>
      <c r="B1156" t="s">
        <v>29</v>
      </c>
      <c r="C1156" s="23">
        <v>44046</v>
      </c>
      <c r="D1156">
        <v>2.0252319378642998E-3</v>
      </c>
      <c r="E1156">
        <v>0.28177223000000001</v>
      </c>
      <c r="F1156">
        <v>5.7065411149111872E-4</v>
      </c>
      <c r="G1156" s="32">
        <f t="shared" si="14"/>
        <v>2.0630089822428643E-2</v>
      </c>
      <c r="H1156">
        <v>1.63160946213039E-2</v>
      </c>
      <c r="I1156">
        <v>5.7049419065452976E-4</v>
      </c>
      <c r="J1156">
        <v>5.7033426981794081E-4</v>
      </c>
      <c r="K1156">
        <v>5.7017434898135185E-4</v>
      </c>
      <c r="L1156">
        <v>5.700144281447629E-4</v>
      </c>
      <c r="M1156">
        <v>5.6985450730817394E-4</v>
      </c>
      <c r="N1156">
        <v>5.6969458647158509E-4</v>
      </c>
    </row>
    <row r="1157" spans="1:14" x14ac:dyDescent="0.35">
      <c r="A1157">
        <v>148</v>
      </c>
      <c r="B1157" t="s">
        <v>29</v>
      </c>
      <c r="C1157" s="23">
        <v>44047</v>
      </c>
      <c r="D1157">
        <v>2.8547219211355998E-3</v>
      </c>
      <c r="E1157">
        <v>0.31959984000000002</v>
      </c>
      <c r="F1157">
        <v>9.1236866086008789E-4</v>
      </c>
      <c r="G1157" s="32">
        <f t="shared" si="14"/>
        <v>2.1542458483288732E-2</v>
      </c>
      <c r="H1157">
        <v>1.6048454729364801E-2</v>
      </c>
      <c r="I1157">
        <v>9.1111897213345255E-4</v>
      </c>
      <c r="J1157">
        <v>9.0986928340681722E-4</v>
      </c>
      <c r="K1157">
        <v>9.0861959468018188E-4</v>
      </c>
      <c r="L1157">
        <v>9.0736990595354666E-4</v>
      </c>
      <c r="M1157">
        <v>9.0612021722691132E-4</v>
      </c>
      <c r="N1157">
        <v>9.0487052850027599E-4</v>
      </c>
    </row>
    <row r="1158" spans="1:14" x14ac:dyDescent="0.35">
      <c r="A1158">
        <v>149</v>
      </c>
      <c r="B1158" t="s">
        <v>29</v>
      </c>
      <c r="C1158" s="23">
        <v>44048</v>
      </c>
      <c r="D1158">
        <v>5.0978834743002997E-3</v>
      </c>
      <c r="E1158">
        <v>0.32444010000000001</v>
      </c>
      <c r="F1158">
        <v>1.6539577826342941E-3</v>
      </c>
      <c r="G1158" s="32">
        <f t="shared" si="14"/>
        <v>2.3196416265923028E-2</v>
      </c>
      <c r="H1158">
        <v>1.5790832057650601E-2</v>
      </c>
      <c r="I1158">
        <v>1.6536594626004315E-3</v>
      </c>
      <c r="J1158">
        <v>1.6533611425665689E-3</v>
      </c>
      <c r="K1158">
        <v>1.6530628225327063E-3</v>
      </c>
      <c r="L1158">
        <v>1.6527645024988435E-3</v>
      </c>
      <c r="M1158">
        <v>1.6524661824649808E-3</v>
      </c>
      <c r="N1158">
        <v>1.6521678624311182E-3</v>
      </c>
    </row>
    <row r="1159" spans="1:14" x14ac:dyDescent="0.35">
      <c r="A1159">
        <v>150</v>
      </c>
      <c r="B1159" t="s">
        <v>29</v>
      </c>
      <c r="C1159" s="23">
        <v>44049</v>
      </c>
      <c r="D1159">
        <v>9.0727649000872602E-5</v>
      </c>
      <c r="E1159">
        <v>0.31540927000000002</v>
      </c>
      <c r="F1159">
        <v>2.8616341804123106E-5</v>
      </c>
      <c r="G1159" s="32">
        <f t="shared" si="14"/>
        <v>2.3225032607727149E-2</v>
      </c>
      <c r="H1159">
        <v>1.5571218538982299E-2</v>
      </c>
      <c r="I1159">
        <v>2.8479239628784856E-5</v>
      </c>
      <c r="J1159">
        <v>2.8342137453446605E-5</v>
      </c>
      <c r="K1159">
        <v>2.8205035278108355E-5</v>
      </c>
      <c r="L1159">
        <v>2.8067933102770104E-5</v>
      </c>
      <c r="M1159">
        <v>2.7930830927431853E-5</v>
      </c>
      <c r="N1159">
        <v>2.7793728752093599E-5</v>
      </c>
    </row>
    <row r="1160" spans="1:14" x14ac:dyDescent="0.35">
      <c r="A1160">
        <v>151</v>
      </c>
      <c r="B1160" t="s">
        <v>29</v>
      </c>
      <c r="C1160" s="23">
        <v>44050</v>
      </c>
      <c r="D1160">
        <v>1.4753039003163001E-3</v>
      </c>
      <c r="E1160">
        <v>0.35303639999999997</v>
      </c>
      <c r="F1160">
        <v>5.2083598326734513E-4</v>
      </c>
      <c r="G1160" s="32">
        <f t="shared" si="14"/>
        <v>2.3745868590994496E-2</v>
      </c>
      <c r="H1160">
        <v>1.53191907064346E-2</v>
      </c>
      <c r="I1160">
        <v>5.1951808944418574E-4</v>
      </c>
      <c r="J1160">
        <v>5.1820019562102634E-4</v>
      </c>
      <c r="K1160">
        <v>5.1688230179786705E-4</v>
      </c>
      <c r="L1160">
        <v>5.1556440797470755E-4</v>
      </c>
      <c r="M1160">
        <v>5.1424651415154816E-4</v>
      </c>
      <c r="N1160">
        <v>5.1292862032838876E-4</v>
      </c>
    </row>
    <row r="1161" spans="1:14" x14ac:dyDescent="0.35">
      <c r="A1161">
        <v>152</v>
      </c>
      <c r="B1161" t="s">
        <v>29</v>
      </c>
      <c r="C1161" s="23">
        <v>44053</v>
      </c>
      <c r="D1161">
        <v>-4.2557313137950997E-3</v>
      </c>
      <c r="E1161">
        <v>0.34074480000000001</v>
      </c>
      <c r="F1161">
        <v>-1.4501182873491538E-3</v>
      </c>
      <c r="G1161" s="32">
        <f t="shared" si="14"/>
        <v>2.2295750303645341E-2</v>
      </c>
      <c r="H1161">
        <v>1.50659671988791E-2</v>
      </c>
      <c r="I1161">
        <v>-1.4503207415854709E-3</v>
      </c>
      <c r="J1161">
        <v>-1.4505231958217883E-3</v>
      </c>
      <c r="K1161">
        <v>-1.4507256500581054E-3</v>
      </c>
      <c r="L1161">
        <v>-1.4509281042944227E-3</v>
      </c>
      <c r="M1161">
        <v>-1.4511305585307398E-3</v>
      </c>
      <c r="N1161">
        <v>-1.4513330127670569E-3</v>
      </c>
    </row>
    <row r="1162" spans="1:14" x14ac:dyDescent="0.35">
      <c r="A1162">
        <v>153</v>
      </c>
      <c r="B1162" t="s">
        <v>29</v>
      </c>
      <c r="C1162" s="23">
        <v>44054</v>
      </c>
      <c r="D1162">
        <v>7.6139740711951998E-3</v>
      </c>
      <c r="E1162">
        <v>0.36028004000000002</v>
      </c>
      <c r="F1162">
        <v>2.7431628595258654E-3</v>
      </c>
      <c r="G1162" s="32">
        <f t="shared" si="14"/>
        <v>2.5038913163171205E-2</v>
      </c>
      <c r="H1162">
        <v>1.49071751080571E-2</v>
      </c>
      <c r="I1162">
        <v>2.7424299034962169E-3</v>
      </c>
      <c r="J1162">
        <v>2.7416969474665679E-3</v>
      </c>
      <c r="K1162">
        <v>2.7409639914369194E-3</v>
      </c>
      <c r="L1162">
        <v>2.7402310354072705E-3</v>
      </c>
      <c r="M1162">
        <v>2.739498079377622E-3</v>
      </c>
      <c r="N1162">
        <v>2.7387651233479735E-3</v>
      </c>
    </row>
    <row r="1163" spans="1:14" x14ac:dyDescent="0.35">
      <c r="A1163">
        <v>154</v>
      </c>
      <c r="B1163" t="s">
        <v>29</v>
      </c>
      <c r="C1163" s="23">
        <v>44055</v>
      </c>
      <c r="D1163">
        <v>-4.2713839588949998E-4</v>
      </c>
      <c r="E1163">
        <v>0.29047948000000001</v>
      </c>
      <c r="F1163">
        <v>-1.2407493964722974E-4</v>
      </c>
      <c r="G1163" s="32">
        <f t="shared" si="14"/>
        <v>2.4914838223523975E-2</v>
      </c>
      <c r="H1163">
        <v>1.47698128913154E-2</v>
      </c>
      <c r="I1163">
        <v>-1.2620152099424817E-4</v>
      </c>
      <c r="J1163">
        <v>-1.2832810234126657E-4</v>
      </c>
      <c r="K1163">
        <v>-1.30454683688285E-4</v>
      </c>
      <c r="L1163">
        <v>-1.3258126503530343E-4</v>
      </c>
      <c r="M1163">
        <v>-1.3470784638232184E-4</v>
      </c>
      <c r="N1163">
        <v>-1.3683442772934027E-4</v>
      </c>
    </row>
    <row r="1164" spans="1:14" x14ac:dyDescent="0.35">
      <c r="A1164">
        <v>155</v>
      </c>
      <c r="B1164" t="s">
        <v>29</v>
      </c>
      <c r="C1164" s="23">
        <v>44056</v>
      </c>
      <c r="D1164">
        <v>-1.206397550683E-3</v>
      </c>
      <c r="E1164">
        <v>0.31009587999999999</v>
      </c>
      <c r="F1164">
        <v>-3.740989058325805E-4</v>
      </c>
      <c r="G1164" s="32">
        <f t="shared" si="14"/>
        <v>2.4540739317691396E-2</v>
      </c>
      <c r="H1164">
        <v>1.45358594288131E-2</v>
      </c>
      <c r="I1164">
        <v>-3.7488604467127119E-4</v>
      </c>
      <c r="J1164">
        <v>-3.7567318350996193E-4</v>
      </c>
      <c r="K1164">
        <v>-3.7646032234865261E-4</v>
      </c>
      <c r="L1164">
        <v>-3.7724746118734335E-4</v>
      </c>
      <c r="M1164">
        <v>-3.7803460002603403E-4</v>
      </c>
      <c r="N1164">
        <v>-3.7882173886472477E-4</v>
      </c>
    </row>
    <row r="1165" spans="1:14" x14ac:dyDescent="0.35">
      <c r="A1165">
        <v>156</v>
      </c>
      <c r="B1165" t="s">
        <v>29</v>
      </c>
      <c r="C1165" s="23">
        <v>44057</v>
      </c>
      <c r="D1165">
        <v>3.5837541162745002E-3</v>
      </c>
      <c r="E1165">
        <v>0.30591747000000002</v>
      </c>
      <c r="F1165">
        <v>1.096332998256165E-3</v>
      </c>
      <c r="G1165" s="32">
        <f t="shared" si="14"/>
        <v>2.563707231594756E-2</v>
      </c>
      <c r="H1165">
        <v>1.4314709438267299E-2</v>
      </c>
      <c r="I1165">
        <v>1.0963151947649358E-3</v>
      </c>
      <c r="J1165">
        <v>1.0962973912737066E-3</v>
      </c>
      <c r="K1165">
        <v>1.0962795877824773E-3</v>
      </c>
      <c r="L1165">
        <v>1.0962617842912481E-3</v>
      </c>
      <c r="M1165">
        <v>1.0962439808000189E-3</v>
      </c>
      <c r="N1165">
        <v>1.0962261773087897E-3</v>
      </c>
    </row>
    <row r="1166" spans="1:14" x14ac:dyDescent="0.35">
      <c r="A1166">
        <v>157</v>
      </c>
      <c r="B1166" t="s">
        <v>29</v>
      </c>
      <c r="C1166" s="23">
        <v>44060</v>
      </c>
      <c r="D1166">
        <v>1.4385210589371001E-3</v>
      </c>
      <c r="E1166">
        <v>0.29590493000000001</v>
      </c>
      <c r="F1166">
        <v>4.2566547958683578E-4</v>
      </c>
      <c r="G1166" s="32">
        <f t="shared" si="14"/>
        <v>2.6062737795534394E-2</v>
      </c>
      <c r="H1166">
        <v>1.4090558082423901E-2</v>
      </c>
      <c r="I1166">
        <v>4.2549037843289797E-4</v>
      </c>
      <c r="J1166">
        <v>4.2531527727896016E-4</v>
      </c>
      <c r="K1166">
        <v>4.2514017612502235E-4</v>
      </c>
      <c r="L1166">
        <v>4.2496507497108454E-4</v>
      </c>
      <c r="M1166">
        <v>4.2478997381714678E-4</v>
      </c>
      <c r="N1166">
        <v>4.2461487266320897E-4</v>
      </c>
    </row>
    <row r="1167" spans="1:14" x14ac:dyDescent="0.35">
      <c r="A1167">
        <v>158</v>
      </c>
      <c r="B1167" t="s">
        <v>29</v>
      </c>
      <c r="C1167" s="23">
        <v>44061</v>
      </c>
      <c r="D1167">
        <v>-2.8688052509725998E-3</v>
      </c>
      <c r="E1167">
        <v>0.29489569999999998</v>
      </c>
      <c r="F1167">
        <v>-8.4599835720892047E-4</v>
      </c>
      <c r="G1167" s="32">
        <f t="shared" si="14"/>
        <v>2.5216739438325475E-2</v>
      </c>
      <c r="H1167">
        <v>1.3857650031366299E-2</v>
      </c>
      <c r="I1167">
        <v>-8.4613070442559192E-4</v>
      </c>
      <c r="J1167">
        <v>-8.4626305164226337E-4</v>
      </c>
      <c r="K1167">
        <v>-8.4639539885893471E-4</v>
      </c>
      <c r="L1167">
        <v>-8.4652774607560616E-4</v>
      </c>
      <c r="M1167">
        <v>-8.466600932922776E-4</v>
      </c>
      <c r="N1167">
        <v>-8.4679244050894905E-4</v>
      </c>
    </row>
    <row r="1168" spans="1:14" x14ac:dyDescent="0.35">
      <c r="A1168">
        <v>159</v>
      </c>
      <c r="B1168" t="s">
        <v>29</v>
      </c>
      <c r="C1168" s="23">
        <v>44062</v>
      </c>
      <c r="D1168">
        <v>1.638655151226E-3</v>
      </c>
      <c r="E1168">
        <v>0.31201183999999998</v>
      </c>
      <c r="F1168">
        <v>5.112798055154818E-4</v>
      </c>
      <c r="G1168" s="32">
        <f t="shared" si="14"/>
        <v>2.5728019243840956E-2</v>
      </c>
      <c r="H1168">
        <v>1.36775797953166E-2</v>
      </c>
      <c r="I1168">
        <v>5.105562099108307E-4</v>
      </c>
      <c r="J1168">
        <v>5.098326143061797E-4</v>
      </c>
      <c r="K1168">
        <v>5.091090187015286E-4</v>
      </c>
      <c r="L1168">
        <v>5.0838542309687761E-4</v>
      </c>
      <c r="M1168">
        <v>5.076618274922265E-4</v>
      </c>
      <c r="N1168">
        <v>5.0693823188757551E-4</v>
      </c>
    </row>
    <row r="1169" spans="1:14" x14ac:dyDescent="0.35">
      <c r="A1169">
        <v>160</v>
      </c>
      <c r="B1169" t="s">
        <v>29</v>
      </c>
      <c r="C1169" s="23">
        <v>44063</v>
      </c>
      <c r="D1169">
        <v>2.4414100609443999E-3</v>
      </c>
      <c r="E1169">
        <v>0.28582874000000003</v>
      </c>
      <c r="F1169">
        <v>6.9782516008963676E-4</v>
      </c>
      <c r="G1169" s="32">
        <f t="shared" si="14"/>
        <v>2.6425844403930591E-2</v>
      </c>
      <c r="H1169">
        <v>1.3451634816287601E-2</v>
      </c>
      <c r="I1169">
        <v>6.9708657379393161E-4</v>
      </c>
      <c r="J1169">
        <v>6.9634798749822636E-4</v>
      </c>
      <c r="K1169">
        <v>6.9560940120252121E-4</v>
      </c>
      <c r="L1169">
        <v>6.9487081490681596E-4</v>
      </c>
      <c r="M1169">
        <v>6.9413222861111081E-4</v>
      </c>
      <c r="N1169">
        <v>6.9339364231540556E-4</v>
      </c>
    </row>
    <row r="1170" spans="1:14" x14ac:dyDescent="0.35">
      <c r="A1170">
        <v>161</v>
      </c>
      <c r="B1170" t="s">
        <v>29</v>
      </c>
      <c r="C1170" s="23">
        <v>44064</v>
      </c>
      <c r="D1170">
        <v>7.3674957101833001E-3</v>
      </c>
      <c r="E1170">
        <v>0.27055805999999999</v>
      </c>
      <c r="F1170">
        <v>1.9933353406260518E-3</v>
      </c>
      <c r="G1170" s="32">
        <f t="shared" si="14"/>
        <v>2.8419179744556641E-2</v>
      </c>
      <c r="H1170">
        <v>1.3231810882387601E-2</v>
      </c>
      <c r="I1170">
        <v>1.9929568662757392E-3</v>
      </c>
      <c r="J1170">
        <v>1.9925783919254266E-3</v>
      </c>
      <c r="K1170">
        <v>1.992199917575114E-3</v>
      </c>
      <c r="L1170">
        <v>1.9918214432248014E-3</v>
      </c>
      <c r="M1170">
        <v>1.9914429688744888E-3</v>
      </c>
      <c r="N1170">
        <v>1.9910644945241767E-3</v>
      </c>
    </row>
    <row r="1171" spans="1:14" x14ac:dyDescent="0.35">
      <c r="A1171">
        <v>162</v>
      </c>
      <c r="B1171" t="s">
        <v>29</v>
      </c>
      <c r="C1171" s="23">
        <v>44067</v>
      </c>
      <c r="D1171">
        <v>3.2627065856366999E-3</v>
      </c>
      <c r="E1171">
        <v>0.24872820000000001</v>
      </c>
      <c r="F1171">
        <v>8.1152713876175744E-4</v>
      </c>
      <c r="G1171" s="32">
        <f t="shared" si="14"/>
        <v>2.92307068833184E-2</v>
      </c>
      <c r="H1171">
        <v>1.30968605642136E-2</v>
      </c>
      <c r="I1171">
        <v>8.1083919214144993E-4</v>
      </c>
      <c r="J1171">
        <v>8.1015124552114232E-4</v>
      </c>
      <c r="K1171">
        <v>8.0946329890083481E-4</v>
      </c>
      <c r="L1171">
        <v>8.087753522805272E-4</v>
      </c>
      <c r="M1171">
        <v>8.0808740566021969E-4</v>
      </c>
      <c r="N1171">
        <v>8.0739945903991208E-4</v>
      </c>
    </row>
    <row r="1172" spans="1:14" x14ac:dyDescent="0.35">
      <c r="A1172">
        <v>163</v>
      </c>
      <c r="B1172" t="s">
        <v>29</v>
      </c>
      <c r="C1172" s="23">
        <v>44068</v>
      </c>
      <c r="D1172">
        <v>7.9332860158623005E-3</v>
      </c>
      <c r="E1172">
        <v>0.23992190999999999</v>
      </c>
      <c r="F1172">
        <v>1.9033691537392006E-3</v>
      </c>
      <c r="G1172" s="32">
        <f t="shared" si="14"/>
        <v>3.11340760370576E-2</v>
      </c>
      <c r="H1172">
        <v>1.28862671616206E-2</v>
      </c>
      <c r="I1172">
        <v>1.9031929190426284E-3</v>
      </c>
      <c r="J1172">
        <v>1.9030166843460562E-3</v>
      </c>
      <c r="K1172">
        <v>1.9028404496494839E-3</v>
      </c>
      <c r="L1172">
        <v>1.9026642149529119E-3</v>
      </c>
      <c r="M1172">
        <v>1.9024879802563397E-3</v>
      </c>
      <c r="N1172">
        <v>1.9023117455597674E-3</v>
      </c>
    </row>
    <row r="1173" spans="1:14" x14ac:dyDescent="0.35">
      <c r="A1173">
        <v>164</v>
      </c>
      <c r="B1173" t="s">
        <v>29</v>
      </c>
      <c r="C1173" s="23">
        <v>44069</v>
      </c>
      <c r="D1173">
        <v>1.0636773653271E-3</v>
      </c>
      <c r="E1173">
        <v>0.21498427000000001</v>
      </c>
      <c r="F1173">
        <v>2.2867389971989297E-4</v>
      </c>
      <c r="G1173" s="32">
        <f t="shared" si="14"/>
        <v>3.1362749936777491E-2</v>
      </c>
      <c r="H1173">
        <v>1.2762643350951701E-2</v>
      </c>
      <c r="I1173">
        <v>2.27835946552464E-4</v>
      </c>
      <c r="J1173">
        <v>2.2699799338503503E-4</v>
      </c>
      <c r="K1173">
        <v>2.2616004021760609E-4</v>
      </c>
      <c r="L1173">
        <v>2.2532208705017712E-4</v>
      </c>
      <c r="M1173">
        <v>2.2448413388274815E-4</v>
      </c>
      <c r="N1173">
        <v>2.2364618071531918E-4</v>
      </c>
    </row>
    <row r="1174" spans="1:14" x14ac:dyDescent="0.35">
      <c r="A1174">
        <v>165</v>
      </c>
      <c r="B1174" t="s">
        <v>29</v>
      </c>
      <c r="C1174" s="23">
        <v>44070</v>
      </c>
      <c r="D1174">
        <v>4.1573384327934001E-3</v>
      </c>
      <c r="E1174">
        <v>0.20765299000000001</v>
      </c>
      <c r="F1174">
        <v>8.6328373958853045E-4</v>
      </c>
      <c r="G1174" s="32">
        <f t="shared" si="14"/>
        <v>3.222603367636602E-2</v>
      </c>
      <c r="H1174">
        <v>1.25537190926203E-2</v>
      </c>
      <c r="I1174">
        <v>8.6314027670610007E-4</v>
      </c>
      <c r="J1174">
        <v>8.6299681382366968E-4</v>
      </c>
      <c r="K1174">
        <v>8.628533509412393E-4</v>
      </c>
      <c r="L1174">
        <v>8.6270988805880891E-4</v>
      </c>
      <c r="M1174">
        <v>8.6256642517637853E-4</v>
      </c>
      <c r="N1174">
        <v>8.6242296229394814E-4</v>
      </c>
    </row>
    <row r="1175" spans="1:14" x14ac:dyDescent="0.35">
      <c r="A1175">
        <v>166</v>
      </c>
      <c r="B1175" t="s">
        <v>29</v>
      </c>
      <c r="C1175" s="23">
        <v>44071</v>
      </c>
      <c r="D1175">
        <v>-1.2000984346105001E-3</v>
      </c>
      <c r="E1175">
        <v>0.18802932999999999</v>
      </c>
      <c r="F1175">
        <v>-2.2565370933315672E-4</v>
      </c>
      <c r="G1175" s="32">
        <f t="shared" si="14"/>
        <v>3.2000379967032866E-2</v>
      </c>
      <c r="H1175">
        <v>1.2356934498519601E-2</v>
      </c>
      <c r="I1175">
        <v>-2.2627954733133284E-4</v>
      </c>
      <c r="J1175">
        <v>-2.2690538532950893E-4</v>
      </c>
      <c r="K1175">
        <v>-2.2753122332768504E-4</v>
      </c>
      <c r="L1175">
        <v>-2.2815706132586113E-4</v>
      </c>
      <c r="M1175">
        <v>-2.2878289932403724E-4</v>
      </c>
      <c r="N1175">
        <v>-2.2940873732221333E-4</v>
      </c>
    </row>
    <row r="1176" spans="1:14" x14ac:dyDescent="0.35">
      <c r="A1176">
        <v>167</v>
      </c>
      <c r="B1176" t="s">
        <v>29</v>
      </c>
      <c r="C1176" s="23">
        <v>44074</v>
      </c>
      <c r="D1176">
        <v>6.2094078104056004E-3</v>
      </c>
      <c r="E1176">
        <v>0.17605712000000001</v>
      </c>
      <c r="F1176">
        <v>1.0932104261828586E-3</v>
      </c>
      <c r="G1176" s="32">
        <f t="shared" si="14"/>
        <v>3.3093590393215723E-2</v>
      </c>
      <c r="H1176">
        <v>1.21774090304762E-2</v>
      </c>
      <c r="I1176">
        <v>1.0928519168633417E-3</v>
      </c>
      <c r="J1176">
        <v>1.0924934075438248E-3</v>
      </c>
      <c r="K1176">
        <v>1.0921348982243079E-3</v>
      </c>
      <c r="L1176">
        <v>1.091776388904791E-3</v>
      </c>
      <c r="M1176">
        <v>1.0914178795852741E-3</v>
      </c>
      <c r="N1176">
        <v>1.091059370265757E-3</v>
      </c>
    </row>
    <row r="1177" spans="1:14" x14ac:dyDescent="0.35">
      <c r="A1177">
        <v>168</v>
      </c>
      <c r="B1177" t="s">
        <v>29</v>
      </c>
      <c r="C1177" s="23">
        <v>44075</v>
      </c>
      <c r="D1177">
        <v>1.16503821308933E-2</v>
      </c>
      <c r="E1177">
        <v>0.15331054999999999</v>
      </c>
      <c r="F1177">
        <v>1.7861265182874996E-3</v>
      </c>
      <c r="G1177" s="32">
        <f t="shared" si="14"/>
        <v>3.4879716911503225E-2</v>
      </c>
      <c r="H1177">
        <v>1.20152179580935E-2</v>
      </c>
      <c r="I1177">
        <v>1.7853242960363068E-3</v>
      </c>
      <c r="J1177">
        <v>1.7845220737851141E-3</v>
      </c>
      <c r="K1177">
        <v>1.7837198515339213E-3</v>
      </c>
      <c r="L1177">
        <v>1.7829176292827288E-3</v>
      </c>
      <c r="M1177">
        <v>1.782115407031536E-3</v>
      </c>
      <c r="N1177">
        <v>1.7813131847803432E-3</v>
      </c>
    </row>
    <row r="1178" spans="1:14" x14ac:dyDescent="0.35">
      <c r="A1178">
        <v>169</v>
      </c>
      <c r="B1178" t="s">
        <v>29</v>
      </c>
      <c r="C1178" s="23">
        <v>44076</v>
      </c>
      <c r="D1178">
        <v>-2.58779169372573E-2</v>
      </c>
      <c r="E1178">
        <v>0.10371126</v>
      </c>
      <c r="F1178">
        <v>-2.6838314324301371E-3</v>
      </c>
      <c r="G1178" s="32">
        <f t="shared" si="14"/>
        <v>3.2195885479073087E-2</v>
      </c>
      <c r="H1178">
        <v>1.20124213253007E-2</v>
      </c>
      <c r="I1178">
        <v>-2.6857807982232458E-3</v>
      </c>
      <c r="J1178">
        <v>-2.687730164016354E-3</v>
      </c>
      <c r="K1178">
        <v>-2.6896795298094627E-3</v>
      </c>
      <c r="L1178">
        <v>-2.691628895602571E-3</v>
      </c>
      <c r="M1178">
        <v>-2.6935782613956797E-3</v>
      </c>
      <c r="N1178">
        <v>-2.695527627188788E-3</v>
      </c>
    </row>
    <row r="1179" spans="1:14" x14ac:dyDescent="0.35">
      <c r="A1179">
        <v>170</v>
      </c>
      <c r="B1179" t="s">
        <v>29</v>
      </c>
      <c r="C1179" s="23">
        <v>44077</v>
      </c>
      <c r="D1179">
        <v>-8.9143308436529997E-3</v>
      </c>
      <c r="E1179">
        <v>0.21498010000000001</v>
      </c>
      <c r="F1179">
        <v>-1.9164036972007287E-3</v>
      </c>
      <c r="G1179" s="32">
        <f t="shared" si="14"/>
        <v>3.0279481781872359E-2</v>
      </c>
      <c r="H1179">
        <v>1.3473815025991801E-2</v>
      </c>
      <c r="I1179">
        <v>-1.9198628895477207E-3</v>
      </c>
      <c r="J1179">
        <v>-1.9233220818947125E-3</v>
      </c>
      <c r="K1179">
        <v>-1.9267812742417045E-3</v>
      </c>
      <c r="L1179">
        <v>-1.9302404665886962E-3</v>
      </c>
      <c r="M1179">
        <v>-1.9336996589356882E-3</v>
      </c>
      <c r="N1179">
        <v>-1.93715885128268E-3</v>
      </c>
    </row>
    <row r="1180" spans="1:14" x14ac:dyDescent="0.35">
      <c r="A1180">
        <v>171</v>
      </c>
      <c r="B1180" t="s">
        <v>29</v>
      </c>
      <c r="C1180" s="23">
        <v>44078</v>
      </c>
      <c r="D1180">
        <v>-1.67796835644256E-2</v>
      </c>
      <c r="E1180">
        <v>0.14096396999999999</v>
      </c>
      <c r="F1180">
        <v>-2.3653308376816481E-3</v>
      </c>
      <c r="G1180" s="32">
        <f t="shared" si="14"/>
        <v>2.791415094419071E-2</v>
      </c>
      <c r="H1180">
        <v>1.35117795605825E-2</v>
      </c>
      <c r="I1180">
        <v>-2.3679400804444439E-3</v>
      </c>
      <c r="J1180">
        <v>-2.3705493232072396E-3</v>
      </c>
      <c r="K1180">
        <v>-2.3731585659700358E-3</v>
      </c>
      <c r="L1180">
        <v>-2.3757678087328316E-3</v>
      </c>
      <c r="M1180">
        <v>-2.3783770514956273E-3</v>
      </c>
      <c r="N1180">
        <v>-2.380986294258423E-3</v>
      </c>
    </row>
    <row r="1181" spans="1:14" x14ac:dyDescent="0.35">
      <c r="A1181">
        <v>172</v>
      </c>
      <c r="B1181" t="s">
        <v>29</v>
      </c>
      <c r="C1181" s="23">
        <v>44082</v>
      </c>
      <c r="D1181">
        <v>1.3050049243820701E-2</v>
      </c>
      <c r="E1181">
        <v>0.20993609999999999</v>
      </c>
      <c r="F1181">
        <v>2.7396764073545151E-3</v>
      </c>
      <c r="G1181" s="32">
        <f t="shared" si="14"/>
        <v>3.0653827351545225E-2</v>
      </c>
      <c r="H1181">
        <v>1.40558678690698E-2</v>
      </c>
      <c r="I1181">
        <v>2.737548864040686E-3</v>
      </c>
      <c r="J1181">
        <v>2.7354213207268574E-3</v>
      </c>
      <c r="K1181">
        <v>2.7332937774130284E-3</v>
      </c>
      <c r="L1181">
        <v>2.7311662340991994E-3</v>
      </c>
      <c r="M1181">
        <v>2.7290386907853708E-3</v>
      </c>
      <c r="N1181">
        <v>2.7269111474715418E-3</v>
      </c>
    </row>
    <row r="1182" spans="1:14" x14ac:dyDescent="0.35">
      <c r="A1182">
        <v>173</v>
      </c>
      <c r="B1182" t="s">
        <v>29</v>
      </c>
      <c r="C1182" s="23">
        <v>44083</v>
      </c>
      <c r="D1182">
        <v>-1.16708982962043E-2</v>
      </c>
      <c r="E1182">
        <v>9.4135140000000006E-2</v>
      </c>
      <c r="F1182">
        <v>-1.0986416784503634E-3</v>
      </c>
      <c r="G1182" s="32">
        <f t="shared" si="14"/>
        <v>2.9555185673094862E-2</v>
      </c>
      <c r="H1182">
        <v>1.4227014184207199E-2</v>
      </c>
      <c r="I1182">
        <v>-1.102572124019014E-3</v>
      </c>
      <c r="J1182">
        <v>-1.1065025695876649E-3</v>
      </c>
      <c r="K1182">
        <v>-1.1104330151563155E-3</v>
      </c>
      <c r="L1182">
        <v>-1.1143634607249661E-3</v>
      </c>
      <c r="M1182">
        <v>-1.118293906293617E-3</v>
      </c>
      <c r="N1182">
        <v>-1.1222243518622676E-3</v>
      </c>
    </row>
    <row r="1183" spans="1:14" x14ac:dyDescent="0.35">
      <c r="A1183">
        <v>174</v>
      </c>
      <c r="B1183" t="s">
        <v>29</v>
      </c>
      <c r="C1183" s="23">
        <v>44084</v>
      </c>
      <c r="D1183">
        <v>-1.3262862587352E-3</v>
      </c>
      <c r="E1183">
        <v>9.7865335999999997E-2</v>
      </c>
      <c r="F1183">
        <v>-1.2979744987020567E-4</v>
      </c>
      <c r="G1183" s="32">
        <f t="shared" si="14"/>
        <v>2.9425388223224658E-2</v>
      </c>
      <c r="H1183">
        <v>1.439613847235E-2</v>
      </c>
      <c r="I1183">
        <v>-1.298831432591036E-4</v>
      </c>
      <c r="J1183">
        <v>-1.299688366480015E-4</v>
      </c>
      <c r="K1183">
        <v>-1.3005453003689943E-4</v>
      </c>
      <c r="L1183">
        <v>-1.3014022342579734E-4</v>
      </c>
      <c r="M1183">
        <v>-1.3022591681469527E-4</v>
      </c>
      <c r="N1183">
        <v>-1.303116102035932E-4</v>
      </c>
    </row>
    <row r="1184" spans="1:14" x14ac:dyDescent="0.35">
      <c r="A1184">
        <v>175</v>
      </c>
      <c r="B1184" t="s">
        <v>29</v>
      </c>
      <c r="C1184" s="23">
        <v>44085</v>
      </c>
      <c r="D1184">
        <v>9.7537564642851005E-3</v>
      </c>
      <c r="E1184">
        <v>5.8255803000000002E-2</v>
      </c>
      <c r="F1184">
        <v>5.6821291353271401E-4</v>
      </c>
      <c r="G1184" s="32">
        <f t="shared" si="14"/>
        <v>2.9993601136757371E-2</v>
      </c>
      <c r="H1184">
        <v>1.4166438228327201E-2</v>
      </c>
      <c r="I1184">
        <v>5.6694399878270366E-4</v>
      </c>
      <c r="J1184">
        <v>5.6567508403269342E-4</v>
      </c>
      <c r="K1184">
        <v>5.6440616928268308E-4</v>
      </c>
      <c r="L1184">
        <v>5.6313725453267284E-4</v>
      </c>
      <c r="M1184">
        <v>5.6186833978266249E-4</v>
      </c>
      <c r="N1184">
        <v>5.6059942503265214E-4</v>
      </c>
    </row>
    <row r="1185" spans="1:14" x14ac:dyDescent="0.35">
      <c r="A1185">
        <v>176</v>
      </c>
      <c r="B1185" t="s">
        <v>29</v>
      </c>
      <c r="C1185" s="23">
        <v>44088</v>
      </c>
      <c r="D1185">
        <v>4.4886720427071E-3</v>
      </c>
      <c r="E1185">
        <v>-8.0366069999999994E-3</v>
      </c>
      <c r="F1185">
        <v>-3.6073692912684619E-5</v>
      </c>
      <c r="G1185" s="32">
        <f t="shared" si="14"/>
        <v>2.9957527443844688E-2</v>
      </c>
      <c r="H1185">
        <v>1.4158482515359099E-2</v>
      </c>
      <c r="I1185">
        <v>-3.8284718263839588E-5</v>
      </c>
      <c r="J1185">
        <v>-4.0495743614994563E-5</v>
      </c>
      <c r="K1185">
        <v>-4.2706768966149532E-5</v>
      </c>
      <c r="L1185">
        <v>-4.4917794317304501E-5</v>
      </c>
      <c r="M1185">
        <v>-4.7128819668459476E-5</v>
      </c>
      <c r="N1185">
        <v>-4.9339845019614445E-5</v>
      </c>
    </row>
    <row r="1186" spans="1:14" x14ac:dyDescent="0.35">
      <c r="A1186">
        <v>177</v>
      </c>
      <c r="B1186" t="s">
        <v>29</v>
      </c>
      <c r="C1186" s="23">
        <v>44089</v>
      </c>
      <c r="D1186">
        <v>-3.1302769028010999E-3</v>
      </c>
      <c r="E1186">
        <v>-3.6666433999999998E-2</v>
      </c>
      <c r="F1186">
        <v>1.1477609226658912E-4</v>
      </c>
      <c r="G1186" s="32">
        <f t="shared" si="14"/>
        <v>3.0072303536111279E-2</v>
      </c>
      <c r="H1186">
        <v>1.3961747788953901E-2</v>
      </c>
      <c r="I1186">
        <v>1.1380350042060818E-4</v>
      </c>
      <c r="J1186">
        <v>1.1283090857462724E-4</v>
      </c>
      <c r="K1186">
        <v>1.1185831672864631E-4</v>
      </c>
      <c r="L1186">
        <v>1.1088572488266536E-4</v>
      </c>
      <c r="M1186">
        <v>1.0991313303668443E-4</v>
      </c>
      <c r="N1186">
        <v>1.0894054119070348E-4</v>
      </c>
    </row>
    <row r="1187" spans="1:14" x14ac:dyDescent="0.35">
      <c r="A1187">
        <v>178</v>
      </c>
      <c r="B1187" t="s">
        <v>29</v>
      </c>
      <c r="C1187" s="23">
        <v>44090</v>
      </c>
      <c r="D1187">
        <v>-5.6681563856850001E-3</v>
      </c>
      <c r="E1187">
        <v>-5.2048949999999997E-2</v>
      </c>
      <c r="F1187">
        <v>2.9502159617473005E-4</v>
      </c>
      <c r="G1187" s="32">
        <f t="shared" si="14"/>
        <v>3.0367325132286009E-2</v>
      </c>
      <c r="H1187">
        <v>1.37711927740348E-2</v>
      </c>
      <c r="I1187">
        <v>2.9447669133845101E-4</v>
      </c>
      <c r="J1187">
        <v>2.9393178650217192E-4</v>
      </c>
      <c r="K1187">
        <v>2.9338688166589288E-4</v>
      </c>
      <c r="L1187">
        <v>2.9284197682961384E-4</v>
      </c>
      <c r="M1187">
        <v>2.9229707199333481E-4</v>
      </c>
      <c r="N1187">
        <v>2.9175216715705572E-4</v>
      </c>
    </row>
    <row r="1188" spans="1:14" x14ac:dyDescent="0.35">
      <c r="A1188">
        <v>179</v>
      </c>
      <c r="B1188" t="s">
        <v>29</v>
      </c>
      <c r="C1188" s="23">
        <v>44091</v>
      </c>
      <c r="D1188">
        <v>-1.6273254028534999E-3</v>
      </c>
      <c r="E1188">
        <v>-6.2095255000000002E-2</v>
      </c>
      <c r="F1188">
        <v>1.0104918530431001E-4</v>
      </c>
      <c r="G1188" s="32">
        <f t="shared" si="14"/>
        <v>3.0468374317590318E-2</v>
      </c>
      <c r="H1188">
        <v>1.3646163186670199E-2</v>
      </c>
      <c r="I1188">
        <v>1.0068500278095471E-4</v>
      </c>
      <c r="J1188">
        <v>1.0032082025759941E-4</v>
      </c>
      <c r="K1188">
        <v>9.9956637734244106E-5</v>
      </c>
      <c r="L1188">
        <v>9.9592455210888804E-5</v>
      </c>
      <c r="M1188">
        <v>9.9228272687533503E-5</v>
      </c>
      <c r="N1188">
        <v>9.8864090164178201E-5</v>
      </c>
    </row>
    <row r="1189" spans="1:14" x14ac:dyDescent="0.35">
      <c r="A1189">
        <v>180</v>
      </c>
      <c r="B1189" t="s">
        <v>29</v>
      </c>
      <c r="C1189" s="23">
        <v>44092</v>
      </c>
      <c r="D1189">
        <v>-1.6487727018037801E-2</v>
      </c>
      <c r="E1189">
        <v>-7.0835339999999997E-2</v>
      </c>
      <c r="F1189">
        <v>1.1679137003925281E-3</v>
      </c>
      <c r="G1189" s="32">
        <f t="shared" si="14"/>
        <v>3.1636288017982843E-2</v>
      </c>
      <c r="H1189">
        <v>1.3432024812247201E-2</v>
      </c>
      <c r="I1189">
        <v>1.1675720045156005E-3</v>
      </c>
      <c r="J1189">
        <v>1.167230308638673E-3</v>
      </c>
      <c r="K1189">
        <v>1.1668886127617455E-3</v>
      </c>
      <c r="L1189">
        <v>1.1665469168848179E-3</v>
      </c>
      <c r="M1189">
        <v>1.1662052210078906E-3</v>
      </c>
      <c r="N1189">
        <v>1.1658635251309631E-3</v>
      </c>
    </row>
    <row r="1190" spans="1:14" x14ac:dyDescent="0.35">
      <c r="A1190">
        <v>181</v>
      </c>
      <c r="B1190" t="s">
        <v>29</v>
      </c>
      <c r="C1190" s="23">
        <v>44095</v>
      </c>
      <c r="D1190">
        <v>5.0338276211105999E-3</v>
      </c>
      <c r="E1190">
        <v>-2.7592032999999998E-2</v>
      </c>
      <c r="F1190">
        <v>-1.3889353858205473E-4</v>
      </c>
      <c r="G1190" s="32">
        <f t="shared" si="14"/>
        <v>3.1497394479400788E-2</v>
      </c>
      <c r="H1190">
        <v>1.38993050910314E-2</v>
      </c>
      <c r="I1190">
        <v>-1.4044719853844746E-4</v>
      </c>
      <c r="J1190">
        <v>-1.4200085849484017E-4</v>
      </c>
      <c r="K1190">
        <v>-1.435545184512329E-4</v>
      </c>
      <c r="L1190">
        <v>-1.4510817840762561E-4</v>
      </c>
      <c r="M1190">
        <v>-1.4666183836401834E-4</v>
      </c>
      <c r="N1190">
        <v>-1.4821549832041105E-4</v>
      </c>
    </row>
    <row r="1191" spans="1:14" x14ac:dyDescent="0.35">
      <c r="A1191">
        <v>182</v>
      </c>
      <c r="B1191" t="s">
        <v>29</v>
      </c>
      <c r="C1191" s="23">
        <v>44096</v>
      </c>
      <c r="D1191">
        <v>-1.41774864685284E-2</v>
      </c>
      <c r="E1191">
        <v>-9.6363539999999998E-2</v>
      </c>
      <c r="F1191">
        <v>1.3661927420688675E-3</v>
      </c>
      <c r="G1191" s="32">
        <f t="shared" si="14"/>
        <v>3.2863587221469655E-2</v>
      </c>
      <c r="H1191">
        <v>1.3736795550811099E-2</v>
      </c>
      <c r="I1191">
        <v>1.363816358122416E-3</v>
      </c>
      <c r="J1191">
        <v>1.3614399741759644E-3</v>
      </c>
      <c r="K1191">
        <v>1.3590635902295126E-3</v>
      </c>
      <c r="L1191">
        <v>1.356687206283061E-3</v>
      </c>
      <c r="M1191">
        <v>1.3543108223366095E-3</v>
      </c>
      <c r="N1191">
        <v>1.3519344383901579E-3</v>
      </c>
    </row>
    <row r="1192" spans="1:14" x14ac:dyDescent="0.35">
      <c r="A1192">
        <v>183</v>
      </c>
      <c r="B1192" t="s">
        <v>29</v>
      </c>
      <c r="C1192" s="23">
        <v>44097</v>
      </c>
      <c r="D1192">
        <v>1.4087186815293E-3</v>
      </c>
      <c r="E1192">
        <v>2.5839495000000001E-2</v>
      </c>
      <c r="F1192">
        <v>3.6400578681585964E-5</v>
      </c>
      <c r="G1192" s="32">
        <f t="shared" si="14"/>
        <v>3.2899987800151242E-2</v>
      </c>
      <c r="H1192">
        <v>1.4011993496757099E-2</v>
      </c>
      <c r="I1192">
        <v>3.2215050764141293E-5</v>
      </c>
      <c r="J1192">
        <v>2.8029522846696614E-5</v>
      </c>
      <c r="K1192">
        <v>2.3843994929251943E-5</v>
      </c>
      <c r="L1192">
        <v>1.9658467011807268E-5</v>
      </c>
      <c r="M1192">
        <v>1.5472939094362596E-5</v>
      </c>
      <c r="N1192">
        <v>1.1287411176917918E-5</v>
      </c>
    </row>
    <row r="1193" spans="1:14" x14ac:dyDescent="0.35">
      <c r="A1193">
        <v>184</v>
      </c>
      <c r="B1193" t="s">
        <v>29</v>
      </c>
      <c r="C1193" s="23">
        <v>44098</v>
      </c>
      <c r="D1193">
        <v>1.04230699291619E-2</v>
      </c>
      <c r="E1193">
        <v>-5.3549718000000003E-2</v>
      </c>
      <c r="F1193">
        <v>-5.5815245656571386E-4</v>
      </c>
      <c r="G1193" s="32">
        <f t="shared" si="14"/>
        <v>3.2341835343585527E-2</v>
      </c>
      <c r="H1193">
        <v>1.37887446023488E-2</v>
      </c>
      <c r="I1193">
        <v>-5.6085853117445285E-4</v>
      </c>
      <c r="J1193">
        <v>-5.6356460578319174E-4</v>
      </c>
      <c r="K1193">
        <v>-5.6627068039193074E-4</v>
      </c>
      <c r="L1193">
        <v>-5.6897675500066974E-4</v>
      </c>
      <c r="M1193">
        <v>-5.7168282960940863E-4</v>
      </c>
      <c r="N1193">
        <v>-5.7438890421814763E-4</v>
      </c>
    </row>
    <row r="1194" spans="1:14" x14ac:dyDescent="0.35">
      <c r="A1194">
        <v>185</v>
      </c>
      <c r="B1194" t="s">
        <v>29</v>
      </c>
      <c r="C1194" s="23">
        <v>44099</v>
      </c>
      <c r="D1194">
        <v>1.2192183799508099E-2</v>
      </c>
      <c r="E1194">
        <v>-9.4043379999999996E-2</v>
      </c>
      <c r="F1194">
        <v>-1.1465941925235784E-3</v>
      </c>
      <c r="G1194" s="32">
        <f t="shared" si="14"/>
        <v>3.119524115106195E-2</v>
      </c>
      <c r="H1194">
        <v>1.38511114724284E-2</v>
      </c>
      <c r="I1194">
        <v>-1.1479671527904651E-3</v>
      </c>
      <c r="J1194">
        <v>-1.1493401130573519E-3</v>
      </c>
      <c r="K1194">
        <v>-1.1507130733242386E-3</v>
      </c>
      <c r="L1194">
        <v>-1.1520860335911254E-3</v>
      </c>
      <c r="M1194">
        <v>-1.1534589938580122E-3</v>
      </c>
      <c r="N1194">
        <v>-1.1548319541248989E-3</v>
      </c>
    </row>
    <row r="1195" spans="1:14" x14ac:dyDescent="0.35">
      <c r="A1195">
        <v>186</v>
      </c>
      <c r="B1195" t="s">
        <v>29</v>
      </c>
      <c r="C1195" s="23">
        <v>44102</v>
      </c>
      <c r="D1195">
        <v>-2.4719824311152001E-3</v>
      </c>
      <c r="E1195">
        <v>-9.9220130000000004E-2</v>
      </c>
      <c r="F1195">
        <v>2.4527041042897278E-4</v>
      </c>
      <c r="G1195" s="32">
        <f t="shared" si="14"/>
        <v>3.1440511561490921E-2</v>
      </c>
      <c r="H1195">
        <v>1.39944476196172E-2</v>
      </c>
      <c r="I1195">
        <v>2.4512849744860222E-4</v>
      </c>
      <c r="J1195">
        <v>2.4498658446823167E-4</v>
      </c>
      <c r="K1195">
        <v>2.4484467148786111E-4</v>
      </c>
      <c r="L1195">
        <v>2.4470275850749061E-4</v>
      </c>
      <c r="M1195">
        <v>2.4456084552712006E-4</v>
      </c>
      <c r="N1195">
        <v>2.444189325467495E-4</v>
      </c>
    </row>
    <row r="1196" spans="1:14" x14ac:dyDescent="0.35">
      <c r="A1196">
        <v>187</v>
      </c>
      <c r="B1196" t="s">
        <v>29</v>
      </c>
      <c r="C1196" s="23">
        <v>44103</v>
      </c>
      <c r="D1196">
        <v>3.7526070591342E-3</v>
      </c>
      <c r="E1196">
        <v>-7.0122110000000001E-2</v>
      </c>
      <c r="F1196">
        <v>-2.6314071696966298E-4</v>
      </c>
      <c r="G1196" s="32">
        <f t="shared" si="14"/>
        <v>3.1177370844521258E-2</v>
      </c>
      <c r="H1196">
        <v>1.37843958880702E-2</v>
      </c>
      <c r="I1196">
        <v>-2.6408699825368714E-4</v>
      </c>
      <c r="J1196">
        <v>-2.6503327953771125E-4</v>
      </c>
      <c r="K1196">
        <v>-2.6597956082173541E-4</v>
      </c>
      <c r="L1196">
        <v>-2.6692584210575952E-4</v>
      </c>
      <c r="M1196">
        <v>-2.6787212338978369E-4</v>
      </c>
      <c r="N1196">
        <v>-2.688184046738078E-4</v>
      </c>
    </row>
    <row r="1197" spans="1:14" x14ac:dyDescent="0.35">
      <c r="A1197">
        <v>188</v>
      </c>
      <c r="B1197" t="s">
        <v>29</v>
      </c>
      <c r="C1197" s="23">
        <v>44104</v>
      </c>
      <c r="D1197">
        <v>3.2678614927139E-3</v>
      </c>
      <c r="E1197">
        <v>-9.8735909999999996E-2</v>
      </c>
      <c r="F1197">
        <v>-3.2265529011345505E-4</v>
      </c>
      <c r="G1197" s="32">
        <f t="shared" si="14"/>
        <v>3.0854715554407802E-2</v>
      </c>
      <c r="H1197">
        <v>1.35863843399818E-2</v>
      </c>
      <c r="I1197">
        <v>-3.2368534037772675E-4</v>
      </c>
      <c r="J1197">
        <v>-3.2471539064199846E-4</v>
      </c>
      <c r="K1197">
        <v>-3.2574544090627021E-4</v>
      </c>
      <c r="L1197">
        <v>-3.2677549117054192E-4</v>
      </c>
      <c r="M1197">
        <v>-3.2780554143481362E-4</v>
      </c>
      <c r="N1197">
        <v>-3.2883559169908532E-4</v>
      </c>
    </row>
    <row r="1198" spans="1:14" x14ac:dyDescent="0.35">
      <c r="A1198">
        <v>189</v>
      </c>
      <c r="B1198" t="s">
        <v>29</v>
      </c>
      <c r="C1198" s="23">
        <v>44105</v>
      </c>
      <c r="D1198">
        <v>-5.9756014416516004E-3</v>
      </c>
      <c r="E1198">
        <v>-8.5199005999999994E-2</v>
      </c>
      <c r="F1198">
        <v>5.0911530249416002E-4</v>
      </c>
      <c r="G1198" s="32">
        <f t="shared" si="14"/>
        <v>3.1363830856901961E-2</v>
      </c>
      <c r="H1198">
        <v>1.33817952464696E-2</v>
      </c>
      <c r="I1198">
        <v>5.0868986331420365E-4</v>
      </c>
      <c r="J1198">
        <v>5.0826442413424728E-4</v>
      </c>
      <c r="K1198">
        <v>5.0783898495429091E-4</v>
      </c>
      <c r="L1198">
        <v>5.0741354577433443E-4</v>
      </c>
      <c r="M1198">
        <v>5.0698810659437806E-4</v>
      </c>
      <c r="N1198">
        <v>5.065626674144217E-4</v>
      </c>
    </row>
    <row r="1199" spans="1:14" x14ac:dyDescent="0.35">
      <c r="A1199">
        <v>190</v>
      </c>
      <c r="B1199" t="s">
        <v>29</v>
      </c>
      <c r="C1199" s="23">
        <v>44106</v>
      </c>
      <c r="D1199">
        <v>1.1466551801440201E-2</v>
      </c>
      <c r="E1199">
        <v>-1.6801323999999999E-2</v>
      </c>
      <c r="F1199">
        <v>-1.9265324901667687E-4</v>
      </c>
      <c r="G1199" s="32">
        <f t="shared" si="14"/>
        <v>3.1171177607885285E-2</v>
      </c>
      <c r="H1199">
        <v>1.32644022997121E-2</v>
      </c>
      <c r="I1199">
        <v>-1.950628372721224E-4</v>
      </c>
      <c r="J1199">
        <v>-1.9747242552756796E-4</v>
      </c>
      <c r="K1199">
        <v>-1.9988201378301349E-4</v>
      </c>
      <c r="L1199">
        <v>-2.0229160203845902E-4</v>
      </c>
      <c r="M1199">
        <v>-2.0470119029390458E-4</v>
      </c>
      <c r="N1199">
        <v>-2.0711077854935011E-4</v>
      </c>
    </row>
    <row r="1200" spans="1:14" x14ac:dyDescent="0.35">
      <c r="A1200">
        <v>191</v>
      </c>
      <c r="B1200" t="s">
        <v>29</v>
      </c>
      <c r="C1200" s="23">
        <v>44109</v>
      </c>
      <c r="D1200">
        <v>-8.2957880755509996E-3</v>
      </c>
      <c r="E1200">
        <v>-4.9193133E-2</v>
      </c>
      <c r="F1200">
        <v>4.0809580339227851E-4</v>
      </c>
      <c r="G1200" s="32">
        <f t="shared" si="14"/>
        <v>3.1579273411277566E-2</v>
      </c>
      <c r="H1200">
        <v>1.3344017811564701E-2</v>
      </c>
      <c r="I1200">
        <v>4.0695251600346763E-4</v>
      </c>
      <c r="J1200">
        <v>4.0580922861465675E-4</v>
      </c>
      <c r="K1200">
        <v>4.0466594122584581E-4</v>
      </c>
      <c r="L1200">
        <v>4.0352265383703493E-4</v>
      </c>
      <c r="M1200">
        <v>4.0237936644822405E-4</v>
      </c>
      <c r="N1200">
        <v>4.0123607905941317E-4</v>
      </c>
    </row>
    <row r="1201" spans="1:14" x14ac:dyDescent="0.35">
      <c r="A1201">
        <v>192</v>
      </c>
      <c r="B1201" t="s">
        <v>29</v>
      </c>
      <c r="C1201" s="23">
        <v>44110</v>
      </c>
      <c r="D1201">
        <v>1.13183767337475E-2</v>
      </c>
      <c r="E1201">
        <v>-2.1826775999999999E-2</v>
      </c>
      <c r="F1201">
        <v>-2.470436707599225E-4</v>
      </c>
      <c r="G1201" s="32">
        <f t="shared" si="14"/>
        <v>3.1332229740517643E-2</v>
      </c>
      <c r="H1201">
        <v>1.3319707628096301E-2</v>
      </c>
      <c r="I1201">
        <v>-2.4801118804349285E-4</v>
      </c>
      <c r="J1201">
        <v>-2.4897870532706321E-4</v>
      </c>
      <c r="K1201">
        <v>-2.4994622261063356E-4</v>
      </c>
      <c r="L1201">
        <v>-2.5091373989420392E-4</v>
      </c>
      <c r="M1201">
        <v>-2.5188125717777427E-4</v>
      </c>
      <c r="N1201">
        <v>-2.5284877446134463E-4</v>
      </c>
    </row>
    <row r="1202" spans="1:14" x14ac:dyDescent="0.35">
      <c r="A1202">
        <v>193</v>
      </c>
      <c r="B1202" t="s">
        <v>29</v>
      </c>
      <c r="C1202" s="23">
        <v>44111</v>
      </c>
      <c r="D1202">
        <v>6.3704637859761997E-3</v>
      </c>
      <c r="E1202">
        <v>-2.3035783000000001E-2</v>
      </c>
      <c r="F1202">
        <v>-1.4674862342589325E-4</v>
      </c>
      <c r="G1202" s="32">
        <f t="shared" ref="G1202:G1261" si="15">G1201+F1202</f>
        <v>3.118548111709175E-2</v>
      </c>
      <c r="H1202">
        <v>1.3388280197933099E-2</v>
      </c>
      <c r="I1202">
        <v>-1.4678732242350527E-4</v>
      </c>
      <c r="J1202">
        <v>-1.4682602142111729E-4</v>
      </c>
      <c r="K1202">
        <v>-1.4686472041872931E-4</v>
      </c>
      <c r="L1202">
        <v>-1.4690341941634135E-4</v>
      </c>
      <c r="M1202">
        <v>-1.4694211841395337E-4</v>
      </c>
      <c r="N1202">
        <v>-1.4698081741156539E-4</v>
      </c>
    </row>
    <row r="1203" spans="1:14" x14ac:dyDescent="0.35">
      <c r="A1203">
        <v>194</v>
      </c>
      <c r="B1203" t="s">
        <v>29</v>
      </c>
      <c r="C1203" s="23">
        <v>44112</v>
      </c>
      <c r="D1203">
        <v>7.4197595356362998E-3</v>
      </c>
      <c r="E1203">
        <v>-1.6763343999999999E-2</v>
      </c>
      <c r="F1203">
        <v>-1.2437998451359915E-4</v>
      </c>
      <c r="G1203" s="32">
        <f t="shared" si="15"/>
        <v>3.1061101132578151E-2</v>
      </c>
      <c r="H1203">
        <v>1.32444673591394E-2</v>
      </c>
      <c r="I1203">
        <v>-1.2459490767676806E-4</v>
      </c>
      <c r="J1203">
        <v>-1.24809830839937E-4</v>
      </c>
      <c r="K1203">
        <v>-1.2502475400310591E-4</v>
      </c>
      <c r="L1203">
        <v>-1.2523967716627485E-4</v>
      </c>
      <c r="M1203">
        <v>-1.2545460032944376E-4</v>
      </c>
      <c r="N1203">
        <v>-1.2566952349261267E-4</v>
      </c>
    </row>
    <row r="1204" spans="1:14" x14ac:dyDescent="0.35">
      <c r="A1204">
        <v>195</v>
      </c>
      <c r="B1204" t="s">
        <v>29</v>
      </c>
      <c r="C1204" s="23">
        <v>44113</v>
      </c>
      <c r="D1204">
        <v>1.23310571408902E-2</v>
      </c>
      <c r="E1204">
        <v>-5.7413134999999997E-2</v>
      </c>
      <c r="F1204">
        <v>-7.0796464491805977E-4</v>
      </c>
      <c r="G1204" s="32">
        <f t="shared" si="15"/>
        <v>3.0353136487660092E-2</v>
      </c>
      <c r="H1204">
        <v>1.3127184819281301E-2</v>
      </c>
      <c r="I1204">
        <v>-7.0943299890378203E-4</v>
      </c>
      <c r="J1204">
        <v>-7.1090135288950419E-4</v>
      </c>
      <c r="K1204">
        <v>-7.1236970687522645E-4</v>
      </c>
      <c r="L1204">
        <v>-7.1383806086094872E-4</v>
      </c>
      <c r="M1204">
        <v>-7.1530641484667098E-4</v>
      </c>
      <c r="N1204">
        <v>-7.1677476883239325E-4</v>
      </c>
    </row>
    <row r="1205" spans="1:14" x14ac:dyDescent="0.35">
      <c r="A1205">
        <v>196</v>
      </c>
      <c r="B1205" t="s">
        <v>29</v>
      </c>
      <c r="C1205" s="23">
        <v>44116</v>
      </c>
      <c r="D1205">
        <v>-5.6704981231503002E-3</v>
      </c>
      <c r="E1205">
        <v>-0.10033747</v>
      </c>
      <c r="F1205">
        <v>5.6896342447280393E-4</v>
      </c>
      <c r="G1205" s="32">
        <f t="shared" si="15"/>
        <v>3.0922099912132895E-2</v>
      </c>
      <c r="H1205">
        <v>1.32073261863542E-2</v>
      </c>
      <c r="I1205">
        <v>5.6744046345003768E-4</v>
      </c>
      <c r="J1205">
        <v>5.6591750242727132E-4</v>
      </c>
      <c r="K1205">
        <v>5.6439454140450507E-4</v>
      </c>
      <c r="L1205">
        <v>5.6287158038173871E-4</v>
      </c>
      <c r="M1205">
        <v>5.6134861935897245E-4</v>
      </c>
      <c r="N1205">
        <v>5.598256583362062E-4</v>
      </c>
    </row>
    <row r="1206" spans="1:14" x14ac:dyDescent="0.35">
      <c r="A1206">
        <v>197</v>
      </c>
      <c r="B1206" t="s">
        <v>29</v>
      </c>
      <c r="C1206" s="23">
        <v>44117</v>
      </c>
      <c r="D1206">
        <v>-4.8827763670219997E-3</v>
      </c>
      <c r="E1206">
        <v>-0.108185686</v>
      </c>
      <c r="F1206">
        <v>5.2824651168608533E-4</v>
      </c>
      <c r="G1206" s="32">
        <f t="shared" si="15"/>
        <v>3.1450346423818977E-2</v>
      </c>
      <c r="H1206">
        <v>1.3113865476723699E-2</v>
      </c>
      <c r="I1206">
        <v>5.2793818188187115E-4</v>
      </c>
      <c r="J1206">
        <v>5.2762985207765686E-4</v>
      </c>
      <c r="K1206">
        <v>5.2732152227344268E-4</v>
      </c>
      <c r="L1206">
        <v>5.2701319246922849E-4</v>
      </c>
      <c r="M1206">
        <v>5.267048626650142E-4</v>
      </c>
      <c r="N1206">
        <v>5.2639653286080002E-4</v>
      </c>
    </row>
    <row r="1207" spans="1:14" x14ac:dyDescent="0.35">
      <c r="A1207">
        <v>198</v>
      </c>
      <c r="B1207" t="s">
        <v>29</v>
      </c>
      <c r="C1207" s="23">
        <v>44118</v>
      </c>
      <c r="D1207">
        <v>-1.1494358422604999E-3</v>
      </c>
      <c r="E1207">
        <v>-0.11620646</v>
      </c>
      <c r="F1207">
        <v>1.3357186988260017E-4</v>
      </c>
      <c r="G1207" s="32">
        <f t="shared" si="15"/>
        <v>3.1583918293701579E-2</v>
      </c>
      <c r="H1207">
        <v>1.29886770749573E-2</v>
      </c>
      <c r="I1207">
        <v>1.3324255252503299E-4</v>
      </c>
      <c r="J1207">
        <v>1.3291323516746579E-4</v>
      </c>
      <c r="K1207">
        <v>1.3258391780989861E-4</v>
      </c>
      <c r="L1207">
        <v>1.3225460045233144E-4</v>
      </c>
      <c r="M1207">
        <v>1.3192528309476426E-4</v>
      </c>
      <c r="N1207">
        <v>1.3159596573719706E-4</v>
      </c>
    </row>
    <row r="1208" spans="1:14" x14ac:dyDescent="0.35">
      <c r="A1208">
        <v>199</v>
      </c>
      <c r="B1208" t="s">
        <v>29</v>
      </c>
      <c r="C1208" s="23">
        <v>44119</v>
      </c>
      <c r="D1208">
        <v>-2.8174259158789999E-3</v>
      </c>
      <c r="E1208">
        <v>-0.12985815000000001</v>
      </c>
      <c r="F1208">
        <v>3.6586572023591929E-4</v>
      </c>
      <c r="G1208" s="32">
        <f t="shared" si="15"/>
        <v>3.1949784013937499E-2</v>
      </c>
      <c r="H1208">
        <v>1.27860697421836E-2</v>
      </c>
      <c r="I1208">
        <v>3.6529429951412347E-4</v>
      </c>
      <c r="J1208">
        <v>3.6472287879232764E-4</v>
      </c>
      <c r="K1208">
        <v>3.6415145807053187E-4</v>
      </c>
      <c r="L1208">
        <v>3.6358003734873604E-4</v>
      </c>
      <c r="M1208">
        <v>3.6300861662694021E-4</v>
      </c>
      <c r="N1208">
        <v>3.6243719590514439E-4</v>
      </c>
    </row>
    <row r="1209" spans="1:14" x14ac:dyDescent="0.35">
      <c r="A1209">
        <v>200</v>
      </c>
      <c r="B1209" t="s">
        <v>29</v>
      </c>
      <c r="C1209" s="23">
        <v>44120</v>
      </c>
      <c r="D1209">
        <v>-8.5491860850212993E-3</v>
      </c>
      <c r="E1209">
        <v>-0.13866185</v>
      </c>
      <c r="F1209">
        <v>1.1854459287794607E-3</v>
      </c>
      <c r="G1209" s="32">
        <f t="shared" si="15"/>
        <v>3.3135229942716962E-2</v>
      </c>
      <c r="H1209">
        <v>1.2609703943967E-2</v>
      </c>
      <c r="I1209">
        <v>1.1850489629812624E-3</v>
      </c>
      <c r="J1209">
        <v>1.1846519971830643E-3</v>
      </c>
      <c r="K1209">
        <v>1.184255031384866E-3</v>
      </c>
      <c r="L1209">
        <v>1.1838580655866679E-3</v>
      </c>
      <c r="M1209">
        <v>1.1834610997884696E-3</v>
      </c>
      <c r="N1209">
        <v>1.1830641339902715E-3</v>
      </c>
    </row>
    <row r="1210" spans="1:14" x14ac:dyDescent="0.35">
      <c r="A1210">
        <v>201</v>
      </c>
      <c r="B1210" t="s">
        <v>29</v>
      </c>
      <c r="C1210" s="23">
        <v>44123</v>
      </c>
      <c r="D1210">
        <v>2.0801947059479E-3</v>
      </c>
      <c r="E1210">
        <v>-0.13227378000000001</v>
      </c>
      <c r="F1210">
        <v>-2.7515521339565636E-4</v>
      </c>
      <c r="G1210" s="32">
        <f t="shared" si="15"/>
        <v>3.2860074729321308E-2</v>
      </c>
      <c r="H1210">
        <v>1.2607687279316999E-2</v>
      </c>
      <c r="I1210">
        <v>-2.753937662769962E-4</v>
      </c>
      <c r="J1210">
        <v>-2.7563231915833609E-4</v>
      </c>
      <c r="K1210">
        <v>-2.7587087203967593E-4</v>
      </c>
      <c r="L1210">
        <v>-2.7610942492101582E-4</v>
      </c>
      <c r="M1210">
        <v>-2.7634797780235566E-4</v>
      </c>
      <c r="N1210">
        <v>-2.7658653068369555E-4</v>
      </c>
    </row>
    <row r="1211" spans="1:14" x14ac:dyDescent="0.35">
      <c r="A1211">
        <v>202</v>
      </c>
      <c r="B1211" t="s">
        <v>29</v>
      </c>
      <c r="C1211" s="23">
        <v>44124</v>
      </c>
      <c r="D1211">
        <v>5.5485943472123122E-5</v>
      </c>
      <c r="E1211">
        <v>-0.14565771999999999</v>
      </c>
      <c r="F1211">
        <v>-8.0819559173032581E-6</v>
      </c>
      <c r="G1211" s="32">
        <f t="shared" si="15"/>
        <v>3.2851992773404004E-2</v>
      </c>
      <c r="H1211">
        <v>1.2404209955218799E-2</v>
      </c>
      <c r="I1211">
        <v>-8.6730381143982611E-6</v>
      </c>
      <c r="J1211">
        <v>-9.2641203114932642E-6</v>
      </c>
      <c r="K1211">
        <v>-9.8552025085882672E-6</v>
      </c>
      <c r="L1211">
        <v>-1.0446284705683272E-5</v>
      </c>
      <c r="M1211">
        <v>-1.1037366902778273E-5</v>
      </c>
      <c r="N1211">
        <v>-1.1628449099873278E-5</v>
      </c>
    </row>
    <row r="1212" spans="1:14" x14ac:dyDescent="0.35">
      <c r="A1212">
        <v>203</v>
      </c>
      <c r="B1212" t="s">
        <v>29</v>
      </c>
      <c r="C1212" s="23">
        <v>44125</v>
      </c>
      <c r="D1212">
        <v>3.7794921771747E-3</v>
      </c>
      <c r="E1212">
        <v>-0.15330079999999999</v>
      </c>
      <c r="F1212">
        <v>-5.7939920035751907E-4</v>
      </c>
      <c r="G1212" s="32">
        <f t="shared" si="15"/>
        <v>3.2272593573046487E-2</v>
      </c>
      <c r="H1212">
        <v>1.22000554158045E-2</v>
      </c>
      <c r="I1212">
        <v>-5.7978802168220348E-4</v>
      </c>
      <c r="J1212">
        <v>-5.8017684300688788E-4</v>
      </c>
      <c r="K1212">
        <v>-5.8056566433157229E-4</v>
      </c>
      <c r="L1212">
        <v>-5.8095448565625659E-4</v>
      </c>
      <c r="M1212">
        <v>-5.81343306980941E-4</v>
      </c>
      <c r="N1212">
        <v>-5.8173212830562541E-4</v>
      </c>
    </row>
    <row r="1213" spans="1:14" x14ac:dyDescent="0.35">
      <c r="A1213">
        <v>204</v>
      </c>
      <c r="B1213" t="s">
        <v>29</v>
      </c>
      <c r="C1213" s="23">
        <v>44126</v>
      </c>
      <c r="D1213">
        <v>5.6977183294150001E-4</v>
      </c>
      <c r="E1213">
        <v>-0.16794640999999999</v>
      </c>
      <c r="F1213">
        <v>-9.5691135661764946E-5</v>
      </c>
      <c r="G1213" s="32">
        <f t="shared" si="15"/>
        <v>3.2176902437384726E-2</v>
      </c>
      <c r="H1213">
        <v>1.20200243811397E-2</v>
      </c>
      <c r="I1213">
        <v>-9.6355708791922732E-5</v>
      </c>
      <c r="J1213">
        <v>-9.7020281922080532E-5</v>
      </c>
      <c r="K1213">
        <v>-9.7684855052238318E-5</v>
      </c>
      <c r="L1213">
        <v>-9.8349428182396105E-5</v>
      </c>
      <c r="M1213">
        <v>-9.9014001312553904E-5</v>
      </c>
      <c r="N1213">
        <v>-9.9678574442711691E-5</v>
      </c>
    </row>
    <row r="1214" spans="1:14" x14ac:dyDescent="0.35">
      <c r="A1214">
        <v>205</v>
      </c>
      <c r="B1214" t="s">
        <v>29</v>
      </c>
      <c r="C1214" s="23">
        <v>44127</v>
      </c>
      <c r="D1214">
        <v>-1.34889278038084E-2</v>
      </c>
      <c r="E1214">
        <v>-0.17222725999999999</v>
      </c>
      <c r="F1214">
        <v>2.3231611225329367E-3</v>
      </c>
      <c r="G1214" s="32">
        <f t="shared" si="15"/>
        <v>3.4500063559917665E-2</v>
      </c>
      <c r="H1214">
        <v>1.18214338026987E-2</v>
      </c>
      <c r="I1214">
        <v>2.3228791380675144E-3</v>
      </c>
      <c r="J1214">
        <v>2.322597153602092E-3</v>
      </c>
      <c r="K1214">
        <v>2.3223151691366697E-3</v>
      </c>
      <c r="L1214">
        <v>2.3220331846712473E-3</v>
      </c>
      <c r="M1214">
        <v>2.3217512002058254E-3</v>
      </c>
      <c r="N1214">
        <v>2.321469215740403E-3</v>
      </c>
    </row>
    <row r="1215" spans="1:14" x14ac:dyDescent="0.35">
      <c r="A1215">
        <v>206</v>
      </c>
      <c r="B1215" t="s">
        <v>29</v>
      </c>
      <c r="C1215" s="23">
        <v>44130</v>
      </c>
      <c r="D1215">
        <v>-2.4241926191075E-3</v>
      </c>
      <c r="E1215">
        <v>-0.15652598000000001</v>
      </c>
      <c r="F1215">
        <v>3.7944913609670326E-4</v>
      </c>
      <c r="G1215" s="32">
        <f t="shared" si="15"/>
        <v>3.4879512696014366E-2</v>
      </c>
      <c r="H1215">
        <v>1.20604999053815E-2</v>
      </c>
      <c r="I1215">
        <v>3.7869761618083546E-4</v>
      </c>
      <c r="J1215">
        <v>3.7794609626496772E-4</v>
      </c>
      <c r="K1215">
        <v>3.7719457634909992E-4</v>
      </c>
      <c r="L1215">
        <v>3.7644305643323212E-4</v>
      </c>
      <c r="M1215">
        <v>3.7569153651736438E-4</v>
      </c>
      <c r="N1215">
        <v>3.7494001660149658E-4</v>
      </c>
    </row>
    <row r="1216" spans="1:14" x14ac:dyDescent="0.35">
      <c r="A1216">
        <v>207</v>
      </c>
      <c r="B1216" t="s">
        <v>29</v>
      </c>
      <c r="C1216" s="23">
        <v>44131</v>
      </c>
      <c r="D1216">
        <v>-2.81010624550137E-2</v>
      </c>
      <c r="E1216">
        <v>-0.17634468</v>
      </c>
      <c r="F1216">
        <v>4.9554728046328801E-3</v>
      </c>
      <c r="G1216" s="32">
        <f t="shared" si="15"/>
        <v>3.9834985500647249E-2</v>
      </c>
      <c r="H1216">
        <v>1.18777493401177E-2</v>
      </c>
      <c r="I1216">
        <v>4.9545901435250738E-3</v>
      </c>
      <c r="J1216">
        <v>4.9537074824172675E-3</v>
      </c>
      <c r="K1216">
        <v>4.952824821309462E-3</v>
      </c>
      <c r="L1216">
        <v>4.9519421602016557E-3</v>
      </c>
      <c r="M1216">
        <v>4.9510594990938494E-3</v>
      </c>
      <c r="N1216">
        <v>4.9501768379860431E-3</v>
      </c>
    </row>
    <row r="1217" spans="1:14" x14ac:dyDescent="0.35">
      <c r="A1217">
        <v>208</v>
      </c>
      <c r="B1217" t="s">
        <v>29</v>
      </c>
      <c r="C1217" s="23">
        <v>44132</v>
      </c>
      <c r="D1217">
        <v>8.4247920988137995E-3</v>
      </c>
      <c r="E1217">
        <v>0.15550940999999999</v>
      </c>
      <c r="F1217">
        <v>1.310134467940729E-3</v>
      </c>
      <c r="G1217" s="32">
        <f t="shared" si="15"/>
        <v>4.1145119968587981E-2</v>
      </c>
      <c r="H1217">
        <v>1.3317413543103101E-2</v>
      </c>
      <c r="I1217">
        <v>1.2976031551124119E-3</v>
      </c>
      <c r="J1217">
        <v>1.2850718422840945E-3</v>
      </c>
      <c r="K1217">
        <v>1.2725405294557774E-3</v>
      </c>
      <c r="L1217">
        <v>1.26000921662746E-3</v>
      </c>
      <c r="M1217">
        <v>1.2474779037991428E-3</v>
      </c>
      <c r="N1217">
        <v>1.2349465909708257E-3</v>
      </c>
    </row>
    <row r="1218" spans="1:14" x14ac:dyDescent="0.35">
      <c r="A1218">
        <v>209</v>
      </c>
      <c r="B1218" t="s">
        <v>29</v>
      </c>
      <c r="C1218" s="23">
        <v>44133</v>
      </c>
      <c r="D1218">
        <v>-8.0703210647769998E-3</v>
      </c>
      <c r="E1218">
        <v>-0.17218812999999999</v>
      </c>
      <c r="F1218">
        <v>1.3896135168652371E-3</v>
      </c>
      <c r="G1218" s="32">
        <f t="shared" si="15"/>
        <v>4.2534733485453217E-2</v>
      </c>
      <c r="H1218">
        <v>1.3296014950202901E-2</v>
      </c>
      <c r="I1218">
        <v>1.3779781141271394E-3</v>
      </c>
      <c r="J1218">
        <v>1.3663427113890418E-3</v>
      </c>
      <c r="K1218">
        <v>1.3547073086509441E-3</v>
      </c>
      <c r="L1218">
        <v>1.3430719059128466E-3</v>
      </c>
      <c r="M1218">
        <v>1.3314365031747489E-3</v>
      </c>
      <c r="N1218">
        <v>1.3198011004366514E-3</v>
      </c>
    </row>
    <row r="1219" spans="1:14" x14ac:dyDescent="0.35">
      <c r="A1219">
        <v>210</v>
      </c>
      <c r="B1219" t="s">
        <v>29</v>
      </c>
      <c r="C1219" s="23">
        <v>44134</v>
      </c>
      <c r="D1219">
        <v>7.8257734077897996E-3</v>
      </c>
      <c r="E1219">
        <v>-2.3043640000000001E-2</v>
      </c>
      <c r="F1219">
        <v>-1.8033430480125396E-4</v>
      </c>
      <c r="G1219" s="32">
        <f t="shared" si="15"/>
        <v>4.2354399180651967E-2</v>
      </c>
      <c r="H1219">
        <v>1.3221777222448701E-2</v>
      </c>
      <c r="I1219">
        <v>-1.8562935193311894E-4</v>
      </c>
      <c r="J1219">
        <v>-1.9092439906498392E-4</v>
      </c>
      <c r="K1219">
        <v>-1.9621944619684886E-4</v>
      </c>
      <c r="L1219">
        <v>-2.0151449332871384E-4</v>
      </c>
      <c r="M1219">
        <v>-2.0680954046057882E-4</v>
      </c>
      <c r="N1219">
        <v>-2.1210458759244379E-4</v>
      </c>
    </row>
    <row r="1220" spans="1:14" x14ac:dyDescent="0.35">
      <c r="A1220">
        <v>211</v>
      </c>
      <c r="B1220" t="s">
        <v>29</v>
      </c>
      <c r="C1220" s="23">
        <v>44137</v>
      </c>
      <c r="D1220">
        <v>1.32564734724829E-2</v>
      </c>
      <c r="E1220">
        <v>-0.15772459999999999</v>
      </c>
      <c r="F1220">
        <v>-2.09087202902415E-3</v>
      </c>
      <c r="G1220" s="32">
        <f t="shared" si="15"/>
        <v>4.0263527151627815E-2</v>
      </c>
      <c r="H1220">
        <v>1.3173861081745101E-2</v>
      </c>
      <c r="I1220">
        <v>-2.0957051018594039E-3</v>
      </c>
      <c r="J1220">
        <v>-2.1005381746946575E-3</v>
      </c>
      <c r="K1220">
        <v>-2.1053712475299115E-3</v>
      </c>
      <c r="L1220">
        <v>-2.1102043203651655E-3</v>
      </c>
      <c r="M1220">
        <v>-2.115037393200419E-3</v>
      </c>
      <c r="N1220">
        <v>-2.119870466035673E-3</v>
      </c>
    </row>
    <row r="1221" spans="1:14" x14ac:dyDescent="0.35">
      <c r="A1221">
        <v>212</v>
      </c>
      <c r="B1221" t="s">
        <v>29</v>
      </c>
      <c r="C1221" s="23">
        <v>44138</v>
      </c>
      <c r="D1221">
        <v>1.54253807541938E-2</v>
      </c>
      <c r="E1221">
        <v>-0.14692748</v>
      </c>
      <c r="F1221">
        <v>-2.2664122594614837E-3</v>
      </c>
      <c r="G1221" s="32">
        <f t="shared" si="15"/>
        <v>3.7997114892166332E-2</v>
      </c>
      <c r="H1221">
        <v>1.33939699228854E-2</v>
      </c>
      <c r="I1221">
        <v>-2.2668860700261208E-3</v>
      </c>
      <c r="J1221">
        <v>-2.2673598805907575E-3</v>
      </c>
      <c r="K1221">
        <v>-2.2678336911553946E-3</v>
      </c>
      <c r="L1221">
        <v>-2.2683075017200312E-3</v>
      </c>
      <c r="M1221">
        <v>-2.2687813122846683E-3</v>
      </c>
      <c r="N1221">
        <v>-2.2692551228493049E-3</v>
      </c>
    </row>
    <row r="1222" spans="1:14" x14ac:dyDescent="0.35">
      <c r="A1222">
        <v>213</v>
      </c>
      <c r="B1222" t="s">
        <v>29</v>
      </c>
      <c r="C1222" s="23">
        <v>44139</v>
      </c>
      <c r="D1222">
        <v>1.39686750235677E-2</v>
      </c>
      <c r="E1222">
        <v>-0.13169868000000001</v>
      </c>
      <c r="F1222">
        <v>-1.8396561025212682E-3</v>
      </c>
      <c r="G1222" s="32">
        <f t="shared" si="15"/>
        <v>3.6157458789645061E-2</v>
      </c>
      <c r="H1222">
        <v>1.3735777443073799E-2</v>
      </c>
      <c r="I1222">
        <v>-1.8403088804437447E-3</v>
      </c>
      <c r="J1222">
        <v>-1.840961658366221E-3</v>
      </c>
      <c r="K1222">
        <v>-1.8416144362886975E-3</v>
      </c>
      <c r="L1222">
        <v>-1.8422672142111738E-3</v>
      </c>
      <c r="M1222">
        <v>-1.8429199921336503E-3</v>
      </c>
      <c r="N1222">
        <v>-1.8435727700561269E-3</v>
      </c>
    </row>
    <row r="1223" spans="1:14" x14ac:dyDescent="0.35">
      <c r="A1223">
        <v>214</v>
      </c>
      <c r="B1223" t="s">
        <v>29</v>
      </c>
      <c r="C1223" s="23">
        <v>44140</v>
      </c>
      <c r="D1223">
        <v>-7.7301190840649997E-4</v>
      </c>
      <c r="E1223">
        <v>-0.115769364</v>
      </c>
      <c r="F1223">
        <v>8.9491096954082147E-5</v>
      </c>
      <c r="G1223" s="32">
        <f t="shared" si="15"/>
        <v>3.6246949886599142E-2</v>
      </c>
      <c r="H1223">
        <v>1.39510774977347E-2</v>
      </c>
      <c r="I1223">
        <v>8.8881740175638207E-5</v>
      </c>
      <c r="J1223">
        <v>8.8272383397194266E-5</v>
      </c>
      <c r="K1223">
        <v>8.7663026618750313E-5</v>
      </c>
      <c r="L1223">
        <v>8.7053669840306372E-5</v>
      </c>
      <c r="M1223">
        <v>8.6444313061862432E-5</v>
      </c>
      <c r="N1223">
        <v>8.5834956283418492E-5</v>
      </c>
    </row>
    <row r="1224" spans="1:14" x14ac:dyDescent="0.35">
      <c r="A1224">
        <v>215</v>
      </c>
      <c r="B1224" t="s">
        <v>29</v>
      </c>
      <c r="C1224" s="23">
        <v>44141</v>
      </c>
      <c r="D1224">
        <v>8.5031728480046004E-3</v>
      </c>
      <c r="E1224">
        <v>-0.11837333</v>
      </c>
      <c r="F1224">
        <v>-1.0065488597106535E-3</v>
      </c>
      <c r="G1224" s="32">
        <f t="shared" si="15"/>
        <v>3.5240401026888489E-2</v>
      </c>
      <c r="H1224">
        <v>1.3728876418514399E-2</v>
      </c>
      <c r="I1224">
        <v>-1.0067019245542971E-3</v>
      </c>
      <c r="J1224">
        <v>-1.0068549893979405E-3</v>
      </c>
      <c r="K1224">
        <v>-1.0070080542415841E-3</v>
      </c>
      <c r="L1224">
        <v>-1.0071611190852275E-3</v>
      </c>
      <c r="M1224">
        <v>-1.0073141839288711E-3</v>
      </c>
      <c r="N1224">
        <v>-1.0074672487725147E-3</v>
      </c>
    </row>
    <row r="1225" spans="1:14" x14ac:dyDescent="0.35">
      <c r="A1225">
        <v>216</v>
      </c>
      <c r="B1225" t="s">
        <v>29</v>
      </c>
      <c r="C1225" s="23">
        <v>44144</v>
      </c>
      <c r="D1225">
        <v>-5.8627231807950001E-4</v>
      </c>
      <c r="E1225">
        <v>-0.12000959999999999</v>
      </c>
      <c r="F1225">
        <v>7.0358307038179244E-5</v>
      </c>
      <c r="G1225" s="32">
        <f t="shared" si="15"/>
        <v>3.5310759333926668E-2</v>
      </c>
      <c r="H1225">
        <v>1.3643290972990701E-2</v>
      </c>
      <c r="I1225">
        <v>7.0276090234595094E-5</v>
      </c>
      <c r="J1225">
        <v>7.0193873431010945E-5</v>
      </c>
      <c r="K1225">
        <v>7.0111656627426809E-5</v>
      </c>
      <c r="L1225">
        <v>7.002943982384266E-5</v>
      </c>
      <c r="M1225">
        <v>6.994722302025851E-5</v>
      </c>
      <c r="N1225">
        <v>6.9865006216674361E-5</v>
      </c>
    </row>
    <row r="1226" spans="1:14" x14ac:dyDescent="0.35">
      <c r="A1226">
        <v>217</v>
      </c>
      <c r="B1226" t="s">
        <v>29</v>
      </c>
      <c r="C1226" s="23">
        <v>44145</v>
      </c>
      <c r="D1226">
        <v>5.3663062739768E-3</v>
      </c>
      <c r="E1226">
        <v>-0.118478104</v>
      </c>
      <c r="F1226">
        <v>-6.3578979535783276E-4</v>
      </c>
      <c r="G1226" s="32">
        <f t="shared" si="15"/>
        <v>3.4674969538568835E-2</v>
      </c>
      <c r="H1226">
        <v>1.3426207977715101E-2</v>
      </c>
      <c r="I1226">
        <v>-6.3580309757997762E-4</v>
      </c>
      <c r="J1226">
        <v>-6.3581639980212249E-4</v>
      </c>
      <c r="K1226">
        <v>-6.3582970202426736E-4</v>
      </c>
      <c r="L1226">
        <v>-6.3584300424641223E-4</v>
      </c>
      <c r="M1226">
        <v>-6.3585630646855709E-4</v>
      </c>
      <c r="N1226">
        <v>-6.3586960869070207E-4</v>
      </c>
    </row>
    <row r="1227" spans="1:14" x14ac:dyDescent="0.35">
      <c r="A1227">
        <v>218</v>
      </c>
      <c r="B1227" t="s">
        <v>29</v>
      </c>
      <c r="C1227" s="23">
        <v>44146</v>
      </c>
      <c r="D1227">
        <v>-7.0971305423028997E-3</v>
      </c>
      <c r="E1227">
        <v>-0.12292553000000001</v>
      </c>
      <c r="F1227">
        <v>8.7241851489535684E-4</v>
      </c>
      <c r="G1227" s="32">
        <f t="shared" si="15"/>
        <v>3.5547388053464191E-2</v>
      </c>
      <c r="H1227">
        <v>1.3246822054461E-2</v>
      </c>
      <c r="I1227">
        <v>8.7220343773159511E-4</v>
      </c>
      <c r="J1227">
        <v>8.7198836056783338E-4</v>
      </c>
      <c r="K1227">
        <v>8.7177328340407175E-4</v>
      </c>
      <c r="L1227">
        <v>8.7155820624031002E-4</v>
      </c>
      <c r="M1227">
        <v>8.7134312907654829E-4</v>
      </c>
      <c r="N1227">
        <v>8.7112805191278655E-4</v>
      </c>
    </row>
    <row r="1228" spans="1:14" x14ac:dyDescent="0.35">
      <c r="A1228">
        <v>219</v>
      </c>
      <c r="B1228" t="s">
        <v>29</v>
      </c>
      <c r="C1228" s="23">
        <v>44147</v>
      </c>
      <c r="D1228">
        <v>1.00302838828894E-2</v>
      </c>
      <c r="E1228">
        <v>-0.12034526</v>
      </c>
      <c r="F1228">
        <v>-1.2070970939025499E-3</v>
      </c>
      <c r="G1228" s="32">
        <f t="shared" si="15"/>
        <v>3.4340290959561641E-2</v>
      </c>
      <c r="H1228">
        <v>1.32008164425315E-2</v>
      </c>
      <c r="I1228">
        <v>-1.2071741618707333E-3</v>
      </c>
      <c r="J1228">
        <v>-1.2072512298389169E-3</v>
      </c>
      <c r="K1228">
        <v>-1.2073282978071003E-3</v>
      </c>
      <c r="L1228">
        <v>-1.2074053657752837E-3</v>
      </c>
      <c r="M1228">
        <v>-1.2074824337434671E-3</v>
      </c>
      <c r="N1228">
        <v>-1.2075595017116507E-3</v>
      </c>
    </row>
    <row r="1229" spans="1:14" x14ac:dyDescent="0.35">
      <c r="A1229">
        <v>220</v>
      </c>
      <c r="B1229" t="s">
        <v>29</v>
      </c>
      <c r="C1229" s="23">
        <v>44148</v>
      </c>
      <c r="D1229">
        <v>8.2091869200305E-3</v>
      </c>
      <c r="E1229">
        <v>-0.124666736</v>
      </c>
      <c r="F1229">
        <v>-1.0234125346749534E-3</v>
      </c>
      <c r="G1229" s="32">
        <f t="shared" si="15"/>
        <v>3.3316878424886689E-2</v>
      </c>
      <c r="H1229">
        <v>1.3174954358426401E-2</v>
      </c>
      <c r="I1229">
        <v>-1.0235759580811252E-3</v>
      </c>
      <c r="J1229">
        <v>-1.0237393814872969E-3</v>
      </c>
      <c r="K1229">
        <v>-1.0239028048934686E-3</v>
      </c>
      <c r="L1229">
        <v>-1.0240662282996404E-3</v>
      </c>
      <c r="M1229">
        <v>-1.0242296517058121E-3</v>
      </c>
      <c r="N1229">
        <v>-1.0243930751119839E-3</v>
      </c>
    </row>
    <row r="1230" spans="1:14" x14ac:dyDescent="0.35">
      <c r="A1230">
        <v>221</v>
      </c>
      <c r="B1230" t="s">
        <v>29</v>
      </c>
      <c r="C1230" s="23">
        <v>44151</v>
      </c>
      <c r="D1230">
        <v>-3.2428164857505001E-3</v>
      </c>
      <c r="E1230">
        <v>-0.13137239000000001</v>
      </c>
      <c r="F1230">
        <v>4.2601655912594225E-4</v>
      </c>
      <c r="G1230" s="32">
        <f t="shared" si="15"/>
        <v>3.3742894984012631E-2</v>
      </c>
      <c r="H1230">
        <v>1.30693397418108E-2</v>
      </c>
      <c r="I1230">
        <v>4.2573802300244191E-4</v>
      </c>
      <c r="J1230">
        <v>4.2545948687894156E-4</v>
      </c>
      <c r="K1230">
        <v>4.2518095075544127E-4</v>
      </c>
      <c r="L1230">
        <v>4.2490241463194093E-4</v>
      </c>
      <c r="M1230">
        <v>4.2462387850844058E-4</v>
      </c>
      <c r="N1230">
        <v>4.2434534238494024E-4</v>
      </c>
    </row>
    <row r="1231" spans="1:14" x14ac:dyDescent="0.35">
      <c r="A1231">
        <v>222</v>
      </c>
      <c r="B1231" t="s">
        <v>29</v>
      </c>
      <c r="C1231" s="23">
        <v>44152</v>
      </c>
      <c r="D1231">
        <v>-8.4723886359179008E-3</v>
      </c>
      <c r="E1231">
        <v>-0.12530656000000001</v>
      </c>
      <c r="F1231">
        <v>1.0616458884146322E-3</v>
      </c>
      <c r="G1231" s="32">
        <f t="shared" si="15"/>
        <v>3.4804540872427264E-2</v>
      </c>
      <c r="H1231">
        <v>1.2909979688770201E-2</v>
      </c>
      <c r="I1231">
        <v>1.0614825250831871E-3</v>
      </c>
      <c r="J1231">
        <v>1.0613191617517418E-3</v>
      </c>
      <c r="K1231">
        <v>1.0611557984202967E-3</v>
      </c>
      <c r="L1231">
        <v>1.0609924350888514E-3</v>
      </c>
      <c r="M1231">
        <v>1.0608290717574063E-3</v>
      </c>
      <c r="N1231">
        <v>1.060665708425961E-3</v>
      </c>
    </row>
    <row r="1232" spans="1:14" x14ac:dyDescent="0.35">
      <c r="A1232">
        <v>223</v>
      </c>
      <c r="B1232" t="s">
        <v>29</v>
      </c>
      <c r="C1232" s="23">
        <v>44153</v>
      </c>
      <c r="D1232">
        <v>3.0750197123201001E-3</v>
      </c>
      <c r="E1232">
        <v>-0.11470216499999999</v>
      </c>
      <c r="F1232">
        <v>-3.5271141881070678E-4</v>
      </c>
      <c r="G1232" s="32">
        <f t="shared" si="15"/>
        <v>3.4451829453616557E-2</v>
      </c>
      <c r="H1232">
        <v>1.29292939513393E-2</v>
      </c>
      <c r="I1232">
        <v>-3.531057696352616E-4</v>
      </c>
      <c r="J1232">
        <v>-3.5350012045981641E-4</v>
      </c>
      <c r="K1232">
        <v>-3.5389447128437117E-4</v>
      </c>
      <c r="L1232">
        <v>-3.5428882210892599E-4</v>
      </c>
      <c r="M1232">
        <v>-3.546831729334808E-4</v>
      </c>
      <c r="N1232">
        <v>-3.5507752375803562E-4</v>
      </c>
    </row>
    <row r="1233" spans="1:14" x14ac:dyDescent="0.35">
      <c r="A1233">
        <v>224</v>
      </c>
      <c r="B1233" t="s">
        <v>29</v>
      </c>
      <c r="C1233" s="23">
        <v>44154</v>
      </c>
      <c r="D1233">
        <v>-5.3413351885011999E-3</v>
      </c>
      <c r="E1233">
        <v>-0.13114445999999999</v>
      </c>
      <c r="F1233">
        <v>7.0048654042558021E-4</v>
      </c>
      <c r="G1233" s="32">
        <f t="shared" si="15"/>
        <v>3.5152315994042137E-2</v>
      </c>
      <c r="H1233">
        <v>1.2724342867208501E-2</v>
      </c>
      <c r="I1233">
        <v>6.9980852610719438E-4</v>
      </c>
      <c r="J1233">
        <v>6.9913051178880866E-4</v>
      </c>
      <c r="K1233">
        <v>6.9845249747042283E-4</v>
      </c>
      <c r="L1233">
        <v>6.9777448315203711E-4</v>
      </c>
      <c r="M1233">
        <v>6.9709646883365129E-4</v>
      </c>
      <c r="N1233">
        <v>6.9641845451526546E-4</v>
      </c>
    </row>
    <row r="1234" spans="1:14" x14ac:dyDescent="0.35">
      <c r="A1234">
        <v>225</v>
      </c>
      <c r="B1234" t="s">
        <v>29</v>
      </c>
      <c r="C1234" s="23">
        <v>44155</v>
      </c>
      <c r="D1234">
        <v>4.5838093160832996E-3</v>
      </c>
      <c r="E1234">
        <v>-0.1140502</v>
      </c>
      <c r="F1234">
        <v>-5.2278437875728876E-4</v>
      </c>
      <c r="G1234" s="32">
        <f t="shared" si="15"/>
        <v>3.4629531615284849E-2</v>
      </c>
      <c r="H1234">
        <v>1.26146653841753E-2</v>
      </c>
      <c r="I1234">
        <v>-5.2338227151368661E-4</v>
      </c>
      <c r="J1234">
        <v>-5.2398016427008458E-4</v>
      </c>
      <c r="K1234">
        <v>-5.2457805702648243E-4</v>
      </c>
      <c r="L1234">
        <v>-5.2517594978288039E-4</v>
      </c>
      <c r="M1234">
        <v>-5.2577384253927825E-4</v>
      </c>
      <c r="N1234">
        <v>-5.2637173529567621E-4</v>
      </c>
    </row>
    <row r="1235" spans="1:14" x14ac:dyDescent="0.35">
      <c r="A1235">
        <v>226</v>
      </c>
      <c r="B1235" t="s">
        <v>29</v>
      </c>
      <c r="C1235" s="23">
        <v>44158</v>
      </c>
      <c r="D1235">
        <v>1.2058684293865401E-2</v>
      </c>
      <c r="E1235">
        <v>-0.123072185</v>
      </c>
      <c r="F1235">
        <v>-1.4840886197164842E-3</v>
      </c>
      <c r="G1235" s="32">
        <f t="shared" si="15"/>
        <v>3.3145442995568368E-2</v>
      </c>
      <c r="H1235">
        <v>1.2435390259725799E-2</v>
      </c>
      <c r="I1235">
        <v>-1.4844929706325156E-3</v>
      </c>
      <c r="J1235">
        <v>-1.4848973215485467E-3</v>
      </c>
      <c r="K1235">
        <v>-1.485301672464578E-3</v>
      </c>
      <c r="L1235">
        <v>-1.4857060233806091E-3</v>
      </c>
      <c r="M1235">
        <v>-1.4861103742966405E-3</v>
      </c>
      <c r="N1235">
        <v>-1.4865147252126716E-3</v>
      </c>
    </row>
    <row r="1236" spans="1:14" x14ac:dyDescent="0.35">
      <c r="A1236">
        <v>227</v>
      </c>
      <c r="B1236" t="s">
        <v>29</v>
      </c>
      <c r="C1236" s="23">
        <v>44159</v>
      </c>
      <c r="D1236">
        <v>-1.144658027015E-3</v>
      </c>
      <c r="E1236">
        <v>-0.11608219</v>
      </c>
      <c r="F1236">
        <v>1.328744122565201E-4</v>
      </c>
      <c r="G1236" s="32">
        <f t="shared" si="15"/>
        <v>3.3278317407824887E-2</v>
      </c>
      <c r="H1236">
        <v>1.2498054339164301E-2</v>
      </c>
      <c r="I1236">
        <v>1.3258672970469982E-4</v>
      </c>
      <c r="J1236">
        <v>1.3229904715287956E-4</v>
      </c>
      <c r="K1236">
        <v>1.3201136460105927E-4</v>
      </c>
      <c r="L1236">
        <v>1.3172368204923901E-4</v>
      </c>
      <c r="M1236">
        <v>1.3143599949741873E-4</v>
      </c>
      <c r="N1236">
        <v>1.3114831694559844E-4</v>
      </c>
    </row>
    <row r="1237" spans="1:14" x14ac:dyDescent="0.35">
      <c r="A1237">
        <v>228</v>
      </c>
      <c r="B1237" t="s">
        <v>29</v>
      </c>
      <c r="C1237" s="23">
        <v>44160</v>
      </c>
      <c r="D1237">
        <v>1.9578548405130001E-3</v>
      </c>
      <c r="E1237">
        <v>-9.6617880000000003E-2</v>
      </c>
      <c r="F1237">
        <v>-1.8916377911090389E-4</v>
      </c>
      <c r="G1237" s="32">
        <f t="shared" si="15"/>
        <v>3.308915362871398E-2</v>
      </c>
      <c r="H1237">
        <v>1.2307638817730801E-2</v>
      </c>
      <c r="I1237">
        <v>-1.898430683223386E-4</v>
      </c>
      <c r="J1237">
        <v>-1.9052235753377333E-4</v>
      </c>
      <c r="K1237">
        <v>-1.9120164674520804E-4</v>
      </c>
      <c r="L1237">
        <v>-1.9188093595664277E-4</v>
      </c>
      <c r="M1237">
        <v>-1.9256022516807747E-4</v>
      </c>
      <c r="N1237">
        <v>-1.9323951437951221E-4</v>
      </c>
    </row>
    <row r="1238" spans="1:14" x14ac:dyDescent="0.35">
      <c r="A1238">
        <v>229</v>
      </c>
      <c r="B1238" t="s">
        <v>29</v>
      </c>
      <c r="C1238" s="23">
        <v>44162</v>
      </c>
      <c r="D1238">
        <v>-2.8442398415785002E-3</v>
      </c>
      <c r="E1238">
        <v>-8.7760210000000005E-2</v>
      </c>
      <c r="F1238">
        <v>2.4961108589319106E-4</v>
      </c>
      <c r="G1238" s="32">
        <f t="shared" si="15"/>
        <v>3.3338764714607172E-2</v>
      </c>
      <c r="H1238">
        <v>1.21047844228025E-2</v>
      </c>
      <c r="I1238">
        <v>2.4932752118833054E-4</v>
      </c>
      <c r="J1238">
        <v>2.4904395648346996E-4</v>
      </c>
      <c r="K1238">
        <v>2.4876039177860944E-4</v>
      </c>
      <c r="L1238">
        <v>2.4847682707374892E-4</v>
      </c>
      <c r="M1238">
        <v>2.4819326236888835E-4</v>
      </c>
      <c r="N1238">
        <v>2.4790969766402783E-4</v>
      </c>
    </row>
    <row r="1239" spans="1:14" x14ac:dyDescent="0.35">
      <c r="A1239">
        <v>230</v>
      </c>
      <c r="B1239" t="s">
        <v>29</v>
      </c>
      <c r="C1239" s="23">
        <v>44165</v>
      </c>
      <c r="D1239">
        <v>8.1317598833439992E-3</v>
      </c>
      <c r="E1239">
        <v>-7.6310723999999996E-2</v>
      </c>
      <c r="F1239">
        <v>-6.2054048425480611E-4</v>
      </c>
      <c r="G1239" s="32">
        <f t="shared" si="15"/>
        <v>3.2718224230352366E-2</v>
      </c>
      <c r="H1239">
        <v>1.19463275612492E-2</v>
      </c>
      <c r="I1239">
        <v>-6.2094785699872801E-4</v>
      </c>
      <c r="J1239">
        <v>-6.2135522974264979E-4</v>
      </c>
      <c r="K1239">
        <v>-6.2176260248657169E-4</v>
      </c>
      <c r="L1239">
        <v>-6.2216997523049347E-4</v>
      </c>
      <c r="M1239">
        <v>-6.2257734797441537E-4</v>
      </c>
      <c r="N1239">
        <v>-6.2298472071833715E-4</v>
      </c>
    </row>
    <row r="1240" spans="1:14" x14ac:dyDescent="0.35">
      <c r="A1240">
        <v>231</v>
      </c>
      <c r="B1240" t="s">
        <v>29</v>
      </c>
      <c r="C1240" s="23">
        <v>44166</v>
      </c>
      <c r="D1240">
        <v>1.4705349022774001E-3</v>
      </c>
      <c r="E1240">
        <v>-0.102382705</v>
      </c>
      <c r="F1240">
        <v>-1.5055734052678689E-4</v>
      </c>
      <c r="G1240" s="32">
        <f t="shared" si="15"/>
        <v>3.2567666889825576E-2</v>
      </c>
      <c r="H1240">
        <v>1.18489267210672E-2</v>
      </c>
      <c r="I1240">
        <v>-1.5162172408525758E-4</v>
      </c>
      <c r="J1240">
        <v>-1.5268610764372824E-4</v>
      </c>
      <c r="K1240">
        <v>-1.5375049120219892E-4</v>
      </c>
      <c r="L1240">
        <v>-1.5481487476066958E-4</v>
      </c>
      <c r="M1240">
        <v>-1.5587925831914026E-4</v>
      </c>
      <c r="N1240">
        <v>-1.5694364187761095E-4</v>
      </c>
    </row>
    <row r="1241" spans="1:14" x14ac:dyDescent="0.35">
      <c r="A1241">
        <v>232</v>
      </c>
      <c r="B1241" t="s">
        <v>29</v>
      </c>
      <c r="C1241" s="23">
        <v>44167</v>
      </c>
      <c r="D1241">
        <v>-6.0805342696189997E-4</v>
      </c>
      <c r="E1241">
        <v>-5.8079180000000001E-2</v>
      </c>
      <c r="F1241">
        <v>3.5315244054932882E-5</v>
      </c>
      <c r="G1241" s="32">
        <f t="shared" si="15"/>
        <v>3.2602982133880506E-2</v>
      </c>
      <c r="H1241">
        <v>1.1653098696971899E-2</v>
      </c>
      <c r="I1241">
        <v>3.3587633857996068E-5</v>
      </c>
      <c r="J1241">
        <v>3.1860023661059253E-5</v>
      </c>
      <c r="K1241">
        <v>3.0132413464122439E-5</v>
      </c>
      <c r="L1241">
        <v>2.8404803267185624E-5</v>
      </c>
      <c r="M1241">
        <v>2.6677193070248813E-5</v>
      </c>
      <c r="N1241">
        <v>2.4949582873311995E-5</v>
      </c>
    </row>
    <row r="1242" spans="1:14" x14ac:dyDescent="0.35">
      <c r="A1242">
        <v>233</v>
      </c>
      <c r="B1242" t="s">
        <v>29</v>
      </c>
      <c r="C1242" s="23">
        <v>44168</v>
      </c>
      <c r="D1242">
        <v>7.5303656901447996E-3</v>
      </c>
      <c r="E1242">
        <v>-7.2844660000000006E-2</v>
      </c>
      <c r="F1242">
        <v>-5.4854694171996234E-4</v>
      </c>
      <c r="G1242" s="32">
        <f t="shared" si="15"/>
        <v>3.2054435192160544E-2</v>
      </c>
      <c r="H1242">
        <v>1.14710983347408E-2</v>
      </c>
      <c r="I1242">
        <v>-5.4919244174048772E-4</v>
      </c>
      <c r="J1242">
        <v>-5.498379417610131E-4</v>
      </c>
      <c r="K1242">
        <v>-5.5048344178153848E-4</v>
      </c>
      <c r="L1242">
        <v>-5.5112894180206387E-4</v>
      </c>
      <c r="M1242">
        <v>-5.5177444182258914E-4</v>
      </c>
      <c r="N1242">
        <v>-5.5241994184311452E-4</v>
      </c>
    </row>
    <row r="1243" spans="1:14" x14ac:dyDescent="0.35">
      <c r="A1243">
        <v>234</v>
      </c>
      <c r="B1243" t="s">
        <v>29</v>
      </c>
      <c r="C1243" s="23">
        <v>44169</v>
      </c>
      <c r="D1243">
        <v>-1.6313093973619E-3</v>
      </c>
      <c r="E1243">
        <v>-9.7148366E-2</v>
      </c>
      <c r="F1243">
        <v>1.584790428386027E-4</v>
      </c>
      <c r="G1243" s="32">
        <f t="shared" si="15"/>
        <v>3.2212914234999147E-2</v>
      </c>
      <c r="H1243">
        <v>1.13560095848036E-2</v>
      </c>
      <c r="I1243">
        <v>1.5743750494393201E-4</v>
      </c>
      <c r="J1243">
        <v>1.5639596704926132E-4</v>
      </c>
      <c r="K1243">
        <v>1.553544291545906E-4</v>
      </c>
      <c r="L1243">
        <v>1.5431289125991991E-4</v>
      </c>
      <c r="M1243">
        <v>1.5327135336524922E-4</v>
      </c>
      <c r="N1243">
        <v>1.5222981547057852E-4</v>
      </c>
    </row>
    <row r="1244" spans="1:14" x14ac:dyDescent="0.35">
      <c r="A1244">
        <v>235</v>
      </c>
      <c r="B1244" t="s">
        <v>29</v>
      </c>
      <c r="C1244" s="23">
        <v>44172</v>
      </c>
      <c r="D1244">
        <v>2.5733410441679001E-3</v>
      </c>
      <c r="E1244">
        <v>-0.106774695</v>
      </c>
      <c r="F1244">
        <v>-2.7476770568199226E-4</v>
      </c>
      <c r="G1244" s="32">
        <f t="shared" si="15"/>
        <v>3.1938146529317153E-2</v>
      </c>
      <c r="H1244">
        <v>1.11926142382167E-2</v>
      </c>
      <c r="I1244">
        <v>-2.7523305019169417E-4</v>
      </c>
      <c r="J1244">
        <v>-2.7569839470139603E-4</v>
      </c>
      <c r="K1244">
        <v>-2.7616373921109794E-4</v>
      </c>
      <c r="L1244">
        <v>-2.7662908372079979E-4</v>
      </c>
      <c r="M1244">
        <v>-2.770944282305017E-4</v>
      </c>
      <c r="N1244">
        <v>-2.7755977274020356E-4</v>
      </c>
    </row>
    <row r="1245" spans="1:14" x14ac:dyDescent="0.35">
      <c r="A1245">
        <v>236</v>
      </c>
      <c r="B1245" t="s">
        <v>29</v>
      </c>
      <c r="C1245" s="23">
        <v>44173</v>
      </c>
      <c r="D1245">
        <v>-6.8394604282055E-3</v>
      </c>
      <c r="E1245">
        <v>-0.106917225</v>
      </c>
      <c r="F1245">
        <v>7.3125612828022987E-4</v>
      </c>
      <c r="G1245" s="32">
        <f t="shared" si="15"/>
        <v>3.2669402657597386E-2</v>
      </c>
      <c r="H1245">
        <v>1.10091743364819E-2</v>
      </c>
      <c r="I1245">
        <v>7.3117491218811293E-4</v>
      </c>
      <c r="J1245">
        <v>7.310936960959961E-4</v>
      </c>
      <c r="K1245">
        <v>7.3101248000387916E-4</v>
      </c>
      <c r="L1245">
        <v>7.3093126391176222E-4</v>
      </c>
      <c r="M1245">
        <v>7.3085004781964539E-4</v>
      </c>
      <c r="N1245">
        <v>7.3076883172752845E-4</v>
      </c>
    </row>
    <row r="1246" spans="1:14" x14ac:dyDescent="0.35">
      <c r="A1246">
        <v>237</v>
      </c>
      <c r="B1246" t="s">
        <v>29</v>
      </c>
      <c r="C1246" s="23">
        <v>44174</v>
      </c>
      <c r="D1246">
        <v>-9.3770033414630001E-4</v>
      </c>
      <c r="E1246">
        <v>-0.10704906</v>
      </c>
      <c r="F1246">
        <v>1.0037994200270332E-4</v>
      </c>
      <c r="G1246" s="32">
        <f t="shared" si="15"/>
        <v>3.2769782599600089E-2</v>
      </c>
      <c r="H1246">
        <v>1.09755199819514E-2</v>
      </c>
      <c r="I1246">
        <v>1.0036019763950106E-4</v>
      </c>
      <c r="J1246">
        <v>1.003404532762988E-4</v>
      </c>
      <c r="K1246">
        <v>1.0032070891309653E-4</v>
      </c>
      <c r="L1246">
        <v>1.0030096454989427E-4</v>
      </c>
      <c r="M1246">
        <v>1.0028122018669202E-4</v>
      </c>
      <c r="N1246">
        <v>1.0026147582348976E-4</v>
      </c>
    </row>
    <row r="1247" spans="1:14" x14ac:dyDescent="0.35">
      <c r="A1247">
        <v>238</v>
      </c>
      <c r="B1247" t="s">
        <v>29</v>
      </c>
      <c r="C1247" s="23">
        <v>44175</v>
      </c>
      <c r="D1247">
        <v>-1.7281502819402E-3</v>
      </c>
      <c r="E1247">
        <v>-0.11758348</v>
      </c>
      <c r="F1247">
        <v>2.0320193008870234E-4</v>
      </c>
      <c r="G1247" s="32">
        <f t="shared" si="15"/>
        <v>3.297298452968879E-2</v>
      </c>
      <c r="H1247">
        <v>1.08058507625804E-2</v>
      </c>
      <c r="I1247">
        <v>2.0266898828906119E-4</v>
      </c>
      <c r="J1247">
        <v>2.0213604648942004E-4</v>
      </c>
      <c r="K1247">
        <v>2.0160310468977889E-4</v>
      </c>
      <c r="L1247">
        <v>2.0107016289013774E-4</v>
      </c>
      <c r="M1247">
        <v>2.0053722109049659E-4</v>
      </c>
      <c r="N1247">
        <v>2.0000427929085544E-4</v>
      </c>
    </row>
    <row r="1248" spans="1:14" x14ac:dyDescent="0.35">
      <c r="A1248">
        <v>239</v>
      </c>
      <c r="B1248" t="s">
        <v>29</v>
      </c>
      <c r="C1248" s="23">
        <v>44176</v>
      </c>
      <c r="D1248">
        <v>-3.5754515339174999E-3</v>
      </c>
      <c r="E1248">
        <v>-7.7257400000000004E-2</v>
      </c>
      <c r="F1248">
        <v>2.7623009734988713E-4</v>
      </c>
      <c r="G1248" s="32">
        <f t="shared" si="15"/>
        <v>3.3249214627038677E-2</v>
      </c>
      <c r="H1248">
        <v>1.06468890617123E-2</v>
      </c>
      <c r="I1248">
        <v>2.7451738494033959E-4</v>
      </c>
      <c r="J1248">
        <v>2.7280467253079199E-4</v>
      </c>
      <c r="K1248">
        <v>2.7109196012124444E-4</v>
      </c>
      <c r="L1248">
        <v>2.693792477116969E-4</v>
      </c>
      <c r="M1248">
        <v>2.676665353021493E-4</v>
      </c>
      <c r="N1248">
        <v>2.6595382289260175E-4</v>
      </c>
    </row>
    <row r="1249" spans="1:14" x14ac:dyDescent="0.35">
      <c r="A1249">
        <v>240</v>
      </c>
      <c r="B1249" t="s">
        <v>29</v>
      </c>
      <c r="C1249" s="23">
        <v>44179</v>
      </c>
      <c r="D1249">
        <v>1.1825615855651801E-2</v>
      </c>
      <c r="E1249">
        <v>-4.9275104E-2</v>
      </c>
      <c r="F1249">
        <v>-5.8270845063641537E-4</v>
      </c>
      <c r="G1249" s="32">
        <f t="shared" si="15"/>
        <v>3.2666506176402259E-2</v>
      </c>
      <c r="H1249">
        <v>1.0517977584073499E-2</v>
      </c>
      <c r="I1249">
        <v>-5.8392336539678669E-4</v>
      </c>
      <c r="J1249">
        <v>-5.8513828015715802E-4</v>
      </c>
      <c r="K1249">
        <v>-5.8635319491752934E-4</v>
      </c>
      <c r="L1249">
        <v>-5.8756810967790067E-4</v>
      </c>
      <c r="M1249">
        <v>-5.8878302443827189E-4</v>
      </c>
      <c r="N1249">
        <v>-5.8999793919864321E-4</v>
      </c>
    </row>
    <row r="1250" spans="1:14" x14ac:dyDescent="0.35">
      <c r="A1250">
        <v>241</v>
      </c>
      <c r="B1250" t="s">
        <v>29</v>
      </c>
      <c r="C1250" s="23">
        <v>44180</v>
      </c>
      <c r="D1250">
        <v>1.5136969267476E-3</v>
      </c>
      <c r="E1250">
        <v>-7.1900980000000003E-2</v>
      </c>
      <c r="F1250">
        <v>-1.0883629046475935E-4</v>
      </c>
      <c r="G1250" s="32">
        <f t="shared" si="15"/>
        <v>3.2557669885937501E-2</v>
      </c>
      <c r="H1250">
        <v>1.0560303647360301E-2</v>
      </c>
      <c r="I1250">
        <v>-1.0983967431804509E-4</v>
      </c>
      <c r="J1250">
        <v>-1.1084305817133084E-4</v>
      </c>
      <c r="K1250">
        <v>-1.1184644202461658E-4</v>
      </c>
      <c r="L1250">
        <v>-1.1284982587790232E-4</v>
      </c>
      <c r="M1250">
        <v>-1.1385320973118806E-4</v>
      </c>
      <c r="N1250">
        <v>-1.148565935844738E-4</v>
      </c>
    </row>
    <row r="1251" spans="1:14" x14ac:dyDescent="0.35">
      <c r="A1251">
        <v>242</v>
      </c>
      <c r="B1251" t="s">
        <v>29</v>
      </c>
      <c r="C1251" s="23">
        <v>44181</v>
      </c>
      <c r="D1251">
        <v>5.0398496044932002E-3</v>
      </c>
      <c r="E1251">
        <v>-7.2837479999999996E-2</v>
      </c>
      <c r="F1251">
        <v>-3.6708994180965042E-4</v>
      </c>
      <c r="G1251" s="32">
        <f t="shared" si="15"/>
        <v>3.2190579944127849E-2</v>
      </c>
      <c r="H1251">
        <v>1.03857418902479E-2</v>
      </c>
      <c r="I1251">
        <v>-3.6718661080790201E-4</v>
      </c>
      <c r="J1251">
        <v>-3.6728327980615355E-4</v>
      </c>
      <c r="K1251">
        <v>-3.6737994880440514E-4</v>
      </c>
      <c r="L1251">
        <v>-3.6747661780265668E-4</v>
      </c>
      <c r="M1251">
        <v>-3.6757328680090827E-4</v>
      </c>
      <c r="N1251">
        <v>-3.6766995579915981E-4</v>
      </c>
    </row>
    <row r="1252" spans="1:14" x14ac:dyDescent="0.35">
      <c r="A1252">
        <v>243</v>
      </c>
      <c r="B1252" t="s">
        <v>29</v>
      </c>
      <c r="C1252" s="23">
        <v>44182</v>
      </c>
      <c r="D1252">
        <v>1.2402032267214999E-3</v>
      </c>
      <c r="E1252">
        <v>-8.3429030000000001E-2</v>
      </c>
      <c r="F1252">
        <v>-1.0346895354028149E-4</v>
      </c>
      <c r="G1252" s="32">
        <f t="shared" si="15"/>
        <v>3.2087110990587565E-2</v>
      </c>
      <c r="H1252">
        <v>1.02371552225943E-2</v>
      </c>
      <c r="I1252">
        <v>-1.0400585763899468E-4</v>
      </c>
      <c r="J1252">
        <v>-1.0454276173770789E-4</v>
      </c>
      <c r="K1252">
        <v>-1.0507966583642109E-4</v>
      </c>
      <c r="L1252">
        <v>-1.0561656993513428E-4</v>
      </c>
      <c r="M1252">
        <v>-1.0615347403384749E-4</v>
      </c>
      <c r="N1252">
        <v>-1.0669037813256069E-4</v>
      </c>
    </row>
    <row r="1253" spans="1:14" x14ac:dyDescent="0.35">
      <c r="A1253">
        <v>244</v>
      </c>
      <c r="B1253" t="s">
        <v>29</v>
      </c>
      <c r="C1253" s="23">
        <v>44183</v>
      </c>
      <c r="D1253">
        <v>-1.02003892152163E-2</v>
      </c>
      <c r="E1253">
        <v>-0.11388905000000001</v>
      </c>
      <c r="F1253">
        <v>1.161712672684724E-3</v>
      </c>
      <c r="G1253" s="32">
        <f t="shared" si="15"/>
        <v>3.3248823663272288E-2</v>
      </c>
      <c r="H1253">
        <v>1.0068326241237499E-2</v>
      </c>
      <c r="I1253">
        <v>1.1602187745572414E-3</v>
      </c>
      <c r="J1253">
        <v>1.1587248764297589E-3</v>
      </c>
      <c r="K1253">
        <v>1.1572309783022764E-3</v>
      </c>
      <c r="L1253">
        <v>1.1557370801747941E-3</v>
      </c>
      <c r="M1253">
        <v>1.1542431820473116E-3</v>
      </c>
      <c r="N1253">
        <v>1.1527492839198291E-3</v>
      </c>
    </row>
    <row r="1254" spans="1:14" x14ac:dyDescent="0.35">
      <c r="A1254">
        <v>245</v>
      </c>
      <c r="B1254" t="s">
        <v>29</v>
      </c>
      <c r="C1254" s="23">
        <v>44186</v>
      </c>
      <c r="D1254">
        <v>-2.1446512857536001E-3</v>
      </c>
      <c r="E1254">
        <v>-8.9105429999999999E-2</v>
      </c>
      <c r="F1254">
        <v>1.911000691518648E-4</v>
      </c>
      <c r="G1254" s="32">
        <f t="shared" si="15"/>
        <v>3.3439923732424152E-2</v>
      </c>
      <c r="H1254">
        <v>1.0160787130962501E-2</v>
      </c>
      <c r="I1254">
        <v>1.8989905053662035E-4</v>
      </c>
      <c r="J1254">
        <v>1.8869803192137589E-4</v>
      </c>
      <c r="K1254">
        <v>1.8749701330613146E-4</v>
      </c>
      <c r="L1254">
        <v>1.8629599469088701E-4</v>
      </c>
      <c r="M1254">
        <v>1.8509497607564255E-4</v>
      </c>
      <c r="N1254">
        <v>1.838939574603981E-4</v>
      </c>
    </row>
    <row r="1255" spans="1:14" x14ac:dyDescent="0.35">
      <c r="A1255">
        <v>246</v>
      </c>
      <c r="B1255" t="s">
        <v>29</v>
      </c>
      <c r="C1255" s="23">
        <v>44187</v>
      </c>
      <c r="D1255">
        <v>1.0904458016972999E-3</v>
      </c>
      <c r="E1255">
        <v>-0.119422846</v>
      </c>
      <c r="F1255">
        <v>-1.3022414054848885E-4</v>
      </c>
      <c r="G1255" s="32">
        <f t="shared" si="15"/>
        <v>3.3309699591875665E-2</v>
      </c>
      <c r="H1255">
        <v>1.00150397489375E-2</v>
      </c>
      <c r="I1255">
        <v>-1.3171464856068341E-4</v>
      </c>
      <c r="J1255">
        <v>-1.3320515657287796E-4</v>
      </c>
      <c r="K1255">
        <v>-1.3469566458507252E-4</v>
      </c>
      <c r="L1255">
        <v>-1.3618617259726707E-4</v>
      </c>
      <c r="M1255">
        <v>-1.3767668060946163E-4</v>
      </c>
      <c r="N1255">
        <v>-1.3916718862165618E-4</v>
      </c>
    </row>
    <row r="1256" spans="1:14" x14ac:dyDescent="0.35">
      <c r="A1256">
        <v>247</v>
      </c>
      <c r="B1256" t="s">
        <v>29</v>
      </c>
      <c r="C1256" s="23">
        <v>44188</v>
      </c>
      <c r="D1256">
        <v>3.5179121893655998E-3</v>
      </c>
      <c r="E1256">
        <v>-0.14953922</v>
      </c>
      <c r="F1256">
        <v>-5.2606583551384305E-4</v>
      </c>
      <c r="G1256" s="32">
        <f t="shared" si="15"/>
        <v>3.278363375636182E-2</v>
      </c>
      <c r="H1256">
        <v>9.8495175307975E-3</v>
      </c>
      <c r="I1256">
        <v>-5.2760511471346442E-4</v>
      </c>
      <c r="J1256">
        <v>-5.291443939130858E-4</v>
      </c>
      <c r="K1256">
        <v>-5.3068367311270718E-4</v>
      </c>
      <c r="L1256">
        <v>-5.3222295231232866E-4</v>
      </c>
      <c r="M1256">
        <v>-5.3376223151195004E-4</v>
      </c>
      <c r="N1256">
        <v>-5.3530151071157141E-4</v>
      </c>
    </row>
    <row r="1257" spans="1:14" x14ac:dyDescent="0.35">
      <c r="A1257">
        <v>248</v>
      </c>
      <c r="B1257" t="s">
        <v>29</v>
      </c>
      <c r="C1257" s="23">
        <v>44189</v>
      </c>
      <c r="D1257">
        <v>8.5715440639364E-3</v>
      </c>
      <c r="E1257">
        <v>-0.1674831</v>
      </c>
      <c r="F1257">
        <v>-1.4355888252342288E-3</v>
      </c>
      <c r="G1257" s="32">
        <f t="shared" si="15"/>
        <v>3.134804493112759E-2</v>
      </c>
      <c r="H1257">
        <v>9.6961839227170006E-3</v>
      </c>
      <c r="I1257">
        <v>-1.4365765905959707E-3</v>
      </c>
      <c r="J1257">
        <v>-1.4375643559577126E-3</v>
      </c>
      <c r="K1257">
        <v>-1.4385521213194545E-3</v>
      </c>
      <c r="L1257">
        <v>-1.4395398866811962E-3</v>
      </c>
      <c r="M1257">
        <v>-1.4405276520429381E-3</v>
      </c>
      <c r="N1257">
        <v>-1.44151541740468E-3</v>
      </c>
    </row>
    <row r="1258" spans="1:14" x14ac:dyDescent="0.35">
      <c r="A1258">
        <v>249</v>
      </c>
      <c r="B1258" t="s">
        <v>29</v>
      </c>
      <c r="C1258" s="23">
        <v>44193</v>
      </c>
      <c r="D1258">
        <v>-1.9744861663528001E-3</v>
      </c>
      <c r="E1258">
        <v>-0.20233975000000001</v>
      </c>
      <c r="F1258">
        <v>3.9951704420590261E-4</v>
      </c>
      <c r="G1258" s="32">
        <f t="shared" si="15"/>
        <v>3.1747561975333495E-2</v>
      </c>
      <c r="H1258">
        <v>9.6289848767033993E-3</v>
      </c>
      <c r="I1258">
        <v>3.9774981597591604E-4</v>
      </c>
      <c r="J1258">
        <v>3.9598258774592947E-4</v>
      </c>
      <c r="K1258">
        <v>3.942153595159429E-4</v>
      </c>
      <c r="L1258">
        <v>3.9244813128595633E-4</v>
      </c>
      <c r="M1258">
        <v>3.906809030559697E-4</v>
      </c>
      <c r="N1258">
        <v>3.8891367482598313E-4</v>
      </c>
    </row>
    <row r="1259" spans="1:14" x14ac:dyDescent="0.35">
      <c r="A1259">
        <v>250</v>
      </c>
      <c r="B1259" t="s">
        <v>29</v>
      </c>
      <c r="C1259" s="23">
        <v>44194</v>
      </c>
      <c r="D1259">
        <v>1.1373070285640001E-3</v>
      </c>
      <c r="E1259">
        <v>-0.20792553</v>
      </c>
      <c r="F1259">
        <v>-2.3647516473969735E-4</v>
      </c>
      <c r="G1259" s="32">
        <f t="shared" si="15"/>
        <v>3.1511086810593801E-2</v>
      </c>
      <c r="H1259">
        <v>9.4920333567044997E-3</v>
      </c>
      <c r="I1259">
        <v>-2.3689643223152648E-4</v>
      </c>
      <c r="J1259">
        <v>-2.3731769972335561E-4</v>
      </c>
      <c r="K1259">
        <v>-2.3773896721518474E-4</v>
      </c>
      <c r="L1259">
        <v>-2.381602347070139E-4</v>
      </c>
      <c r="M1259">
        <v>-2.3858150219884303E-4</v>
      </c>
      <c r="N1259">
        <v>-2.3900276969067216E-4</v>
      </c>
    </row>
    <row r="1260" spans="1:14" x14ac:dyDescent="0.35">
      <c r="A1260">
        <v>251</v>
      </c>
      <c r="B1260" t="s">
        <v>29</v>
      </c>
      <c r="C1260" s="23">
        <v>44195</v>
      </c>
      <c r="D1260">
        <v>6.6586862035302999E-3</v>
      </c>
      <c r="E1260">
        <v>-0.21142543999999999</v>
      </c>
      <c r="F1260">
        <v>-1.4078156505703916E-3</v>
      </c>
      <c r="G1260" s="32">
        <f t="shared" si="15"/>
        <v>3.0103271160023409E-2</v>
      </c>
      <c r="H1260">
        <v>9.3353304953241994E-3</v>
      </c>
      <c r="I1260">
        <v>-1.4081665017630044E-3</v>
      </c>
      <c r="J1260">
        <v>-1.4085173529556174E-3</v>
      </c>
      <c r="K1260">
        <v>-1.4088682041482302E-3</v>
      </c>
      <c r="L1260">
        <v>-1.4092190553408432E-3</v>
      </c>
      <c r="M1260">
        <v>-1.409569906533456E-3</v>
      </c>
      <c r="N1260">
        <v>-1.4099207577260688E-3</v>
      </c>
    </row>
    <row r="1261" spans="1:14" x14ac:dyDescent="0.35">
      <c r="A1261">
        <v>252</v>
      </c>
      <c r="B1261" t="s">
        <v>29</v>
      </c>
      <c r="C1261" s="23">
        <v>44196</v>
      </c>
      <c r="D1261">
        <v>-1.54350087292482E-2</v>
      </c>
      <c r="E1261">
        <v>-0.22827314000000001</v>
      </c>
      <c r="F1261">
        <v>3.5233978839169637E-3</v>
      </c>
      <c r="G1261" s="32">
        <f t="shared" si="15"/>
        <v>3.362666904394037E-2</v>
      </c>
      <c r="H1261">
        <v>9.2266931641003993E-3</v>
      </c>
      <c r="I1261">
        <v>3.5224092066000563E-3</v>
      </c>
      <c r="J1261">
        <v>3.5214205292831494E-3</v>
      </c>
      <c r="K1261">
        <v>3.520431851966242E-3</v>
      </c>
      <c r="L1261">
        <v>3.5194431746493346E-3</v>
      </c>
      <c r="M1261">
        <v>3.5184544973324277E-3</v>
      </c>
      <c r="N1261">
        <v>3.5174658200155203E-3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D6036-B3F2-463A-9272-FD7D43CC22D6}">
  <dimension ref="A1:J90"/>
  <sheetViews>
    <sheetView topLeftCell="A2" workbookViewId="0">
      <selection activeCell="A24" sqref="A24:B28"/>
    </sheetView>
  </sheetViews>
  <sheetFormatPr defaultRowHeight="14.5" x14ac:dyDescent="0.35"/>
  <cols>
    <col min="1" max="1" width="20.54296875" customWidth="1"/>
    <col min="2" max="2" width="21.08984375" style="1" customWidth="1"/>
    <col min="3" max="3" width="2.08984375" style="1" customWidth="1"/>
    <col min="4" max="4" width="21.08984375" style="1" customWidth="1"/>
  </cols>
  <sheetData>
    <row r="1" spans="1:4" x14ac:dyDescent="0.35">
      <c r="A1" s="146"/>
      <c r="B1" s="147" t="s">
        <v>198</v>
      </c>
      <c r="C1" s="153" t="s">
        <v>200</v>
      </c>
      <c r="D1" s="149" t="s">
        <v>199</v>
      </c>
    </row>
    <row r="2" spans="1:4" x14ac:dyDescent="0.35">
      <c r="A2" s="73" t="s">
        <v>197</v>
      </c>
      <c r="B2" s="148"/>
      <c r="C2" s="154"/>
      <c r="D2" s="150"/>
    </row>
    <row r="3" spans="1:4" x14ac:dyDescent="0.35">
      <c r="A3" s="73" t="s">
        <v>196</v>
      </c>
      <c r="B3" s="148"/>
      <c r="C3" s="154"/>
      <c r="D3" s="150"/>
    </row>
    <row r="4" spans="1:4" x14ac:dyDescent="0.35">
      <c r="A4" s="73" t="s">
        <v>141</v>
      </c>
      <c r="B4" s="148"/>
      <c r="C4" s="154"/>
      <c r="D4" s="150"/>
    </row>
    <row r="5" spans="1:4" x14ac:dyDescent="0.35">
      <c r="A5" s="73" t="s">
        <v>142</v>
      </c>
      <c r="B5" s="148"/>
      <c r="C5" s="154"/>
      <c r="D5" s="150"/>
    </row>
    <row r="6" spans="1:4" x14ac:dyDescent="0.35">
      <c r="A6" s="73" t="s">
        <v>144</v>
      </c>
      <c r="B6" s="148"/>
      <c r="C6" s="154"/>
      <c r="D6" s="150"/>
    </row>
    <row r="7" spans="1:4" x14ac:dyDescent="0.35">
      <c r="A7" s="73" t="s">
        <v>146</v>
      </c>
      <c r="B7" s="155"/>
      <c r="C7" s="156"/>
      <c r="D7" s="151"/>
    </row>
    <row r="8" spans="1:4" x14ac:dyDescent="0.35">
      <c r="A8" s="73" t="s">
        <v>22</v>
      </c>
      <c r="B8" s="155"/>
      <c r="C8" s="156"/>
      <c r="D8" s="151"/>
    </row>
    <row r="9" spans="1:4" x14ac:dyDescent="0.35">
      <c r="A9" s="73" t="s">
        <v>156</v>
      </c>
      <c r="B9" s="155"/>
      <c r="C9" s="156"/>
      <c r="D9" s="151"/>
    </row>
    <row r="10" spans="1:4" x14ac:dyDescent="0.35">
      <c r="A10" s="73" t="s">
        <v>157</v>
      </c>
      <c r="B10" s="155"/>
      <c r="C10" s="156"/>
      <c r="D10" s="151"/>
    </row>
    <row r="11" spans="1:4" x14ac:dyDescent="0.35">
      <c r="A11" s="73" t="s">
        <v>158</v>
      </c>
      <c r="B11" s="155"/>
      <c r="C11" s="156"/>
      <c r="D11" s="151"/>
    </row>
    <row r="12" spans="1:4" x14ac:dyDescent="0.35">
      <c r="A12" s="73" t="s">
        <v>148</v>
      </c>
      <c r="B12" s="155"/>
      <c r="C12" s="156"/>
      <c r="D12" s="151"/>
    </row>
    <row r="13" spans="1:4" x14ac:dyDescent="0.35">
      <c r="A13" s="73" t="s">
        <v>152</v>
      </c>
      <c r="B13" s="155"/>
      <c r="C13" s="156"/>
      <c r="D13" s="151"/>
    </row>
    <row r="14" spans="1:4" x14ac:dyDescent="0.35">
      <c r="A14" s="73" t="s">
        <v>153</v>
      </c>
      <c r="B14" s="155"/>
      <c r="C14" s="156"/>
      <c r="D14" s="151"/>
    </row>
    <row r="15" spans="1:4" x14ac:dyDescent="0.35">
      <c r="A15" s="73" t="s">
        <v>154</v>
      </c>
      <c r="B15" s="155"/>
      <c r="C15" s="156"/>
      <c r="D15" s="151"/>
    </row>
    <row r="16" spans="1:4" x14ac:dyDescent="0.35">
      <c r="A16" s="73" t="s">
        <v>155</v>
      </c>
      <c r="B16" s="155"/>
      <c r="C16" s="156"/>
      <c r="D16" s="151"/>
    </row>
    <row r="17" spans="1:10" x14ac:dyDescent="0.35">
      <c r="A17" s="73" t="s">
        <v>164</v>
      </c>
      <c r="B17" s="155"/>
      <c r="C17" s="156"/>
      <c r="D17" s="151"/>
    </row>
    <row r="18" spans="1:10" x14ac:dyDescent="0.35">
      <c r="A18" s="73" t="s">
        <v>163</v>
      </c>
      <c r="B18" s="155"/>
      <c r="C18" s="156"/>
      <c r="D18" s="151"/>
    </row>
    <row r="19" spans="1:10" x14ac:dyDescent="0.35">
      <c r="A19" s="73" t="s">
        <v>172</v>
      </c>
      <c r="B19" s="155"/>
      <c r="C19" s="156"/>
      <c r="D19" s="151"/>
    </row>
    <row r="20" spans="1:10" ht="15" thickBot="1" x14ac:dyDescent="0.4">
      <c r="A20" s="75" t="s">
        <v>147</v>
      </c>
      <c r="B20" s="157"/>
      <c r="C20" s="158"/>
      <c r="D20" s="152"/>
    </row>
    <row r="23" spans="1:10" ht="15" thickBot="1" x14ac:dyDescent="0.4"/>
    <row r="24" spans="1:10" ht="15" thickBot="1" x14ac:dyDescent="0.4">
      <c r="A24" s="61" t="s">
        <v>201</v>
      </c>
      <c r="B24" s="161" t="s">
        <v>202</v>
      </c>
      <c r="C24" s="161"/>
      <c r="D24" s="161"/>
      <c r="E24" s="162"/>
      <c r="F24" s="162"/>
      <c r="G24" s="162"/>
      <c r="H24" s="162"/>
      <c r="I24" s="162"/>
      <c r="J24" s="163"/>
    </row>
    <row r="25" spans="1:10" x14ac:dyDescent="0.35">
      <c r="A25" s="17" t="s">
        <v>203</v>
      </c>
      <c r="B25" s="159" t="s">
        <v>204</v>
      </c>
      <c r="C25" s="159"/>
      <c r="D25" s="159"/>
      <c r="E25" s="5"/>
      <c r="F25" s="5"/>
      <c r="G25" s="5"/>
      <c r="H25" s="5"/>
      <c r="I25" s="5"/>
      <c r="J25" s="18"/>
    </row>
    <row r="26" spans="1:10" ht="15" thickBot="1" x14ac:dyDescent="0.4">
      <c r="A26" s="19" t="s">
        <v>205</v>
      </c>
      <c r="B26" s="160" t="s">
        <v>206</v>
      </c>
      <c r="C26" s="160" t="e" cm="1">
        <f t="array" ref="C26" xml:space="preserve"> ts_P (timeseries target var split into test and train)</f>
        <v>#NAME?</v>
      </c>
      <c r="D26" s="160"/>
      <c r="E26" s="20"/>
      <c r="F26" s="20"/>
      <c r="G26" s="20"/>
      <c r="H26" s="20"/>
      <c r="I26" s="20"/>
      <c r="J26" s="21"/>
    </row>
    <row r="27" spans="1:10" x14ac:dyDescent="0.35">
      <c r="A27" t="s">
        <v>207</v>
      </c>
      <c r="B27" s="145" t="s">
        <v>209</v>
      </c>
      <c r="C27" s="145" t="e" cm="1">
        <f t="array" ref="C27" xml:space="preserve"> ts_train fit_transformed</f>
        <v>#NAME?</v>
      </c>
      <c r="D27" s="145"/>
    </row>
    <row r="28" spans="1:10" x14ac:dyDescent="0.35">
      <c r="A28" t="s">
        <v>208</v>
      </c>
      <c r="B28" s="145" t="s">
        <v>210</v>
      </c>
      <c r="C28" s="145" t="e" cm="1">
        <f t="array" ref="C28" xml:space="preserve"> ts_test transformed</f>
        <v>#NAME?</v>
      </c>
      <c r="D28" s="145"/>
    </row>
    <row r="29" spans="1:10" x14ac:dyDescent="0.35">
      <c r="B29" s="145"/>
      <c r="C29" s="145"/>
      <c r="D29" s="145"/>
    </row>
    <row r="30" spans="1:10" x14ac:dyDescent="0.35">
      <c r="B30" s="145"/>
      <c r="C30" s="145"/>
      <c r="D30" s="145"/>
    </row>
    <row r="31" spans="1:10" x14ac:dyDescent="0.35">
      <c r="B31" s="145"/>
      <c r="C31" s="145"/>
      <c r="D31" s="145"/>
    </row>
    <row r="32" spans="1:10" x14ac:dyDescent="0.35">
      <c r="B32" s="145"/>
      <c r="C32" s="145"/>
      <c r="D32" s="145"/>
    </row>
    <row r="33" spans="2:4" x14ac:dyDescent="0.35">
      <c r="B33" s="145"/>
      <c r="C33" s="145"/>
      <c r="D33" s="145"/>
    </row>
    <row r="34" spans="2:4" x14ac:dyDescent="0.35">
      <c r="B34" s="145"/>
      <c r="C34" s="145"/>
      <c r="D34" s="145"/>
    </row>
    <row r="35" spans="2:4" x14ac:dyDescent="0.35">
      <c r="B35" s="145"/>
      <c r="C35" s="145"/>
      <c r="D35" s="145"/>
    </row>
    <row r="36" spans="2:4" x14ac:dyDescent="0.35">
      <c r="B36" s="145"/>
      <c r="C36" s="145"/>
      <c r="D36" s="145"/>
    </row>
    <row r="37" spans="2:4" x14ac:dyDescent="0.35">
      <c r="B37" s="145"/>
      <c r="C37" s="145"/>
      <c r="D37" s="145"/>
    </row>
    <row r="38" spans="2:4" x14ac:dyDescent="0.35">
      <c r="B38" s="145"/>
      <c r="C38" s="145"/>
      <c r="D38" s="145"/>
    </row>
    <row r="39" spans="2:4" x14ac:dyDescent="0.35">
      <c r="B39" s="145"/>
      <c r="C39" s="145"/>
      <c r="D39" s="145"/>
    </row>
    <row r="40" spans="2:4" x14ac:dyDescent="0.35">
      <c r="B40" s="145"/>
      <c r="C40" s="145"/>
      <c r="D40" s="145"/>
    </row>
    <row r="41" spans="2:4" x14ac:dyDescent="0.35">
      <c r="B41" s="145"/>
      <c r="C41" s="145"/>
      <c r="D41" s="145"/>
    </row>
    <row r="42" spans="2:4" x14ac:dyDescent="0.35">
      <c r="B42" s="145"/>
      <c r="C42" s="145"/>
      <c r="D42" s="145"/>
    </row>
    <row r="43" spans="2:4" x14ac:dyDescent="0.35">
      <c r="B43" s="145"/>
      <c r="C43" s="145"/>
      <c r="D43" s="145"/>
    </row>
    <row r="44" spans="2:4" x14ac:dyDescent="0.35">
      <c r="B44" s="145"/>
      <c r="C44" s="145"/>
      <c r="D44" s="145"/>
    </row>
    <row r="45" spans="2:4" x14ac:dyDescent="0.35">
      <c r="B45" s="145"/>
      <c r="C45" s="145"/>
      <c r="D45" s="145"/>
    </row>
    <row r="46" spans="2:4" x14ac:dyDescent="0.35">
      <c r="B46" s="145"/>
      <c r="C46" s="145"/>
      <c r="D46" s="145"/>
    </row>
    <row r="47" spans="2:4" x14ac:dyDescent="0.35">
      <c r="B47" s="145"/>
      <c r="C47" s="145"/>
      <c r="D47" s="145"/>
    </row>
    <row r="48" spans="2:4" x14ac:dyDescent="0.35">
      <c r="B48" s="145"/>
      <c r="C48" s="145"/>
      <c r="D48" s="145"/>
    </row>
    <row r="49" spans="2:4" x14ac:dyDescent="0.35">
      <c r="B49" s="145"/>
      <c r="C49" s="145"/>
      <c r="D49" s="145"/>
    </row>
    <row r="50" spans="2:4" x14ac:dyDescent="0.35">
      <c r="B50" s="145"/>
      <c r="C50" s="145"/>
      <c r="D50" s="145"/>
    </row>
    <row r="51" spans="2:4" x14ac:dyDescent="0.35">
      <c r="B51" s="145"/>
      <c r="C51" s="145"/>
      <c r="D51" s="145"/>
    </row>
    <row r="52" spans="2:4" x14ac:dyDescent="0.35">
      <c r="B52" s="145"/>
      <c r="C52" s="145"/>
      <c r="D52" s="145"/>
    </row>
    <row r="53" spans="2:4" x14ac:dyDescent="0.35">
      <c r="B53" s="145"/>
      <c r="C53" s="145"/>
      <c r="D53" s="145"/>
    </row>
    <row r="54" spans="2:4" x14ac:dyDescent="0.35">
      <c r="B54" s="145"/>
      <c r="C54" s="145"/>
      <c r="D54" s="145"/>
    </row>
    <row r="55" spans="2:4" x14ac:dyDescent="0.35">
      <c r="B55" s="145"/>
      <c r="C55" s="145"/>
      <c r="D55" s="145"/>
    </row>
    <row r="56" spans="2:4" x14ac:dyDescent="0.35">
      <c r="B56" s="145"/>
      <c r="C56" s="145"/>
      <c r="D56" s="145"/>
    </row>
    <row r="57" spans="2:4" x14ac:dyDescent="0.35">
      <c r="B57" s="145"/>
      <c r="C57" s="145"/>
      <c r="D57" s="145"/>
    </row>
    <row r="58" spans="2:4" x14ac:dyDescent="0.35">
      <c r="B58" s="145"/>
      <c r="C58" s="145"/>
      <c r="D58" s="145"/>
    </row>
    <row r="59" spans="2:4" x14ac:dyDescent="0.35">
      <c r="B59" s="145"/>
      <c r="C59" s="145"/>
      <c r="D59" s="145"/>
    </row>
    <row r="60" spans="2:4" x14ac:dyDescent="0.35">
      <c r="B60" s="145"/>
      <c r="C60" s="145"/>
      <c r="D60" s="145"/>
    </row>
    <row r="61" spans="2:4" x14ac:dyDescent="0.35">
      <c r="B61" s="145"/>
      <c r="C61" s="145"/>
      <c r="D61" s="145"/>
    </row>
    <row r="62" spans="2:4" x14ac:dyDescent="0.35">
      <c r="B62" s="145"/>
      <c r="C62" s="145"/>
      <c r="D62" s="145"/>
    </row>
    <row r="63" spans="2:4" x14ac:dyDescent="0.35">
      <c r="B63" s="145"/>
      <c r="C63" s="145"/>
      <c r="D63" s="145"/>
    </row>
    <row r="64" spans="2:4" x14ac:dyDescent="0.35">
      <c r="B64" s="145"/>
      <c r="C64" s="145"/>
      <c r="D64" s="145"/>
    </row>
    <row r="65" spans="2:4" x14ac:dyDescent="0.35">
      <c r="B65" s="145"/>
      <c r="C65" s="145"/>
      <c r="D65" s="145"/>
    </row>
    <row r="66" spans="2:4" x14ac:dyDescent="0.35">
      <c r="B66" s="145"/>
      <c r="C66" s="145"/>
      <c r="D66" s="145"/>
    </row>
    <row r="67" spans="2:4" x14ac:dyDescent="0.35">
      <c r="B67" s="145"/>
      <c r="C67" s="145"/>
      <c r="D67" s="145"/>
    </row>
    <row r="68" spans="2:4" x14ac:dyDescent="0.35">
      <c r="B68" s="145"/>
      <c r="C68" s="145"/>
      <c r="D68" s="145"/>
    </row>
    <row r="69" spans="2:4" x14ac:dyDescent="0.35">
      <c r="B69" s="145"/>
      <c r="C69" s="145"/>
      <c r="D69" s="145"/>
    </row>
    <row r="70" spans="2:4" x14ac:dyDescent="0.35">
      <c r="B70" s="145"/>
      <c r="C70" s="145"/>
      <c r="D70" s="145"/>
    </row>
    <row r="71" spans="2:4" x14ac:dyDescent="0.35">
      <c r="B71" s="145"/>
      <c r="C71" s="145"/>
      <c r="D71" s="145"/>
    </row>
    <row r="72" spans="2:4" x14ac:dyDescent="0.35">
      <c r="B72" s="145"/>
      <c r="C72" s="145"/>
      <c r="D72" s="145"/>
    </row>
    <row r="73" spans="2:4" x14ac:dyDescent="0.35">
      <c r="B73" s="145"/>
      <c r="C73" s="145"/>
      <c r="D73" s="145"/>
    </row>
    <row r="74" spans="2:4" x14ac:dyDescent="0.35">
      <c r="B74" s="145"/>
      <c r="C74" s="145"/>
      <c r="D74" s="145"/>
    </row>
    <row r="75" spans="2:4" x14ac:dyDescent="0.35">
      <c r="B75" s="145"/>
      <c r="C75" s="145"/>
      <c r="D75" s="145"/>
    </row>
    <row r="76" spans="2:4" x14ac:dyDescent="0.35">
      <c r="B76" s="145"/>
      <c r="C76" s="145"/>
      <c r="D76" s="145"/>
    </row>
    <row r="77" spans="2:4" x14ac:dyDescent="0.35">
      <c r="B77" s="145"/>
      <c r="C77" s="145"/>
      <c r="D77" s="145"/>
    </row>
    <row r="78" spans="2:4" x14ac:dyDescent="0.35">
      <c r="B78" s="145"/>
      <c r="C78" s="145"/>
      <c r="D78" s="145"/>
    </row>
    <row r="79" spans="2:4" x14ac:dyDescent="0.35">
      <c r="B79" s="145"/>
      <c r="C79" s="145"/>
      <c r="D79" s="145"/>
    </row>
    <row r="80" spans="2:4" x14ac:dyDescent="0.35">
      <c r="B80" s="145"/>
      <c r="C80" s="145"/>
      <c r="D80" s="145"/>
    </row>
    <row r="81" spans="2:4" x14ac:dyDescent="0.35">
      <c r="B81" s="145"/>
      <c r="C81" s="145"/>
      <c r="D81" s="145"/>
    </row>
    <row r="82" spans="2:4" x14ac:dyDescent="0.35">
      <c r="B82" s="145"/>
      <c r="C82" s="145"/>
      <c r="D82" s="145"/>
    </row>
    <row r="83" spans="2:4" x14ac:dyDescent="0.35">
      <c r="B83" s="145"/>
      <c r="C83" s="145"/>
      <c r="D83" s="145"/>
    </row>
    <row r="84" spans="2:4" x14ac:dyDescent="0.35">
      <c r="B84" s="145"/>
      <c r="C84" s="145"/>
      <c r="D84" s="145"/>
    </row>
    <row r="85" spans="2:4" x14ac:dyDescent="0.35">
      <c r="B85" s="145"/>
      <c r="C85" s="145"/>
      <c r="D85" s="145"/>
    </row>
    <row r="86" spans="2:4" x14ac:dyDescent="0.35">
      <c r="B86" s="145"/>
      <c r="C86" s="145"/>
      <c r="D86" s="145"/>
    </row>
    <row r="87" spans="2:4" x14ac:dyDescent="0.35">
      <c r="B87" s="145"/>
      <c r="C87" s="145"/>
      <c r="D87" s="145"/>
    </row>
    <row r="88" spans="2:4" x14ac:dyDescent="0.35">
      <c r="B88" s="145"/>
      <c r="C88" s="145"/>
      <c r="D88" s="145"/>
    </row>
    <row r="89" spans="2:4" x14ac:dyDescent="0.35">
      <c r="B89" s="145"/>
      <c r="C89" s="145"/>
      <c r="D89" s="145"/>
    </row>
    <row r="90" spans="2:4" x14ac:dyDescent="0.35">
      <c r="B90" s="145"/>
      <c r="C90" s="145"/>
      <c r="D90" s="145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BE153-95B0-410D-8663-8CB7F52AC6AE}">
  <dimension ref="A1:J9"/>
  <sheetViews>
    <sheetView workbookViewId="0">
      <selection activeCell="F19" sqref="F19"/>
    </sheetView>
  </sheetViews>
  <sheetFormatPr defaultRowHeight="14.5" x14ac:dyDescent="0.35"/>
  <sheetData>
    <row r="1" spans="1:10" ht="15" thickBot="1" x14ac:dyDescent="0.4">
      <c r="A1" s="59"/>
      <c r="B1" s="181">
        <v>2012</v>
      </c>
      <c r="C1" s="182">
        <v>2013</v>
      </c>
      <c r="D1" s="182">
        <v>2014</v>
      </c>
      <c r="E1" s="182">
        <v>2015</v>
      </c>
      <c r="F1" s="182">
        <v>2016</v>
      </c>
      <c r="G1" s="182">
        <v>2017</v>
      </c>
      <c r="H1" s="182">
        <v>2018</v>
      </c>
      <c r="I1" s="182">
        <v>2019</v>
      </c>
      <c r="J1" s="183">
        <v>2020</v>
      </c>
    </row>
    <row r="2" spans="1:10" x14ac:dyDescent="0.35">
      <c r="A2" s="178" t="s">
        <v>270</v>
      </c>
      <c r="B2" s="184"/>
      <c r="C2" s="185"/>
      <c r="D2" s="185"/>
      <c r="E2" s="185"/>
      <c r="F2" s="190"/>
      <c r="G2" s="179"/>
      <c r="H2" s="179"/>
      <c r="I2" s="179"/>
      <c r="J2" s="180"/>
    </row>
    <row r="3" spans="1:10" x14ac:dyDescent="0.35">
      <c r="A3" s="176" t="s">
        <v>271</v>
      </c>
      <c r="B3" s="186"/>
      <c r="C3" s="187"/>
      <c r="D3" s="187"/>
      <c r="E3" s="187"/>
      <c r="F3" s="187"/>
      <c r="G3" s="191"/>
      <c r="H3" s="72"/>
      <c r="I3" s="72"/>
      <c r="J3" s="74"/>
    </row>
    <row r="4" spans="1:10" x14ac:dyDescent="0.35">
      <c r="A4" s="176" t="s">
        <v>272</v>
      </c>
      <c r="B4" s="186"/>
      <c r="C4" s="187"/>
      <c r="D4" s="187"/>
      <c r="E4" s="187"/>
      <c r="F4" s="187"/>
      <c r="G4" s="187"/>
      <c r="H4" s="191"/>
      <c r="I4" s="72"/>
      <c r="J4" s="74"/>
    </row>
    <row r="5" spans="1:10" x14ac:dyDescent="0.35">
      <c r="A5" s="176" t="s">
        <v>273</v>
      </c>
      <c r="B5" s="186"/>
      <c r="C5" s="187"/>
      <c r="D5" s="187"/>
      <c r="E5" s="187"/>
      <c r="F5" s="187"/>
      <c r="G5" s="187"/>
      <c r="H5" s="187"/>
      <c r="I5" s="191"/>
      <c r="J5" s="74"/>
    </row>
    <row r="6" spans="1:10" ht="15" thickBot="1" x14ac:dyDescent="0.4">
      <c r="A6" s="177" t="s">
        <v>274</v>
      </c>
      <c r="B6" s="188"/>
      <c r="C6" s="189"/>
      <c r="D6" s="189"/>
      <c r="E6" s="189"/>
      <c r="F6" s="189"/>
      <c r="G6" s="189"/>
      <c r="H6" s="189"/>
      <c r="I6" s="189"/>
      <c r="J6" s="192"/>
    </row>
    <row r="7" spans="1:10" ht="15" thickBot="1" x14ac:dyDescent="0.4"/>
    <row r="8" spans="1:10" ht="15" thickBot="1" x14ac:dyDescent="0.4">
      <c r="B8" s="193"/>
      <c r="C8" s="5" t="s">
        <v>275</v>
      </c>
      <c r="D8" s="5"/>
      <c r="E8" s="5"/>
      <c r="F8" s="18"/>
    </row>
    <row r="9" spans="1:10" ht="15" thickBot="1" x14ac:dyDescent="0.4">
      <c r="B9" s="194"/>
      <c r="C9" s="20" t="s">
        <v>276</v>
      </c>
      <c r="D9" s="20"/>
      <c r="E9" s="20"/>
      <c r="F9" s="21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9E52-4CD6-40D1-A232-5DEE7155FDC0}">
  <dimension ref="A1:F32"/>
  <sheetViews>
    <sheetView workbookViewId="0">
      <selection activeCell="C8" sqref="C8"/>
    </sheetView>
  </sheetViews>
  <sheetFormatPr defaultRowHeight="14.5" x14ac:dyDescent="0.35"/>
  <cols>
    <col min="1" max="1" width="11.453125" style="12" customWidth="1"/>
    <col min="2" max="2" width="11.26953125" style="12" customWidth="1"/>
    <col min="3" max="3" width="16.1796875" style="2" customWidth="1"/>
    <col min="4" max="4" width="11.26953125" style="2" customWidth="1"/>
    <col min="5" max="5" width="97.6328125" customWidth="1"/>
  </cols>
  <sheetData>
    <row r="1" spans="1:5" ht="15" thickBot="1" x14ac:dyDescent="0.4">
      <c r="A1" s="164" t="s">
        <v>211</v>
      </c>
      <c r="B1" s="164" t="s">
        <v>217</v>
      </c>
      <c r="C1" s="165" t="s">
        <v>212</v>
      </c>
      <c r="D1" s="165" t="s">
        <v>217</v>
      </c>
      <c r="E1" s="166" t="s">
        <v>213</v>
      </c>
    </row>
    <row r="2" spans="1:5" ht="15" thickBot="1" x14ac:dyDescent="0.4">
      <c r="A2" s="61" t="s">
        <v>201</v>
      </c>
      <c r="B2" s="61"/>
      <c r="C2" s="59"/>
      <c r="D2" s="59"/>
      <c r="E2" s="167" t="s">
        <v>228</v>
      </c>
    </row>
    <row r="3" spans="1:5" x14ac:dyDescent="0.35">
      <c r="A3" s="17" t="s">
        <v>203</v>
      </c>
      <c r="B3" s="17"/>
      <c r="C3" s="71"/>
      <c r="D3" s="71"/>
      <c r="E3" s="159" t="s">
        <v>204</v>
      </c>
    </row>
    <row r="4" spans="1:5" ht="15" thickBot="1" x14ac:dyDescent="0.4">
      <c r="A4" s="12" t="s">
        <v>205</v>
      </c>
      <c r="E4" s="145" t="s">
        <v>206</v>
      </c>
    </row>
    <row r="5" spans="1:5" s="5" customFormat="1" x14ac:dyDescent="0.35">
      <c r="A5" s="17" t="s">
        <v>207</v>
      </c>
      <c r="B5" s="17"/>
      <c r="C5" s="71"/>
      <c r="D5" s="71"/>
      <c r="E5" s="159" t="s">
        <v>209</v>
      </c>
    </row>
    <row r="6" spans="1:5" s="20" customFormat="1" ht="15" thickBot="1" x14ac:dyDescent="0.4">
      <c r="A6" s="19" t="s">
        <v>208</v>
      </c>
      <c r="B6" s="19"/>
      <c r="C6" s="70"/>
      <c r="D6" s="70"/>
      <c r="E6" s="160" t="s">
        <v>210</v>
      </c>
    </row>
    <row r="7" spans="1:5" s="20" customFormat="1" ht="15" thickBot="1" x14ac:dyDescent="0.4">
      <c r="A7" s="19" t="s">
        <v>240</v>
      </c>
      <c r="B7" s="19" t="s">
        <v>257</v>
      </c>
      <c r="C7" s="70"/>
      <c r="D7" s="70"/>
      <c r="E7" s="160" t="s">
        <v>241</v>
      </c>
    </row>
    <row r="8" spans="1:5" s="162" customFormat="1" ht="15" thickBot="1" x14ac:dyDescent="0.4">
      <c r="A8" s="61" t="s">
        <v>214</v>
      </c>
      <c r="B8" s="61" t="s">
        <v>257</v>
      </c>
      <c r="C8" s="59"/>
      <c r="D8" s="59"/>
      <c r="E8" s="160" t="s">
        <v>242</v>
      </c>
    </row>
    <row r="9" spans="1:5" x14ac:dyDescent="0.35">
      <c r="A9" s="12" t="s">
        <v>215</v>
      </c>
      <c r="B9" s="12" t="s">
        <v>239</v>
      </c>
      <c r="E9" s="145" t="s">
        <v>234</v>
      </c>
    </row>
    <row r="10" spans="1:5" ht="15" thickBot="1" x14ac:dyDescent="0.4">
      <c r="A10" s="12" t="s">
        <v>216</v>
      </c>
      <c r="B10" s="12" t="s">
        <v>238</v>
      </c>
      <c r="E10" s="145" t="s">
        <v>243</v>
      </c>
    </row>
    <row r="11" spans="1:5" s="162" customFormat="1" ht="15" thickBot="1" x14ac:dyDescent="0.4">
      <c r="A11" s="61" t="s">
        <v>218</v>
      </c>
      <c r="B11" s="61" t="s">
        <v>237</v>
      </c>
      <c r="C11" s="59" t="s">
        <v>244</v>
      </c>
      <c r="D11" s="59"/>
      <c r="E11" s="162" t="s">
        <v>236</v>
      </c>
    </row>
    <row r="12" spans="1:5" s="5" customFormat="1" x14ac:dyDescent="0.35">
      <c r="A12" s="17" t="s">
        <v>201</v>
      </c>
      <c r="B12" s="17" t="s">
        <v>238</v>
      </c>
      <c r="C12" s="71"/>
      <c r="D12" s="71"/>
      <c r="E12" s="145" t="s">
        <v>245</v>
      </c>
    </row>
    <row r="13" spans="1:5" ht="15" thickBot="1" x14ac:dyDescent="0.4">
      <c r="A13" s="12" t="s">
        <v>219</v>
      </c>
      <c r="B13" s="12" t="s">
        <v>239</v>
      </c>
      <c r="E13" s="145" t="s">
        <v>246</v>
      </c>
    </row>
    <row r="14" spans="1:5" s="5" customFormat="1" x14ac:dyDescent="0.35">
      <c r="A14" s="17" t="s">
        <v>220</v>
      </c>
      <c r="B14" s="17" t="s">
        <v>238</v>
      </c>
      <c r="C14" s="71"/>
      <c r="D14" s="71"/>
      <c r="E14" s="159" t="s">
        <v>247</v>
      </c>
    </row>
    <row r="15" spans="1:5" s="20" customFormat="1" ht="15" thickBot="1" x14ac:dyDescent="0.4">
      <c r="A15" s="19" t="s">
        <v>221</v>
      </c>
      <c r="B15" s="19" t="s">
        <v>239</v>
      </c>
      <c r="C15" s="70"/>
      <c r="D15" s="70"/>
      <c r="E15" s="160" t="s">
        <v>248</v>
      </c>
    </row>
    <row r="16" spans="1:5" s="5" customFormat="1" x14ac:dyDescent="0.35">
      <c r="A16" s="17" t="s">
        <v>229</v>
      </c>
      <c r="B16" s="12" t="s">
        <v>239</v>
      </c>
      <c r="C16" s="71"/>
      <c r="D16" s="71"/>
      <c r="E16" t="s">
        <v>231</v>
      </c>
    </row>
    <row r="17" spans="1:6" ht="15" thickBot="1" x14ac:dyDescent="0.4">
      <c r="A17" s="12" t="s">
        <v>230</v>
      </c>
      <c r="B17" s="12" t="s">
        <v>238</v>
      </c>
      <c r="E17" t="s">
        <v>231</v>
      </c>
    </row>
    <row r="18" spans="1:6" s="5" customFormat="1" x14ac:dyDescent="0.35">
      <c r="A18" s="17" t="s">
        <v>223</v>
      </c>
      <c r="B18" s="17" t="s">
        <v>239</v>
      </c>
      <c r="C18" s="71"/>
      <c r="D18" s="71"/>
      <c r="E18" s="5" t="s">
        <v>250</v>
      </c>
    </row>
    <row r="19" spans="1:6" s="20" customFormat="1" ht="15" thickBot="1" x14ac:dyDescent="0.4">
      <c r="A19" s="19" t="s">
        <v>225</v>
      </c>
      <c r="B19" s="19" t="s">
        <v>238</v>
      </c>
      <c r="C19" s="70"/>
      <c r="D19" s="70"/>
      <c r="E19" s="20" t="s">
        <v>250</v>
      </c>
    </row>
    <row r="20" spans="1:6" s="5" customFormat="1" x14ac:dyDescent="0.35">
      <c r="A20" s="17" t="s">
        <v>232</v>
      </c>
      <c r="B20" s="17" t="s">
        <v>238</v>
      </c>
      <c r="C20" s="71"/>
      <c r="D20" s="71"/>
      <c r="E20" s="71" t="s">
        <v>251</v>
      </c>
    </row>
    <row r="21" spans="1:6" x14ac:dyDescent="0.35">
      <c r="A21" s="12" t="s">
        <v>233</v>
      </c>
      <c r="B21" s="12" t="s">
        <v>238</v>
      </c>
      <c r="E21" s="2" t="s">
        <v>251</v>
      </c>
    </row>
    <row r="22" spans="1:6" x14ac:dyDescent="0.35">
      <c r="A22" s="12" t="s">
        <v>222</v>
      </c>
      <c r="B22" s="12" t="s">
        <v>238</v>
      </c>
      <c r="E22" s="2" t="s">
        <v>252</v>
      </c>
    </row>
    <row r="23" spans="1:6" s="20" customFormat="1" ht="15" thickBot="1" x14ac:dyDescent="0.4">
      <c r="A23" s="19" t="s">
        <v>224</v>
      </c>
      <c r="B23" s="19" t="s">
        <v>238</v>
      </c>
      <c r="C23" s="70"/>
      <c r="D23" s="70"/>
      <c r="E23" s="70" t="s">
        <v>252</v>
      </c>
    </row>
    <row r="24" spans="1:6" x14ac:dyDescent="0.35">
      <c r="A24" s="12" t="s">
        <v>255</v>
      </c>
      <c r="B24" s="17" t="s">
        <v>237</v>
      </c>
      <c r="E24" s="12" t="s">
        <v>256</v>
      </c>
    </row>
    <row r="25" spans="1:6" ht="15" thickBot="1" x14ac:dyDescent="0.4">
      <c r="A25" s="12" t="s">
        <v>235</v>
      </c>
      <c r="B25" s="2" t="s">
        <v>237</v>
      </c>
      <c r="E25" t="s">
        <v>253</v>
      </c>
    </row>
    <row r="26" spans="1:6" s="5" customFormat="1" x14ac:dyDescent="0.35">
      <c r="A26" s="17" t="s">
        <v>226</v>
      </c>
      <c r="B26" s="17" t="s">
        <v>237</v>
      </c>
      <c r="C26" s="71"/>
      <c r="D26" s="71"/>
      <c r="E26" s="5" t="s">
        <v>254</v>
      </c>
    </row>
    <row r="27" spans="1:6" s="20" customFormat="1" ht="15" thickBot="1" x14ac:dyDescent="0.4">
      <c r="A27" s="19" t="s">
        <v>227</v>
      </c>
      <c r="B27" s="19" t="s">
        <v>237</v>
      </c>
      <c r="C27" s="70"/>
      <c r="D27" s="70"/>
      <c r="E27" s="20" t="s">
        <v>254</v>
      </c>
    </row>
    <row r="29" spans="1:6" x14ac:dyDescent="0.35">
      <c r="F29" t="s">
        <v>249</v>
      </c>
    </row>
    <row r="32" spans="1:6" x14ac:dyDescent="0.35">
      <c r="E32" t="s">
        <v>249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4E320B-7FB0-4822-AF6C-1D7F9147CC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 - apx1 apx2</vt:lpstr>
      <vt:lpstr>COMPARISON 1 - apx 3</vt:lpstr>
      <vt:lpstr>COMPARISON 2 - apx 4</vt:lpstr>
      <vt:lpstr>COMPARISON 3 - apx 5</vt:lpstr>
      <vt:lpstr>COMPARISON 4 - apx 6</vt:lpstr>
      <vt:lpstr>COMPARISON 5 - apx 7</vt:lpstr>
      <vt:lpstr>Feature Map</vt:lpstr>
      <vt:lpstr>experiment 1 - LSTM</vt:lpstr>
      <vt:lpstr>known vs unknown</vt:lpstr>
      <vt:lpstr>expanding window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</dc:creator>
  <cp:lastModifiedBy>Mark</cp:lastModifiedBy>
  <cp:lastPrinted>2022-09-11T15:38:11Z</cp:lastPrinted>
  <dcterms:created xsi:type="dcterms:W3CDTF">2022-09-09T15:19:10Z</dcterms:created>
  <dcterms:modified xsi:type="dcterms:W3CDTF">2022-09-19T06:11:13Z</dcterms:modified>
</cp:coreProperties>
</file>