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61f9bb5fb966563/PROYECTOS/ENERTING/ENERGIA RENOVABLE/PROPUESTAS FOTOVOLTAICA/00578 Diobel Sosa/"/>
    </mc:Choice>
  </mc:AlternateContent>
  <xr:revisionPtr revIDLastSave="323" documentId="13_ncr:1_{7AA90D4F-B783-4369-80AE-C5563152CA92}" xr6:coauthVersionLast="47" xr6:coauthVersionMax="47" xr10:uidLastSave="{ACFF4338-81D9-44B5-9242-C43E92E8BE45}"/>
  <bookViews>
    <workbookView xWindow="-108" yWindow="-108" windowWidth="23256" windowHeight="12576" tabRatio="818" activeTab="7" xr2:uid="{00000000-000D-0000-FFFF-FFFF00000000}"/>
  </bookViews>
  <sheets>
    <sheet name="INTRO PV" sheetId="21" r:id="rId1"/>
    <sheet name="COSTOS" sheetId="2" r:id="rId2"/>
    <sheet name="DIMENSION PLANTA SOLAR" sheetId="5" r:id="rId3"/>
    <sheet name="DESCRIPCION TECNICA" sheetId="25" r:id="rId4"/>
    <sheet name="MODELO ECONOMICO" sheetId="3" r:id="rId5"/>
    <sheet name="GARANTIAS" sheetId="24" r:id="rId6"/>
    <sheet name="DISTRIBUCION PANELES" sheetId="26" r:id="rId7"/>
    <sheet name="LiSTA PRECIO" sheetId="22" r:id="rId8"/>
    <sheet name="Entrada" sheetId="12" r:id="rId9"/>
    <sheet name="BTS1" sheetId="13" r:id="rId10"/>
    <sheet name="BTS2" sheetId="14" r:id="rId11"/>
    <sheet name="BTD" sheetId="15" r:id="rId12"/>
    <sheet name="BTH" sheetId="16" r:id="rId13"/>
    <sheet name="MTD1" sheetId="17" r:id="rId14"/>
    <sheet name="MTD2" sheetId="18" r:id="rId15"/>
    <sheet name="MTH" sheetId="19" r:id="rId16"/>
    <sheet name="Cuadro Tarifario" sheetId="20" r:id="rId17"/>
    <sheet name="Localidad" sheetId="23" r:id="rId18"/>
  </sheets>
  <externalReferences>
    <externalReference r:id="rId19"/>
  </externalReferences>
  <definedNames>
    <definedName name="_xlnm.Print_Area" localSheetId="2">'DIMENSION PLANTA SOLAR'!$B$1:$O$26</definedName>
    <definedName name="_xlnm.Print_Area" localSheetId="4">'MODELO ECONOMICO'!$B$33:$P$33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25" l="1"/>
  <c r="B5" i="25"/>
  <c r="G4" i="25"/>
  <c r="B4" i="25"/>
  <c r="G13" i="22"/>
  <c r="H13" i="22" s="1"/>
  <c r="G12" i="22" l="1"/>
  <c r="H12" i="22" s="1"/>
  <c r="J10" i="26"/>
  <c r="J13" i="26"/>
  <c r="D27" i="26"/>
  <c r="D28" i="26"/>
  <c r="G11" i="22"/>
  <c r="H11" i="22" s="1"/>
  <c r="J17" i="21"/>
  <c r="G17" i="22"/>
  <c r="H17" i="22" s="1"/>
  <c r="K25" i="22"/>
  <c r="K26" i="22"/>
  <c r="K24" i="22"/>
  <c r="K23" i="22"/>
  <c r="G27" i="22"/>
  <c r="H27" i="22" s="1"/>
  <c r="G16" i="22" l="1"/>
  <c r="H16" i="22" s="1"/>
  <c r="G15" i="22" l="1"/>
  <c r="H15" i="22" s="1"/>
  <c r="G28" i="21" l="1"/>
  <c r="G21" i="22" l="1"/>
  <c r="H21" i="22" s="1"/>
  <c r="G14" i="22"/>
  <c r="H14" i="22" s="1"/>
  <c r="N13" i="5" l="1"/>
  <c r="M13" i="5"/>
  <c r="L13" i="5"/>
  <c r="K13" i="5"/>
  <c r="J13" i="5"/>
  <c r="G23" i="21" l="1"/>
  <c r="G27" i="21" s="1"/>
  <c r="G24" i="21" l="1"/>
  <c r="B16" i="2"/>
  <c r="B17" i="2"/>
  <c r="G7" i="22" l="1"/>
  <c r="H7" i="22" s="1"/>
  <c r="G29" i="22" l="1"/>
  <c r="H29" i="22" s="1"/>
  <c r="G8" i="22" l="1"/>
  <c r="H8" i="22" s="1"/>
  <c r="G9" i="22" l="1"/>
  <c r="H9" i="22" s="1"/>
  <c r="G28" i="22" l="1"/>
  <c r="H28" i="22" s="1"/>
  <c r="G30" i="22" l="1"/>
  <c r="H30" i="22" s="1"/>
  <c r="G10" i="22"/>
  <c r="H10" i="22" s="1"/>
  <c r="K36" i="3" l="1"/>
  <c r="AB5" i="3" s="1"/>
  <c r="G11" i="25"/>
  <c r="D29" i="26" s="1"/>
  <c r="I5" i="25"/>
  <c r="G13" i="25" s="1"/>
  <c r="I4" i="25"/>
  <c r="C13" i="5"/>
  <c r="C21" i="5" s="1"/>
  <c r="D13" i="5"/>
  <c r="C22" i="5" s="1"/>
  <c r="E13" i="5"/>
  <c r="C23" i="5" s="1"/>
  <c r="C32" i="5"/>
  <c r="G5" i="22"/>
  <c r="H5" i="22" s="1"/>
  <c r="J5" i="5" l="1"/>
  <c r="K5" i="5"/>
  <c r="I5" i="5"/>
  <c r="D5" i="5"/>
  <c r="L5" i="5"/>
  <c r="N5" i="5"/>
  <c r="E5" i="5"/>
  <c r="M5" i="5"/>
  <c r="F5" i="5"/>
  <c r="G5" i="5"/>
  <c r="C5" i="5"/>
  <c r="H5" i="5"/>
  <c r="G12" i="25"/>
  <c r="D30" i="26" l="1"/>
  <c r="G20" i="22"/>
  <c r="H20" i="22" s="1"/>
  <c r="G23" i="22" l="1"/>
  <c r="H23" i="22" s="1"/>
  <c r="G22" i="22"/>
  <c r="H22" i="22" s="1"/>
  <c r="B19" i="2" l="1"/>
  <c r="C4" i="21" l="1"/>
  <c r="C25" i="21" l="1"/>
  <c r="B14" i="2" l="1"/>
  <c r="B21" i="2"/>
  <c r="B20" i="2"/>
  <c r="B18" i="2"/>
  <c r="B11" i="2"/>
  <c r="B10" i="2"/>
  <c r="C5" i="2"/>
  <c r="C4" i="2"/>
  <c r="F41" i="22" l="1"/>
  <c r="G41" i="22" s="1"/>
  <c r="H41" i="22" s="1"/>
  <c r="F44" i="22"/>
  <c r="G44" i="22" s="1"/>
  <c r="H44" i="22" s="1"/>
  <c r="F43" i="22"/>
  <c r="G43" i="22" s="1"/>
  <c r="H43" i="22" s="1"/>
  <c r="F45" i="22"/>
  <c r="G45" i="22" s="1"/>
  <c r="G19" i="22"/>
  <c r="G26" i="22"/>
  <c r="H26" i="22" s="1"/>
  <c r="G25" i="22"/>
  <c r="H25" i="22" s="1"/>
  <c r="F38" i="22"/>
  <c r="G38" i="22" s="1"/>
  <c r="H38" i="22" s="1"/>
  <c r="F37" i="22"/>
  <c r="G37" i="22" s="1"/>
  <c r="H37" i="22" s="1"/>
  <c r="F36" i="22"/>
  <c r="G36" i="22" s="1"/>
  <c r="H36" i="22" s="1"/>
  <c r="F35" i="22"/>
  <c r="G35" i="22" s="1"/>
  <c r="H35" i="22" s="1"/>
  <c r="F34" i="22"/>
  <c r="G34" i="22" s="1"/>
  <c r="H34" i="22" s="1"/>
  <c r="F33" i="22"/>
  <c r="G33" i="22" s="1"/>
  <c r="H33" i="22" s="1"/>
  <c r="G32" i="22"/>
  <c r="H32" i="22" s="1"/>
  <c r="F42" i="22"/>
  <c r="G42" i="22" s="1"/>
  <c r="H42" i="22" s="1"/>
  <c r="F40" i="22"/>
  <c r="G40" i="22" s="1"/>
  <c r="F39" i="22"/>
  <c r="G39" i="22" s="1"/>
  <c r="G6" i="22"/>
  <c r="H6" i="22" s="1"/>
  <c r="G24" i="22"/>
  <c r="G18" i="22"/>
  <c r="G4" i="22"/>
  <c r="G31" i="22"/>
  <c r="H31" i="22" s="1"/>
  <c r="D8" i="2" l="1"/>
  <c r="B8" i="2" s="1"/>
  <c r="K40" i="22"/>
  <c r="K42" i="22" s="1"/>
  <c r="M42" i="22" s="1"/>
  <c r="H18" i="22"/>
  <c r="D3" i="2"/>
  <c r="H39" i="22"/>
  <c r="D13" i="2"/>
  <c r="H19" i="22"/>
  <c r="D5" i="2"/>
  <c r="B5" i="2" s="1"/>
  <c r="H24" i="22"/>
  <c r="D4" i="2"/>
  <c r="H40" i="22"/>
  <c r="H45" i="22"/>
  <c r="D9" i="2"/>
  <c r="B9" i="2" s="1"/>
  <c r="H4" i="22"/>
  <c r="C3" i="2"/>
  <c r="D13" i="19" l="1"/>
  <c r="D12" i="19"/>
  <c r="D10" i="19"/>
  <c r="D11" i="18"/>
  <c r="D9" i="18"/>
  <c r="D11" i="17"/>
  <c r="D9" i="17"/>
  <c r="D13" i="16"/>
  <c r="D12" i="16"/>
  <c r="D10" i="16"/>
  <c r="D11" i="15"/>
  <c r="D9" i="15"/>
  <c r="D8" i="14"/>
  <c r="B13" i="2" l="1"/>
  <c r="B4" i="2" l="1"/>
  <c r="B3" i="2" l="1"/>
  <c r="B26" i="2" s="1"/>
  <c r="B6" i="2" l="1"/>
  <c r="B28" i="2"/>
  <c r="K37" i="3"/>
  <c r="AB6" i="3" s="1"/>
  <c r="R25" i="3" l="1"/>
  <c r="R26" i="3"/>
  <c r="R24" i="3"/>
  <c r="D14" i="5"/>
  <c r="D22" i="5" s="1"/>
  <c r="H14" i="5"/>
  <c r="D26" i="5" s="1"/>
  <c r="L14" i="5"/>
  <c r="D30" i="5" s="1"/>
  <c r="E14" i="5"/>
  <c r="D23" i="5" s="1"/>
  <c r="M14" i="5"/>
  <c r="D31" i="5" s="1"/>
  <c r="F14" i="5"/>
  <c r="D24" i="5" s="1"/>
  <c r="J14" i="5"/>
  <c r="D28" i="5" s="1"/>
  <c r="N14" i="5"/>
  <c r="D32" i="5" s="1"/>
  <c r="G14" i="5"/>
  <c r="D25" i="5" s="1"/>
  <c r="K14" i="5"/>
  <c r="D29" i="5" s="1"/>
  <c r="B31" i="2"/>
  <c r="K8" i="2" s="1"/>
  <c r="K38" i="3"/>
  <c r="AB7" i="3" s="1"/>
  <c r="R27" i="3" l="1"/>
  <c r="P5" i="5"/>
  <c r="G14" i="25"/>
  <c r="G10" i="25" s="1"/>
  <c r="C14" i="5"/>
  <c r="D21" i="5" s="1"/>
  <c r="E15" i="5"/>
  <c r="E23" i="5" s="1"/>
  <c r="E16" i="5"/>
  <c r="F23" i="5" s="1"/>
  <c r="I14" i="5"/>
  <c r="D27" i="5" s="1"/>
  <c r="D15" i="5"/>
  <c r="E22" i="5" s="1"/>
  <c r="D16" i="5"/>
  <c r="F22" i="5" s="1"/>
  <c r="N15" i="5"/>
  <c r="E32" i="5" s="1"/>
  <c r="N16" i="5"/>
  <c r="F32" i="5" s="1"/>
  <c r="C7" i="2"/>
  <c r="B7" i="2" s="1"/>
  <c r="F23" i="2"/>
  <c r="G23" i="2" s="1"/>
  <c r="C24" i="21"/>
  <c r="C12" i="2"/>
  <c r="C15" i="2"/>
  <c r="B15" i="2" s="1"/>
  <c r="F15" i="2" s="1"/>
  <c r="I10" i="5"/>
  <c r="D10" i="5"/>
  <c r="D9" i="5"/>
  <c r="M10" i="5"/>
  <c r="M9" i="5"/>
  <c r="I9" i="5"/>
  <c r="N10" i="5"/>
  <c r="N9" i="5"/>
  <c r="G9" i="5"/>
  <c r="G10" i="5"/>
  <c r="K9" i="5"/>
  <c r="K10" i="5"/>
  <c r="E10" i="5"/>
  <c r="E9" i="5"/>
  <c r="H10" i="5"/>
  <c r="H9" i="5"/>
  <c r="L10" i="5"/>
  <c r="L9" i="5"/>
  <c r="F10" i="5"/>
  <c r="F9" i="5"/>
  <c r="J10" i="5"/>
  <c r="J9" i="5"/>
  <c r="C10" i="5"/>
  <c r="C9" i="5"/>
  <c r="K39" i="3"/>
  <c r="AB8" i="3" s="1"/>
  <c r="O5" i="3"/>
  <c r="P5" i="3"/>
  <c r="N5" i="3"/>
  <c r="D33" i="5" l="1"/>
  <c r="C15" i="5"/>
  <c r="E21" i="5" s="1"/>
  <c r="C16" i="5"/>
  <c r="F21" i="5" s="1"/>
  <c r="B12" i="2"/>
  <c r="B25" i="2" s="1"/>
  <c r="K5" i="2" s="1"/>
  <c r="R23" i="3" s="1"/>
  <c r="R28" i="3" s="1"/>
  <c r="R30" i="3" s="1"/>
  <c r="H23" i="2"/>
  <c r="I23" i="2" s="1"/>
  <c r="J24" i="2" s="1"/>
  <c r="D10" i="18"/>
  <c r="D12" i="18" s="1"/>
  <c r="D10" i="17"/>
  <c r="D12" i="17" s="1"/>
  <c r="D11" i="16"/>
  <c r="D14" i="16" s="1"/>
  <c r="D11" i="19"/>
  <c r="D14" i="19" s="1"/>
  <c r="D10" i="15"/>
  <c r="D12" i="15" s="1"/>
  <c r="N4" i="3"/>
  <c r="N9" i="3" s="1"/>
  <c r="Q4" i="3"/>
  <c r="Q9" i="3" s="1"/>
  <c r="P4" i="3"/>
  <c r="P9" i="3" s="1"/>
  <c r="O4" i="3"/>
  <c r="O9" i="3" s="1"/>
  <c r="O9" i="5"/>
  <c r="O10" i="5"/>
  <c r="K40" i="3"/>
  <c r="AB9" i="3" s="1"/>
  <c r="N21" i="2" l="1"/>
  <c r="N22" i="2" s="1"/>
  <c r="N23" i="2" s="1"/>
  <c r="K14" i="2"/>
  <c r="D13" i="13"/>
  <c r="D11" i="13"/>
  <c r="D10" i="13"/>
  <c r="D8" i="13"/>
  <c r="D12" i="13"/>
  <c r="D9" i="13"/>
  <c r="D10" i="14"/>
  <c r="D12" i="14"/>
  <c r="D11" i="14"/>
  <c r="D9" i="14"/>
  <c r="D13" i="14"/>
  <c r="R4" i="3"/>
  <c r="R9" i="3" s="1"/>
  <c r="K41" i="3"/>
  <c r="AB10" i="3" s="1"/>
  <c r="D14" i="13" l="1"/>
  <c r="D14" i="14"/>
  <c r="S4" i="3"/>
  <c r="S9" i="3" s="1"/>
  <c r="K42" i="3"/>
  <c r="AB11" i="3" s="1"/>
  <c r="T4" i="3" l="1"/>
  <c r="T9" i="3" s="1"/>
  <c r="K43" i="3"/>
  <c r="AB12" i="3" s="1"/>
  <c r="U4" i="3" l="1"/>
  <c r="U9" i="3" s="1"/>
  <c r="K44" i="3"/>
  <c r="AB13" i="3" s="1"/>
  <c r="V4" i="3" l="1"/>
  <c r="V9" i="3" s="1"/>
  <c r="K45" i="3"/>
  <c r="AB14" i="3" s="1"/>
  <c r="W4" i="3" l="1"/>
  <c r="W9" i="3" s="1"/>
  <c r="K46" i="3"/>
  <c r="AB15" i="3" s="1"/>
  <c r="X4" i="3" l="1"/>
  <c r="X9" i="3" s="1"/>
  <c r="K47" i="3"/>
  <c r="AB16" i="3" s="1"/>
  <c r="Y4" i="3" l="1"/>
  <c r="Y9" i="3" s="1"/>
  <c r="K48" i="3"/>
  <c r="AB17" i="3" s="1"/>
  <c r="M14" i="3" l="1"/>
  <c r="M17" i="3" s="1"/>
  <c r="K49" i="3"/>
  <c r="AB18" i="3" s="1"/>
  <c r="N14" i="3" l="1"/>
  <c r="N17" i="3" s="1"/>
  <c r="K50" i="3"/>
  <c r="AB19" i="3" s="1"/>
  <c r="O14" i="3" l="1"/>
  <c r="O17" i="3" s="1"/>
  <c r="K51" i="3"/>
  <c r="AB20" i="3" s="1"/>
  <c r="P14" i="3" l="1"/>
  <c r="P17" i="3" s="1"/>
  <c r="K52" i="3"/>
  <c r="AB21" i="3" s="1"/>
  <c r="Q14" i="3" l="1"/>
  <c r="Q17" i="3" s="1"/>
  <c r="K53" i="3"/>
  <c r="AB22" i="3" s="1"/>
  <c r="R14" i="3" l="1"/>
  <c r="R17" i="3" s="1"/>
  <c r="K54" i="3"/>
  <c r="AB23" i="3" s="1"/>
  <c r="S14" i="3" l="1"/>
  <c r="S17" i="3" s="1"/>
  <c r="K55" i="3"/>
  <c r="AB24" i="3" s="1"/>
  <c r="T14" i="3" l="1"/>
  <c r="T17" i="3" s="1"/>
  <c r="K56" i="3"/>
  <c r="AB25" i="3" s="1"/>
  <c r="U14" i="3" l="1"/>
  <c r="U17" i="3" s="1"/>
  <c r="K57" i="3"/>
  <c r="AB26" i="3" s="1"/>
  <c r="V14" i="3" l="1"/>
  <c r="V17" i="3" s="1"/>
  <c r="K58" i="3"/>
  <c r="AB27" i="3" s="1"/>
  <c r="W14" i="3" l="1"/>
  <c r="W17" i="3" s="1"/>
  <c r="K59" i="3"/>
  <c r="AB28" i="3" s="1"/>
  <c r="X14" i="3" l="1"/>
  <c r="X17" i="3" s="1"/>
  <c r="Y14" i="3" l="1"/>
  <c r="Y17" i="3" s="1"/>
  <c r="B27" i="2"/>
  <c r="B30" i="2" s="1"/>
  <c r="B29" i="2" l="1"/>
  <c r="K7" i="2" s="1"/>
  <c r="K11" i="2" l="1"/>
  <c r="M7" i="3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M18" i="3" s="1"/>
  <c r="N18" i="3" s="1"/>
  <c r="O18" i="3" s="1"/>
  <c r="P18" i="3" s="1"/>
  <c r="Q18" i="3" s="1"/>
  <c r="R18" i="3" s="1"/>
  <c r="S18" i="3" s="1"/>
  <c r="T18" i="3" s="1"/>
  <c r="U18" i="3" s="1"/>
  <c r="V18" i="3" s="1"/>
  <c r="W18" i="3" s="1"/>
  <c r="X18" i="3" s="1"/>
  <c r="Y18" i="3" s="1"/>
  <c r="I13" i="5"/>
  <c r="H13" i="5"/>
  <c r="G13" i="5"/>
  <c r="C25" i="5" s="1"/>
  <c r="C31" i="5"/>
  <c r="F13" i="5"/>
  <c r="C24" i="5" s="1"/>
  <c r="G15" i="5" l="1"/>
  <c r="E25" i="5" s="1"/>
  <c r="L16" i="5"/>
  <c r="F30" i="5" s="1"/>
  <c r="C30" i="5"/>
  <c r="K15" i="5"/>
  <c r="E29" i="5" s="1"/>
  <c r="C29" i="5"/>
  <c r="H16" i="5"/>
  <c r="F26" i="5" s="1"/>
  <c r="C26" i="5"/>
  <c r="G16" i="5"/>
  <c r="F25" i="5" s="1"/>
  <c r="I16" i="5"/>
  <c r="F27" i="5" s="1"/>
  <c r="C27" i="5"/>
  <c r="J16" i="5"/>
  <c r="F28" i="5" s="1"/>
  <c r="C28" i="5"/>
  <c r="F16" i="5"/>
  <c r="F24" i="5" s="1"/>
  <c r="M16" i="5"/>
  <c r="F31" i="5" s="1"/>
  <c r="M15" i="5"/>
  <c r="E31" i="5" s="1"/>
  <c r="K16" i="5"/>
  <c r="F29" i="5" s="1"/>
  <c r="F15" i="5"/>
  <c r="E24" i="5" s="1"/>
  <c r="L15" i="5"/>
  <c r="E30" i="5" s="1"/>
  <c r="I15" i="5"/>
  <c r="E27" i="5" s="1"/>
  <c r="J15" i="5"/>
  <c r="E28" i="5" s="1"/>
  <c r="H15" i="5"/>
  <c r="E26" i="5" s="1"/>
  <c r="C33" i="5" l="1"/>
  <c r="F33" i="5"/>
  <c r="C17" i="5"/>
  <c r="E33" i="5"/>
</calcChain>
</file>

<file path=xl/sharedStrings.xml><?xml version="1.0" encoding="utf-8"?>
<sst xmlns="http://schemas.openxmlformats.org/spreadsheetml/2006/main" count="587" uniqueCount="424">
  <si>
    <t>Sistema Proteccion</t>
  </si>
  <si>
    <t>Total</t>
  </si>
  <si>
    <t>57-01</t>
  </si>
  <si>
    <t xml:space="preserve">Inversion Costo Total </t>
  </si>
  <si>
    <t>Credito Fiscal 1</t>
  </si>
  <si>
    <t>Credito Fiscal 2</t>
  </si>
  <si>
    <t>Credito Fiscal 3</t>
  </si>
  <si>
    <t>Monto Total Credito ISR</t>
  </si>
  <si>
    <t>Kwh</t>
  </si>
  <si>
    <t>total -ISR</t>
  </si>
  <si>
    <t>Anualidad</t>
  </si>
  <si>
    <t>Kwh FV</t>
  </si>
  <si>
    <t>Honorarios ingenieria</t>
  </si>
  <si>
    <t>Bases paneles</t>
  </si>
  <si>
    <t>Capacidad</t>
  </si>
  <si>
    <t>Modelo Costos Aplicando Ley 57-07</t>
  </si>
  <si>
    <t>Cantidad</t>
  </si>
  <si>
    <t>Irradiacion</t>
  </si>
  <si>
    <t>Potencia por panel</t>
  </si>
  <si>
    <t>Wp</t>
  </si>
  <si>
    <t>Numero de Paneles</t>
  </si>
  <si>
    <t>Capacidad de Planta FV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</si>
  <si>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</si>
  <si>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</si>
  <si>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</si>
  <si>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</si>
  <si>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</si>
  <si>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</si>
  <si>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</si>
  <si>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</si>
  <si>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</si>
  <si>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</si>
  <si>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</si>
  <si>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</si>
  <si>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Mes</t>
  </si>
  <si>
    <t>Produccion Energia Mensual</t>
  </si>
  <si>
    <t>Emisiones Contaminantes a Dejar de Emitir a la Atmosfera</t>
  </si>
  <si>
    <t>Energia Anual</t>
  </si>
  <si>
    <t>CO2 kg</t>
  </si>
  <si>
    <t>SO2 g</t>
  </si>
  <si>
    <t>kWp</t>
  </si>
  <si>
    <t>Produccion Anual</t>
  </si>
  <si>
    <t>Amortizacion financiera durante periodo produccion minima</t>
  </si>
  <si>
    <t>Ahorro USD$</t>
  </si>
  <si>
    <t>Inversion Inicial</t>
  </si>
  <si>
    <t>Año 1</t>
  </si>
  <si>
    <t>Año 2</t>
  </si>
  <si>
    <t>Año 3</t>
  </si>
  <si>
    <t>Año 4</t>
  </si>
  <si>
    <t>Año 5</t>
  </si>
  <si>
    <t>Año 6</t>
  </si>
  <si>
    <t>Año 7</t>
  </si>
  <si>
    <t>Año 8</t>
  </si>
  <si>
    <t>Año 9</t>
  </si>
  <si>
    <t>Año 10</t>
  </si>
  <si>
    <t>Año 11</t>
  </si>
  <si>
    <t>Año 12</t>
  </si>
  <si>
    <t>Año 0</t>
  </si>
  <si>
    <t>Beneficio</t>
  </si>
  <si>
    <t>Amortizacion</t>
  </si>
  <si>
    <t>Devolucion ISR</t>
  </si>
  <si>
    <t>Datos de Entrada</t>
  </si>
  <si>
    <t>Tipo de Tarifa</t>
  </si>
  <si>
    <t>Energía Consumida  -  kWh</t>
  </si>
  <si>
    <t>IMPORTE FACTURADO</t>
  </si>
  <si>
    <t>Cargo Fijo</t>
  </si>
  <si>
    <t>Cargo por Energía 0 - 200 kWh</t>
  </si>
  <si>
    <t>Cargo por Energía 201 - 300 kWh</t>
  </si>
  <si>
    <t>Cargo por Energía 301 - 700 kWh</t>
  </si>
  <si>
    <t>Cargo por Energía  701-1000  kWh</t>
  </si>
  <si>
    <t>Cargo por Energía  &gt; 1000 kWh</t>
  </si>
  <si>
    <t>Facturación Total  (RD$)</t>
  </si>
  <si>
    <t>kWh/Año</t>
  </si>
  <si>
    <t>Factura Estimada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</si>
  <si>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</si>
  <si>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</si>
  <si>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</si>
  <si>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</si>
  <si>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</si>
  <si>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</si>
  <si>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</si>
  <si>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</si>
  <si>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</si>
  <si>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</si>
  <si>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</si>
  <si>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</si>
  <si>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Año 13</t>
  </si>
  <si>
    <t>Año 14</t>
  </si>
  <si>
    <t>Año 15</t>
  </si>
  <si>
    <t>Año 16</t>
  </si>
  <si>
    <t>Año 17</t>
  </si>
  <si>
    <t>Año 18</t>
  </si>
  <si>
    <t>Año 19</t>
  </si>
  <si>
    <t>Año 20</t>
  </si>
  <si>
    <t>Año 21</t>
  </si>
  <si>
    <t>Año 22</t>
  </si>
  <si>
    <t>Año 23</t>
  </si>
  <si>
    <t>Año 24</t>
  </si>
  <si>
    <t>Año 25</t>
  </si>
  <si>
    <t>Periodo</t>
  </si>
  <si>
    <t>Ahorro total Anual</t>
  </si>
  <si>
    <t>Inversor 1</t>
  </si>
  <si>
    <t>Inversor 2</t>
  </si>
  <si>
    <t>Mano de Obra</t>
  </si>
  <si>
    <t>precio/watt 57-07</t>
  </si>
  <si>
    <t>Kwh (Ede)</t>
  </si>
  <si>
    <t>Inversion final aplicando descuento fiscal</t>
  </si>
  <si>
    <t>BTS2</t>
  </si>
  <si>
    <t>ITBIS</t>
  </si>
  <si>
    <t>Panel Board principal</t>
  </si>
  <si>
    <t>MTD1</t>
  </si>
  <si>
    <t>Fronius PRIMO Inverter, 15 kW 120/240 VAC Output, 1000 VDC Max input.</t>
  </si>
  <si>
    <t>Superintendecia de Electricidad - SIE</t>
  </si>
  <si>
    <t>Programa Cálculo de Facturación a Partir de la Tarifa Res. SIE 33-05 y SIE-36-05</t>
  </si>
  <si>
    <t>MTD-1</t>
  </si>
  <si>
    <t xml:space="preserve">Potencia Máxima  -  kW </t>
  </si>
  <si>
    <t>Cargo por Energía</t>
  </si>
  <si>
    <t>Cargo por Potencia Máxima</t>
  </si>
  <si>
    <t>Volver</t>
  </si>
  <si>
    <t>Programa de Cálculo Facturación</t>
  </si>
  <si>
    <t>a Partir de las Resoluciones SIE-33-05 y SIE-36-05</t>
  </si>
  <si>
    <t>Tipos de Tarifa</t>
  </si>
  <si>
    <t>BTS - 1</t>
  </si>
  <si>
    <t>MTD - 1</t>
  </si>
  <si>
    <t>BTS - 2</t>
  </si>
  <si>
    <t>MTD - 2</t>
  </si>
  <si>
    <t>BTD</t>
  </si>
  <si>
    <t>MTH</t>
  </si>
  <si>
    <t>BTH</t>
  </si>
  <si>
    <t>Programa Cálculo de Facturación a Partir de la Tarifa Res. SIE 33-09</t>
  </si>
  <si>
    <t>BTS1</t>
  </si>
  <si>
    <t xml:space="preserve">Potencia Contratada  -  kW </t>
  </si>
  <si>
    <t xml:space="preserve">Potencia Máxima en Horas Punta  -  kW </t>
  </si>
  <si>
    <t>Cargo por Potencia Máxima en Horas de Punta</t>
  </si>
  <si>
    <t>Superitendencia de Electricidad - SIE</t>
  </si>
  <si>
    <t>Esquema Tarifario de Resolución No.1258-2012 - de Dic/12</t>
  </si>
  <si>
    <t>SIE-1258-2012</t>
  </si>
  <si>
    <t>No.</t>
  </si>
  <si>
    <t>Tarifa</t>
  </si>
  <si>
    <t>Denominación</t>
  </si>
  <si>
    <t>Abreviación</t>
  </si>
  <si>
    <t>Tarifa Dic-12</t>
  </si>
  <si>
    <t>SENI</t>
  </si>
  <si>
    <t>CFBTS1</t>
  </si>
  <si>
    <t>Menores o Iguales a 50 Kwh</t>
  </si>
  <si>
    <t>Mayores a  50 Kwh - Menores o Iguales a  75 Kwh</t>
  </si>
  <si>
    <t>Mayores a  75 Kwh - Menores o Iguales a 100 Kwh</t>
  </si>
  <si>
    <t>Mayores a 100 Kwh - Menores o Iguales a 125 Kwh</t>
  </si>
  <si>
    <t>Mayores a 125 Kwh - Menores o Iguales a 150 Kwh</t>
  </si>
  <si>
    <t>Mayores a 150 Kwh - Menores o Iguales a 175 Kwh</t>
  </si>
  <si>
    <t>Mayores a 175 Kwh</t>
  </si>
  <si>
    <t>0 - 200 KWh</t>
  </si>
  <si>
    <t>CEBTS1A</t>
  </si>
  <si>
    <t>201 - 300 KWh</t>
  </si>
  <si>
    <t>CEBTS1B</t>
  </si>
  <si>
    <t>301 - 700 KWh</t>
  </si>
  <si>
    <t>CEBTS1C</t>
  </si>
  <si>
    <t>701-1000 KWh</t>
  </si>
  <si>
    <t>CEBTS1D</t>
  </si>
  <si>
    <t>&gt; 1000 KWh</t>
  </si>
  <si>
    <t>CFBTS2</t>
  </si>
  <si>
    <t>CEBTS2A</t>
  </si>
  <si>
    <t>CEBTS2B</t>
  </si>
  <si>
    <t>CEBTS2C</t>
  </si>
  <si>
    <t>CEBTS2D</t>
  </si>
  <si>
    <t>CFBTD</t>
  </si>
  <si>
    <t>Energía - Kwh</t>
  </si>
  <si>
    <t>CEBTD</t>
  </si>
  <si>
    <t>Potencia Máxima - Kw</t>
  </si>
  <si>
    <t>CPBTD</t>
  </si>
  <si>
    <t>CFBTH</t>
  </si>
  <si>
    <t>CEBTH</t>
  </si>
  <si>
    <t>Potencia Máxima Fuera de Punta - Kw</t>
  </si>
  <si>
    <t>CPBTF</t>
  </si>
  <si>
    <t>Potencia Máxima en Horas de Punta - Kw</t>
  </si>
  <si>
    <t>CPBTH</t>
  </si>
  <si>
    <t>CFMTD1</t>
  </si>
  <si>
    <t>CEMTD1</t>
  </si>
  <si>
    <t>CPMTD1</t>
  </si>
  <si>
    <t>MTD2</t>
  </si>
  <si>
    <t>CFMTD2</t>
  </si>
  <si>
    <t>CEMTD2</t>
  </si>
  <si>
    <t>CPMTD2</t>
  </si>
  <si>
    <t>CFMTH</t>
  </si>
  <si>
    <t>CEMTH</t>
  </si>
  <si>
    <t>CPMTF</t>
  </si>
  <si>
    <t>CPMTH</t>
  </si>
  <si>
    <t>Nombre</t>
  </si>
  <si>
    <t>FECHA</t>
  </si>
  <si>
    <t>DESCRIPCION</t>
  </si>
  <si>
    <t>DATOS ENTRADA PROPUESTA</t>
  </si>
  <si>
    <t>No. Propuesta</t>
  </si>
  <si>
    <t>Tasa Dolar</t>
  </si>
  <si>
    <t>Tiempo Proyecto (Dias)</t>
  </si>
  <si>
    <t>FECHA Propuesta</t>
  </si>
  <si>
    <t>#Paneles Recomendado</t>
  </si>
  <si>
    <t>Promedio Generacion Kwp</t>
  </si>
  <si>
    <t>Equipos</t>
  </si>
  <si>
    <t>Precio Total</t>
  </si>
  <si>
    <t>Costo Unitario</t>
  </si>
  <si>
    <t>Item</t>
  </si>
  <si>
    <t>WATTS</t>
  </si>
  <si>
    <t>PRECIO</t>
  </si>
  <si>
    <t>$TOTAL</t>
  </si>
  <si>
    <t>$TOTAL VENTA</t>
  </si>
  <si>
    <t>Fronius PRIMO Inverter, 8.2 kW 120/240 VAC Output, 1000 VDC Max input.</t>
  </si>
  <si>
    <t>Sistema Monitoreo Smart Meter 634-1 240V</t>
  </si>
  <si>
    <t>DATAMANAGER 2.0</t>
  </si>
  <si>
    <t>TRANSFROMADOR CT 100A .333</t>
  </si>
  <si>
    <t>Fronius SYMO Inverter, 24 kW 480 VAC Output, 1000 VDC Max input.</t>
  </si>
  <si>
    <t>Triangulos 10 Grados Completo</t>
  </si>
  <si>
    <t>Riel Omnia Strong 4.2MM</t>
  </si>
  <si>
    <t>ZETA CLAMP</t>
  </si>
  <si>
    <t>OMEGA CLAMP</t>
  </si>
  <si>
    <t>FOOT</t>
  </si>
  <si>
    <t>Fronius PRIMO Inverter, 5 kW 120/240 VAC Output, 600 VDC Max input.</t>
  </si>
  <si>
    <t>Fronius PRIMO Inverter, 7.6 kW 120/240 VAC Output, 800 VDC Max input.</t>
  </si>
  <si>
    <t>Fronius PRIMO Inverter, 10 kW 120/240 VAC Output, 1000 VDC Max input.</t>
  </si>
  <si>
    <t>Fronius PRIMO Web Inverter, 3 kW 120/240 VAC Output, 600 VDC Max input.</t>
  </si>
  <si>
    <t>Cable Solar 6mm2 1000V</t>
  </si>
  <si>
    <t>Codigo</t>
  </si>
  <si>
    <t>PRIMO15</t>
  </si>
  <si>
    <t>PEIMAR340</t>
  </si>
  <si>
    <t>PRIMO8.2</t>
  </si>
  <si>
    <t>PEIMAR370</t>
  </si>
  <si>
    <t>SMART</t>
  </si>
  <si>
    <t>DATA</t>
  </si>
  <si>
    <t>RIEL</t>
  </si>
  <si>
    <t>ZETA</t>
  </si>
  <si>
    <t>PRIMO7.6</t>
  </si>
  <si>
    <t>PRIMO10</t>
  </si>
  <si>
    <t>CABLE</t>
  </si>
  <si>
    <t>CT100</t>
  </si>
  <si>
    <t>SYMO24</t>
  </si>
  <si>
    <t>PRIMO5</t>
  </si>
  <si>
    <t>PRIMO3</t>
  </si>
  <si>
    <t>TRIANGULO</t>
  </si>
  <si>
    <t>CT50</t>
  </si>
  <si>
    <t>TRANSFROMADOR CT 50A .333</t>
  </si>
  <si>
    <t>TRANSFROMADOR CT 150A .333</t>
  </si>
  <si>
    <t>CT150</t>
  </si>
  <si>
    <t>CT200</t>
  </si>
  <si>
    <t>TRANSFROMADOR CT 200A .333</t>
  </si>
  <si>
    <t>OMEGA</t>
  </si>
  <si>
    <t>UNION</t>
  </si>
  <si>
    <t>UNION RIEL</t>
  </si>
  <si>
    <t>Panel Solar</t>
  </si>
  <si>
    <t>Promedio Energia EDE</t>
  </si>
  <si>
    <t>Tipo Panel</t>
  </si>
  <si>
    <t>Tipo Inversor 1</t>
  </si>
  <si>
    <t>Datamanager</t>
  </si>
  <si>
    <t>Cable Fotovoltaico</t>
  </si>
  <si>
    <t>Cable AC</t>
  </si>
  <si>
    <t>Smart Meter</t>
  </si>
  <si>
    <t>Combustible</t>
  </si>
  <si>
    <t>Contactor</t>
  </si>
  <si>
    <t>Breaker</t>
  </si>
  <si>
    <t>Fusible</t>
  </si>
  <si>
    <t>Tuberias</t>
  </si>
  <si>
    <t>Tipo Inversor 2</t>
  </si>
  <si>
    <t>Localidad</t>
  </si>
  <si>
    <t>Smart meter</t>
  </si>
  <si>
    <t>Transformador Corriente</t>
  </si>
  <si>
    <t>Arreglo Sistema Propuesto</t>
  </si>
  <si>
    <t>Dimensionamiento Del Sistema</t>
  </si>
  <si>
    <t>Coordenadas</t>
  </si>
  <si>
    <t>MO1</t>
  </si>
  <si>
    <t>MO2</t>
  </si>
  <si>
    <t>MO3</t>
  </si>
  <si>
    <t>Mano de obra 5000-20000</t>
  </si>
  <si>
    <t>Mano de obra &gt;20000</t>
  </si>
  <si>
    <t>Mano de obra &lt;5000</t>
  </si>
  <si>
    <t>PROVINCIAS</t>
  </si>
  <si>
    <t>Potencia Generador FV</t>
  </si>
  <si>
    <t>Costo Energia RD$</t>
  </si>
  <si>
    <t>Us$/Kw</t>
  </si>
  <si>
    <t>Bahoruco, Neiba</t>
  </si>
  <si>
    <t>Azua, Azua de Compostela</t>
  </si>
  <si>
    <t>Barahona, Santa Cruz de Barahona</t>
  </si>
  <si>
    <t>Dajabón, Dajabón</t>
  </si>
  <si>
    <t>Distrito Nacional, Santo Domingo</t>
  </si>
  <si>
    <t>Duarte, San Francisco de Macorís</t>
  </si>
  <si>
    <t>Elías Piña, Comendador</t>
  </si>
  <si>
    <t>El Seibo , Santa Cruz del Seibo</t>
  </si>
  <si>
    <t>Espaillat, Moca</t>
  </si>
  <si>
    <t>Hato Mayor, Hato Mayor del Rey</t>
  </si>
  <si>
    <t>Hermanas Mirabal, Salcedo</t>
  </si>
  <si>
    <t>Independencia, Jimaní</t>
  </si>
  <si>
    <t>La Altagracia, Salvaleón de Higüey</t>
  </si>
  <si>
    <t>La Romana, La Romana</t>
  </si>
  <si>
    <t>La Vega, Concepción de la Vega</t>
  </si>
  <si>
    <t>María Trinidad Sánchez, Nagua</t>
  </si>
  <si>
    <t>Monseñor Nouel, Bonao</t>
  </si>
  <si>
    <t>Monte Cristi, San Fernando de Monte Cristi</t>
  </si>
  <si>
    <t>Monte Plata, Monte Plata</t>
  </si>
  <si>
    <t>Pedernales, Pedernales</t>
  </si>
  <si>
    <t>Peravia, Baní</t>
  </si>
  <si>
    <t>Puerto Plata, San Felipe de Puerto Plata</t>
  </si>
  <si>
    <t>Samaná, Santa Bárbara de Samaná</t>
  </si>
  <si>
    <t>Sánchez Ramírez, Cotuí</t>
  </si>
  <si>
    <t>San Cristóbal, San Cristóbal</t>
  </si>
  <si>
    <t>San José de Ocoa, San José de Ocoa</t>
  </si>
  <si>
    <t>San Juan, San Juan de la Maguana</t>
  </si>
  <si>
    <t>San Pedro de Macorís, San Pedro de Macorís</t>
  </si>
  <si>
    <t>Santiago, Santiago de los Caballeros</t>
  </si>
  <si>
    <t>Santiago Rodríguez, Sabaneta</t>
  </si>
  <si>
    <t>Santo Domingo, Santo Domingo Este</t>
  </si>
  <si>
    <t>Valverde, Mao</t>
  </si>
  <si>
    <t>Transfromador 500kva</t>
  </si>
  <si>
    <t>CAPACIDAD</t>
  </si>
  <si>
    <t>COSTO M/O $RD</t>
  </si>
  <si>
    <t>RETENCION 10% DGII</t>
  </si>
  <si>
    <t>COSTO M/O NETO $RD</t>
  </si>
  <si>
    <t>PRIMO6</t>
  </si>
  <si>
    <t>Fronius PRIMO Web Inverter, 3.8 kW 120/240 VAC Output, 600 VDC Max input</t>
  </si>
  <si>
    <t>PRIMO3.8</t>
  </si>
  <si>
    <t>LUXEN340</t>
  </si>
  <si>
    <t>Ahorro Neto</t>
  </si>
  <si>
    <t>KWh/Mes</t>
  </si>
  <si>
    <t>%</t>
  </si>
  <si>
    <t>Generacion 
Fotovoltaica</t>
  </si>
  <si>
    <t>Consumo Actual Historico Distrib.</t>
  </si>
  <si>
    <t xml:space="preserve">Sistema de monitoreo Web </t>
  </si>
  <si>
    <t>GARANTIAS EQUIPOS Y SERVICIOS</t>
  </si>
  <si>
    <t>PRODUCTO</t>
  </si>
  <si>
    <t>MARCA</t>
  </si>
  <si>
    <t>FABRICACION</t>
  </si>
  <si>
    <t>ITALIA</t>
  </si>
  <si>
    <t>DISENO Y CONSTRUCCION</t>
  </si>
  <si>
    <t>INVERSORES FOTOVOLTAICO</t>
  </si>
  <si>
    <t>PANELES FOTOVOLTAICO</t>
  </si>
  <si>
    <t>CABLEADO SOLAR</t>
  </si>
  <si>
    <t>ESTRUCTURA SOLAR</t>
  </si>
  <si>
    <t>SISTEMA MONITOREO</t>
  </si>
  <si>
    <t>REP. DOMINICANA</t>
  </si>
  <si>
    <t>PERIODO (Años)</t>
  </si>
  <si>
    <t>ITBIS Proyectado</t>
  </si>
  <si>
    <t>RETORNO INVERSION (Años)</t>
  </si>
  <si>
    <t>Cableado Fotovoltaico</t>
  </si>
  <si>
    <t>Capacidad Total Planta Fotovoltaica</t>
  </si>
  <si>
    <t>Capacidad Total en Inversores</t>
  </si>
  <si>
    <t>KW</t>
  </si>
  <si>
    <t>Software Simulador Rendimiento Energetico</t>
  </si>
  <si>
    <t>Helioscope</t>
  </si>
  <si>
    <t>General Cavi</t>
  </si>
  <si>
    <t>Panel Solar PEIMAR Solar Polycristalino, 17.51 % eficiencia.</t>
  </si>
  <si>
    <t>Panel Solar LUXEN Solar Polycristalino, 17.52 % eficiencia.</t>
  </si>
  <si>
    <t>kWh/kWp</t>
  </si>
  <si>
    <t>Productividad Anual</t>
  </si>
  <si>
    <t>Descripcion</t>
  </si>
  <si>
    <t>Valores</t>
  </si>
  <si>
    <t>US$</t>
  </si>
  <si>
    <t>US$/kWp</t>
  </si>
  <si>
    <t>Ampliacion Garantia Inversores (Opcional)</t>
  </si>
  <si>
    <t>Proyecto Sistema Fotovoltaico Llave En Mano</t>
  </si>
  <si>
    <t>ROSEN380</t>
  </si>
  <si>
    <t>Panel Solar ROSEN Solar Monocrystalline, 19.5 % eficiencia.</t>
  </si>
  <si>
    <t>Fronius SYMO Inverter, 15 kW 120/208 VAC Output, 1000 VDC Max input.</t>
  </si>
  <si>
    <t>PRIMO12.5</t>
  </si>
  <si>
    <t>Fronius PRIMO Inverter, 12.5 kW 120/240 VAC Output, 1000 VDC Max input.</t>
  </si>
  <si>
    <t>ENERTING</t>
  </si>
  <si>
    <t xml:space="preserve">RNC 1-31-32005-8 
Calle Los Robles #4 Suite 1, La Esperilla, Santo Domingo, RD 
809-748-2828 </t>
  </si>
  <si>
    <t xml:space="preserve">info@enerting.com | www.enerting.com </t>
  </si>
  <si>
    <t>CLIENTE:</t>
  </si>
  <si>
    <t>UBICACION:</t>
  </si>
  <si>
    <t>INGENIERO COLEGIADO:</t>
  </si>
  <si>
    <t>Ing. Franklin Estevez</t>
  </si>
  <si>
    <t xml:space="preserve">              _______________</t>
  </si>
  <si>
    <t>Codia:            30102</t>
  </si>
  <si>
    <t>TITULO HOJA:</t>
  </si>
  <si>
    <t>DISTRIBUCION PANELES</t>
  </si>
  <si>
    <t>Coordenadas Geografica</t>
  </si>
  <si>
    <t>Operacion y Mantenimiento Anual (Opcional)</t>
  </si>
  <si>
    <t xml:space="preserve">Costo Total Planta Fotovoltaica* </t>
  </si>
  <si>
    <t>Precio No Incluye ITBIS*</t>
  </si>
  <si>
    <t>N/A</t>
  </si>
  <si>
    <t xml:space="preserve"> </t>
  </si>
  <si>
    <t>COSTO GRUA</t>
  </si>
  <si>
    <t>PEIMAR450</t>
  </si>
  <si>
    <t>Fronius SYMO Inverter, 10 kW 208/240 VAC Output, 1000 VDC Max input LITE</t>
  </si>
  <si>
    <t>SYMO15-3</t>
  </si>
  <si>
    <t>SYMO10-3</t>
  </si>
  <si>
    <t>Panel Solar PEIMAR Solar Polycristalino, 20.03 % eficiencia.</t>
  </si>
  <si>
    <t>Panel Solar PEIMAR Solar Monocristalino, 20.17 % eficiencia.</t>
  </si>
  <si>
    <t>Panel Solar PEIMAR Solar Monocristalino, 20.30 % eficiencia.</t>
  </si>
  <si>
    <t>PROYECTO ESTACION TEXACO MOCA</t>
  </si>
  <si>
    <t>Panel Solar Jinko Solar Monocristalino, 20.43 % eficiencia.</t>
  </si>
  <si>
    <t>Costo Unitario Capacidad Instalada</t>
  </si>
  <si>
    <t>Panel Solar Canadian Solar Monocristalino, 20.14 % eficiencia.</t>
  </si>
  <si>
    <t>CANAD370</t>
  </si>
  <si>
    <t>PEIMAR420</t>
  </si>
  <si>
    <t>SMA3.8</t>
  </si>
  <si>
    <t>SMA Inverter, 3.8 kW 120/240 VAC Output, 600 VDC Max input</t>
  </si>
  <si>
    <t>JINKO405</t>
  </si>
  <si>
    <t>25 Produccion lineal 79.90%
12 Producto</t>
  </si>
  <si>
    <t>CHINA</t>
  </si>
  <si>
    <t>CANAD590</t>
  </si>
  <si>
    <t>Panel  Canadian Solar Monocristalino, 21 % eficiencia.</t>
  </si>
  <si>
    <t>Fronius PRIMO Inverter, 6 kW 120/240 VAC Output, 600 VDC Max input</t>
  </si>
  <si>
    <t>Panel  Canadian Solar Monocristalino, 20.8 % eficiencia.</t>
  </si>
  <si>
    <t>CANAD595</t>
  </si>
  <si>
    <t>CANAD545</t>
  </si>
  <si>
    <t>Panel  Canadian Solar Monocristalino, 21.3 % eficiencia.</t>
  </si>
  <si>
    <t>AUSTRIA</t>
  </si>
  <si>
    <t>Fronius PRIMO Inverter, 11.4 kW 120/240 VAC Output, 1000 VDC Max input.</t>
  </si>
  <si>
    <t>PRIMO11.4</t>
  </si>
  <si>
    <t>Inicial</t>
  </si>
  <si>
    <t>Descuento</t>
  </si>
  <si>
    <t xml:space="preserve">5 cuotas/mes
Iniciando firma </t>
  </si>
  <si>
    <t xml:space="preserve">Modalidad Pagos </t>
  </si>
  <si>
    <t>Modulo soporte paneles DPW SOLAR.</t>
  </si>
  <si>
    <t>DPW Solar</t>
  </si>
  <si>
    <t>Solar Web</t>
  </si>
  <si>
    <t>18.48843610452232, -69.84759417329681</t>
  </si>
  <si>
    <t>Panel  Canadian Solar Monocristalino, 21.1 % eficiencia.</t>
  </si>
  <si>
    <t>CANAD655</t>
  </si>
  <si>
    <t>LONGI360</t>
  </si>
  <si>
    <t>LONGI410</t>
  </si>
  <si>
    <t>Panel Solar LONGI Solar Monocrystalline, 21 % eficiencia.</t>
  </si>
  <si>
    <t>Panel Solar LONGI Solar Monocrystalline, 19.8 % eficiencia.</t>
  </si>
  <si>
    <t>LONGI550</t>
  </si>
  <si>
    <t>Panel Solar LONGI Solar Monocrystalline, 21.3 % eficiencia.</t>
  </si>
  <si>
    <t>DIOBEL SOSA</t>
  </si>
  <si>
    <t>00578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</si>
</sst>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0_);[Red]\(0.00\)"/>
    <numFmt numFmtId="167" formatCode="&quot;$&quot;#,##0;[Red]&quot;$&quot;#,##0"/>
    <numFmt numFmtId="168" formatCode="&quot;$&quot;#,##0"/>
    <numFmt numFmtId="169" formatCode="0.0000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3"/>
      <name val="Arial Narrow"/>
      <family val="2"/>
    </font>
    <font>
      <b/>
      <sz val="13"/>
      <name val="Arial Narrow"/>
      <family val="2"/>
    </font>
    <font>
      <b/>
      <sz val="13"/>
      <color indexed="12"/>
      <name val="Arial Narrow"/>
      <family val="2"/>
    </font>
    <font>
      <b/>
      <sz val="14"/>
      <name val="Arial Narrow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10"/>
      <name val="Arial Narrow"/>
      <family val="2"/>
    </font>
    <font>
      <sz val="12"/>
      <name val="Arial Narrow"/>
      <family val="2"/>
    </font>
    <font>
      <b/>
      <u/>
      <sz val="7.5"/>
      <color indexed="12"/>
      <name val="Arial Narrow"/>
      <family val="2"/>
    </font>
    <font>
      <b/>
      <sz val="10"/>
      <name val="Arial Narrow"/>
      <family val="2"/>
    </font>
    <font>
      <b/>
      <sz val="10"/>
      <name val="Arial"/>
      <family val="2"/>
    </font>
    <font>
      <b/>
      <sz val="10"/>
      <color indexed="18"/>
      <name val="Arial Narrow"/>
      <family val="2"/>
    </font>
    <font>
      <sz val="10"/>
      <color indexed="18"/>
      <name val="Arial Narrow"/>
      <family val="2"/>
    </font>
    <font>
      <sz val="10"/>
      <color indexed="12"/>
      <name val="Arial"/>
      <family val="2"/>
    </font>
    <font>
      <b/>
      <u/>
      <sz val="7.5"/>
      <color indexed="12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40404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6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Arial Black"/>
      <family val="2"/>
    </font>
    <font>
      <b/>
      <sz val="12"/>
      <name val="Arial Black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16"/>
      <name val="Arial Narrow"/>
      <family val="2"/>
    </font>
    <font>
      <sz val="14"/>
      <name val="Aparajita"/>
      <family val="1"/>
    </font>
    <font>
      <sz val="11"/>
      <color theme="1"/>
      <name val="Aparajita"/>
      <family val="1"/>
    </font>
    <font>
      <sz val="12"/>
      <name val="Aparajita"/>
      <family val="1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</cellStyleXfs>
  <cellXfs count="33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43" fontId="0" fillId="0" borderId="0" xfId="0" applyNumberFormat="1"/>
    <xf numFmtId="0" fontId="0" fillId="2" borderId="0" xfId="0" applyFill="1"/>
    <xf numFmtId="0" fontId="0" fillId="0" borderId="14" xfId="0" applyBorder="1"/>
    <xf numFmtId="0" fontId="0" fillId="0" borderId="16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6" xfId="0" applyBorder="1"/>
    <xf numFmtId="0" fontId="6" fillId="0" borderId="0" xfId="0" applyFont="1"/>
    <xf numFmtId="0" fontId="7" fillId="4" borderId="1" xfId="0" applyFont="1" applyFill="1" applyBorder="1"/>
    <xf numFmtId="0" fontId="7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6" fillId="4" borderId="1" xfId="0" applyFont="1" applyFill="1" applyBorder="1"/>
    <xf numFmtId="164" fontId="6" fillId="4" borderId="1" xfId="1" applyNumberFormat="1" applyFont="1" applyFill="1" applyBorder="1"/>
    <xf numFmtId="164" fontId="9" fillId="3" borderId="1" xfId="1" applyNumberFormat="1" applyFont="1" applyFill="1" applyBorder="1"/>
    <xf numFmtId="0" fontId="0" fillId="2" borderId="3" xfId="0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9" fontId="0" fillId="2" borderId="8" xfId="3" applyFont="1" applyFill="1" applyBorder="1" applyAlignment="1">
      <alignment horizontal="center"/>
    </xf>
    <xf numFmtId="9" fontId="0" fillId="2" borderId="9" xfId="3" applyFont="1" applyFill="1" applyBorder="1" applyAlignment="1">
      <alignment horizontal="center"/>
    </xf>
    <xf numFmtId="9" fontId="0" fillId="2" borderId="10" xfId="3" applyFont="1" applyFill="1" applyBorder="1" applyAlignment="1">
      <alignment horizontal="center"/>
    </xf>
    <xf numFmtId="43" fontId="0" fillId="0" borderId="5" xfId="1" applyFont="1" applyBorder="1" applyAlignment="1">
      <alignment horizontal="center"/>
    </xf>
    <xf numFmtId="43" fontId="0" fillId="2" borderId="6" xfId="1" applyFont="1" applyFill="1" applyBorder="1" applyAlignment="1">
      <alignment horizontal="center"/>
    </xf>
    <xf numFmtId="43" fontId="0" fillId="2" borderId="0" xfId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44" fontId="2" fillId="2" borderId="0" xfId="0" applyNumberFormat="1" applyFont="1" applyFill="1" applyAlignment="1">
      <alignment horizontal="center"/>
    </xf>
    <xf numFmtId="0" fontId="0" fillId="2" borderId="4" xfId="0" applyFill="1" applyBorder="1"/>
    <xf numFmtId="0" fontId="2" fillId="2" borderId="0" xfId="0" applyFont="1" applyFill="1"/>
    <xf numFmtId="44" fontId="0" fillId="2" borderId="0" xfId="2" applyFont="1" applyFill="1"/>
    <xf numFmtId="0" fontId="0" fillId="2" borderId="3" xfId="0" applyFill="1" applyBorder="1"/>
    <xf numFmtId="0" fontId="0" fillId="2" borderId="6" xfId="0" applyFill="1" applyBorder="1"/>
    <xf numFmtId="0" fontId="2" fillId="2" borderId="2" xfId="0" applyFont="1" applyFill="1" applyBorder="1"/>
    <xf numFmtId="0" fontId="0" fillId="2" borderId="2" xfId="0" applyFill="1" applyBorder="1"/>
    <xf numFmtId="44" fontId="0" fillId="2" borderId="5" xfId="2" applyFont="1" applyFill="1" applyBorder="1"/>
    <xf numFmtId="44" fontId="0" fillId="2" borderId="7" xfId="2" applyFont="1" applyFill="1" applyBorder="1"/>
    <xf numFmtId="44" fontId="0" fillId="2" borderId="0" xfId="0" applyNumberFormat="1" applyFill="1"/>
    <xf numFmtId="44" fontId="0" fillId="2" borderId="10" xfId="2" applyFont="1" applyFill="1" applyBorder="1"/>
    <xf numFmtId="44" fontId="2" fillId="2" borderId="2" xfId="2" applyFont="1" applyFill="1" applyBorder="1"/>
    <xf numFmtId="43" fontId="0" fillId="2" borderId="0" xfId="0" applyNumberFormat="1" applyFill="1"/>
    <xf numFmtId="0" fontId="5" fillId="2" borderId="0" xfId="0" applyFont="1" applyFill="1" applyAlignment="1">
      <alignment horizontal="center"/>
    </xf>
    <xf numFmtId="0" fontId="0" fillId="2" borderId="7" xfId="0" applyFill="1" applyBorder="1"/>
    <xf numFmtId="166" fontId="0" fillId="2" borderId="0" xfId="1" applyNumberFormat="1" applyFont="1" applyFill="1" applyBorder="1" applyAlignment="1">
      <alignment horizontal="center"/>
    </xf>
    <xf numFmtId="166" fontId="0" fillId="2" borderId="7" xfId="1" applyNumberFormat="1" applyFont="1" applyFill="1" applyBorder="1" applyAlignment="1">
      <alignment horizontal="center"/>
    </xf>
    <xf numFmtId="0" fontId="4" fillId="2" borderId="0" xfId="0" applyFont="1" applyFill="1"/>
    <xf numFmtId="1" fontId="0" fillId="0" borderId="8" xfId="1" applyNumberFormat="1" applyFont="1" applyBorder="1" applyAlignment="1">
      <alignment horizontal="center"/>
    </xf>
    <xf numFmtId="1" fontId="0" fillId="0" borderId="9" xfId="1" applyNumberFormat="1" applyFont="1" applyBorder="1" applyAlignment="1">
      <alignment horizontal="center"/>
    </xf>
    <xf numFmtId="1" fontId="0" fillId="0" borderId="10" xfId="1" applyNumberFormat="1" applyFon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7" xfId="0" applyNumberFormat="1" applyBorder="1" applyAlignment="1">
      <alignment horizontal="center"/>
    </xf>
    <xf numFmtId="43" fontId="0" fillId="0" borderId="10" xfId="1" applyFont="1" applyBorder="1" applyAlignment="1">
      <alignment horizontal="center"/>
    </xf>
    <xf numFmtId="0" fontId="0" fillId="0" borderId="11" xfId="0" applyBorder="1" applyAlignment="1">
      <alignment vertical="center"/>
    </xf>
    <xf numFmtId="1" fontId="0" fillId="0" borderId="0" xfId="0" applyNumberFormat="1"/>
    <xf numFmtId="165" fontId="2" fillId="2" borderId="0" xfId="1" applyNumberFormat="1" applyFont="1" applyFill="1" applyBorder="1" applyAlignment="1">
      <alignment horizontal="left" vertical="center"/>
    </xf>
    <xf numFmtId="9" fontId="0" fillId="0" borderId="13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/>
    </xf>
    <xf numFmtId="165" fontId="0" fillId="2" borderId="0" xfId="1" applyNumberFormat="1" applyFont="1" applyFill="1" applyBorder="1" applyAlignment="1">
      <alignment horizontal="center"/>
    </xf>
    <xf numFmtId="165" fontId="0" fillId="2" borderId="7" xfId="1" applyNumberFormat="1" applyFont="1" applyFill="1" applyBorder="1" applyAlignment="1">
      <alignment horizontal="center"/>
    </xf>
    <xf numFmtId="168" fontId="0" fillId="2" borderId="4" xfId="0" applyNumberFormat="1" applyFill="1" applyBorder="1" applyAlignment="1">
      <alignment horizontal="center"/>
    </xf>
    <xf numFmtId="168" fontId="0" fillId="2" borderId="5" xfId="0" applyNumberFormat="1" applyFill="1" applyBorder="1" applyAlignment="1">
      <alignment horizontal="center"/>
    </xf>
    <xf numFmtId="167" fontId="10" fillId="2" borderId="0" xfId="1" applyNumberFormat="1" applyFont="1" applyFill="1" applyBorder="1" applyAlignment="1">
      <alignment horizontal="center"/>
    </xf>
    <xf numFmtId="168" fontId="0" fillId="2" borderId="8" xfId="0" applyNumberFormat="1" applyFill="1" applyBorder="1"/>
    <xf numFmtId="167" fontId="10" fillId="2" borderId="3" xfId="1" applyNumberFormat="1" applyFont="1" applyFill="1" applyBorder="1" applyAlignment="1">
      <alignment horizontal="center"/>
    </xf>
    <xf numFmtId="167" fontId="10" fillId="2" borderId="4" xfId="1" applyNumberFormat="1" applyFont="1" applyFill="1" applyBorder="1" applyAlignment="1">
      <alignment horizontal="center"/>
    </xf>
    <xf numFmtId="167" fontId="10" fillId="2" borderId="5" xfId="1" applyNumberFormat="1" applyFont="1" applyFill="1" applyBorder="1" applyAlignment="1">
      <alignment horizontal="center"/>
    </xf>
    <xf numFmtId="167" fontId="10" fillId="2" borderId="6" xfId="1" applyNumberFormat="1" applyFont="1" applyFill="1" applyBorder="1" applyAlignment="1">
      <alignment horizontal="center"/>
    </xf>
    <xf numFmtId="167" fontId="10" fillId="2" borderId="7" xfId="1" applyNumberFormat="1" applyFont="1" applyFill="1" applyBorder="1" applyAlignment="1">
      <alignment horizontal="center"/>
    </xf>
    <xf numFmtId="44" fontId="0" fillId="2" borderId="6" xfId="2" applyFont="1" applyFill="1" applyBorder="1" applyAlignment="1">
      <alignment horizontal="center"/>
    </xf>
    <xf numFmtId="44" fontId="0" fillId="2" borderId="0" xfId="2" applyFont="1" applyFill="1" applyBorder="1" applyAlignment="1">
      <alignment horizontal="center"/>
    </xf>
    <xf numFmtId="44" fontId="0" fillId="2" borderId="7" xfId="2" applyFont="1" applyFill="1" applyBorder="1" applyAlignment="1">
      <alignment horizontal="center"/>
    </xf>
    <xf numFmtId="167" fontId="10" fillId="2" borderId="8" xfId="1" applyNumberFormat="1" applyFont="1" applyFill="1" applyBorder="1" applyAlignment="1">
      <alignment horizontal="center"/>
    </xf>
    <xf numFmtId="167" fontId="10" fillId="2" borderId="9" xfId="1" applyNumberFormat="1" applyFont="1" applyFill="1" applyBorder="1" applyAlignment="1">
      <alignment horizontal="center"/>
    </xf>
    <xf numFmtId="167" fontId="10" fillId="2" borderId="10" xfId="1" applyNumberFormat="1" applyFont="1" applyFill="1" applyBorder="1" applyAlignment="1">
      <alignment horizontal="center"/>
    </xf>
    <xf numFmtId="168" fontId="0" fillId="2" borderId="0" xfId="0" applyNumberFormat="1" applyFill="1"/>
    <xf numFmtId="44" fontId="0" fillId="2" borderId="0" xfId="2" applyFont="1" applyFill="1" applyBorder="1"/>
    <xf numFmtId="168" fontId="0" fillId="2" borderId="6" xfId="0" applyNumberFormat="1" applyFill="1" applyBorder="1"/>
    <xf numFmtId="168" fontId="0" fillId="2" borderId="7" xfId="0" applyNumberFormat="1" applyFill="1" applyBorder="1"/>
    <xf numFmtId="168" fontId="0" fillId="2" borderId="9" xfId="0" applyNumberFormat="1" applyFill="1" applyBorder="1"/>
    <xf numFmtId="168" fontId="0" fillId="2" borderId="10" xfId="0" applyNumberFormat="1" applyFill="1" applyBorder="1"/>
    <xf numFmtId="0" fontId="0" fillId="2" borderId="3" xfId="0" applyFill="1" applyBorder="1" applyAlignment="1">
      <alignment wrapText="1"/>
    </xf>
    <xf numFmtId="165" fontId="0" fillId="2" borderId="3" xfId="1" applyNumberFormat="1" applyFont="1" applyFill="1" applyBorder="1" applyAlignment="1">
      <alignment horizontal="center"/>
    </xf>
    <xf numFmtId="165" fontId="0" fillId="2" borderId="4" xfId="1" applyNumberFormat="1" applyFont="1" applyFill="1" applyBorder="1" applyAlignment="1">
      <alignment horizontal="center"/>
    </xf>
    <xf numFmtId="0" fontId="13" fillId="4" borderId="0" xfId="0" applyFont="1" applyFill="1"/>
    <xf numFmtId="0" fontId="7" fillId="4" borderId="0" xfId="0" applyFont="1" applyFill="1"/>
    <xf numFmtId="0" fontId="14" fillId="4" borderId="1" xfId="0" applyFont="1" applyFill="1" applyBorder="1"/>
    <xf numFmtId="164" fontId="7" fillId="3" borderId="1" xfId="1" applyNumberFormat="1" applyFont="1" applyFill="1" applyBorder="1"/>
    <xf numFmtId="0" fontId="15" fillId="4" borderId="0" xfId="4" applyFont="1" applyFill="1" applyAlignment="1" applyProtection="1">
      <alignment horizontal="right"/>
    </xf>
    <xf numFmtId="0" fontId="16" fillId="0" borderId="0" xfId="0" applyFont="1" applyAlignment="1">
      <alignment horizontal="left"/>
    </xf>
    <xf numFmtId="0" fontId="13" fillId="0" borderId="0" xfId="0" applyFont="1"/>
    <xf numFmtId="0" fontId="18" fillId="4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/>
    </xf>
    <xf numFmtId="0" fontId="18" fillId="4" borderId="0" xfId="0" applyFont="1" applyFill="1" applyAlignment="1">
      <alignment horizontal="center"/>
    </xf>
    <xf numFmtId="0" fontId="17" fillId="0" borderId="0" xfId="0" applyFont="1"/>
    <xf numFmtId="0" fontId="19" fillId="4" borderId="0" xfId="0" applyFont="1" applyFill="1" applyAlignment="1">
      <alignment horizontal="center"/>
    </xf>
    <xf numFmtId="0" fontId="0" fillId="4" borderId="0" xfId="0" applyFill="1"/>
    <xf numFmtId="43" fontId="13" fillId="0" borderId="0" xfId="1" applyFont="1"/>
    <xf numFmtId="0" fontId="20" fillId="0" borderId="0" xfId="0" applyFont="1"/>
    <xf numFmtId="43" fontId="13" fillId="0" borderId="0" xfId="0" applyNumberFormat="1" applyFont="1"/>
    <xf numFmtId="43" fontId="17" fillId="0" borderId="0" xfId="0" applyNumberFormat="1" applyFont="1"/>
    <xf numFmtId="0" fontId="15" fillId="0" borderId="0" xfId="4" applyFont="1" applyAlignment="1" applyProtection="1">
      <alignment horizontal="right"/>
    </xf>
    <xf numFmtId="164" fontId="0" fillId="0" borderId="0" xfId="0" applyNumberFormat="1"/>
    <xf numFmtId="164" fontId="9" fillId="0" borderId="0" xfId="1" applyNumberFormat="1" applyFont="1" applyFill="1" applyBorder="1"/>
    <xf numFmtId="43" fontId="1" fillId="0" borderId="0" xfId="1"/>
    <xf numFmtId="0" fontId="7" fillId="0" borderId="0" xfId="0" applyFont="1"/>
    <xf numFmtId="43" fontId="7" fillId="3" borderId="1" xfId="1" applyFont="1" applyFill="1" applyBorder="1"/>
    <xf numFmtId="0" fontId="21" fillId="0" borderId="0" xfId="4" applyFont="1" applyAlignment="1" applyProtection="1">
      <alignment horizontal="right"/>
    </xf>
    <xf numFmtId="0" fontId="11" fillId="0" borderId="0" xfId="4" applyAlignment="1" applyProtection="1">
      <alignment horizontal="right"/>
    </xf>
    <xf numFmtId="0" fontId="16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7" borderId="26" xfId="0" applyFont="1" applyFill="1" applyBorder="1" applyAlignment="1">
      <alignment horizontal="center"/>
    </xf>
    <xf numFmtId="17" fontId="16" fillId="0" borderId="0" xfId="0" applyNumberFormat="1" applyFont="1" applyAlignment="1">
      <alignment horizontal="center"/>
    </xf>
    <xf numFmtId="17" fontId="16" fillId="7" borderId="27" xfId="0" applyNumberFormat="1" applyFont="1" applyFill="1" applyBorder="1" applyAlignment="1">
      <alignment horizontal="center"/>
    </xf>
    <xf numFmtId="0" fontId="13" fillId="0" borderId="1" xfId="0" applyFont="1" applyBorder="1"/>
    <xf numFmtId="4" fontId="13" fillId="0" borderId="1" xfId="0" applyNumberFormat="1" applyFont="1" applyBorder="1"/>
    <xf numFmtId="4" fontId="13" fillId="0" borderId="0" xfId="0" applyNumberFormat="1" applyFont="1"/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169" fontId="13" fillId="0" borderId="0" xfId="0" applyNumberFormat="1" applyFont="1"/>
    <xf numFmtId="0" fontId="16" fillId="0" borderId="0" xfId="0" applyFont="1" applyAlignment="1">
      <alignment horizontal="center" vertical="center"/>
    </xf>
    <xf numFmtId="0" fontId="2" fillId="0" borderId="13" xfId="0" applyFont="1" applyBorder="1"/>
    <xf numFmtId="0" fontId="0" fillId="0" borderId="16" xfId="0" applyBorder="1" applyAlignment="1">
      <alignment wrapText="1"/>
    </xf>
    <xf numFmtId="1" fontId="0" fillId="0" borderId="10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2" applyFont="1" applyBorder="1"/>
    <xf numFmtId="0" fontId="22" fillId="8" borderId="0" xfId="0" applyFont="1" applyFill="1"/>
    <xf numFmtId="0" fontId="22" fillId="9" borderId="6" xfId="0" applyFont="1" applyFill="1" applyBorder="1"/>
    <xf numFmtId="17" fontId="2" fillId="11" borderId="14" xfId="0" applyNumberFormat="1" applyFont="1" applyFill="1" applyBorder="1" applyAlignment="1">
      <alignment horizontal="center"/>
    </xf>
    <xf numFmtId="17" fontId="2" fillId="11" borderId="15" xfId="0" applyNumberFormat="1" applyFont="1" applyFill="1" applyBorder="1" applyAlignment="1">
      <alignment horizontal="center"/>
    </xf>
    <xf numFmtId="17" fontId="2" fillId="11" borderId="16" xfId="0" applyNumberFormat="1" applyFont="1" applyFill="1" applyBorder="1" applyAlignment="1">
      <alignment horizontal="center"/>
    </xf>
    <xf numFmtId="0" fontId="0" fillId="9" borderId="7" xfId="0" applyFill="1" applyBorder="1" applyAlignment="1">
      <alignment horizontal="right"/>
    </xf>
    <xf numFmtId="0" fontId="22" fillId="9" borderId="8" xfId="0" applyFont="1" applyFill="1" applyBorder="1"/>
    <xf numFmtId="0" fontId="0" fillId="9" borderId="10" xfId="0" applyFill="1" applyBorder="1" applyAlignment="1">
      <alignment horizontal="right"/>
    </xf>
    <xf numFmtId="0" fontId="22" fillId="2" borderId="0" xfId="0" applyFont="1" applyFill="1"/>
    <xf numFmtId="0" fontId="0" fillId="8" borderId="0" xfId="0" applyFill="1" applyAlignment="1">
      <alignment horizontal="right"/>
    </xf>
    <xf numFmtId="14" fontId="0" fillId="8" borderId="0" xfId="0" applyNumberFormat="1" applyFill="1"/>
    <xf numFmtId="49" fontId="0" fillId="8" borderId="0" xfId="0" applyNumberFormat="1" applyFill="1" applyAlignment="1">
      <alignment horizontal="right"/>
    </xf>
    <xf numFmtId="0" fontId="2" fillId="0" borderId="29" xfId="0" applyFont="1" applyBorder="1"/>
    <xf numFmtId="0" fontId="2" fillId="0" borderId="30" xfId="0" applyFont="1" applyBorder="1"/>
    <xf numFmtId="0" fontId="0" fillId="9" borderId="7" xfId="0" applyFill="1" applyBorder="1"/>
    <xf numFmtId="0" fontId="0" fillId="9" borderId="10" xfId="0" applyFill="1" applyBorder="1"/>
    <xf numFmtId="0" fontId="22" fillId="10" borderId="3" xfId="0" applyFont="1" applyFill="1" applyBorder="1"/>
    <xf numFmtId="0" fontId="0" fillId="10" borderId="5" xfId="0" applyFill="1" applyBorder="1"/>
    <xf numFmtId="0" fontId="22" fillId="10" borderId="6" xfId="0" applyFont="1" applyFill="1" applyBorder="1"/>
    <xf numFmtId="0" fontId="0" fillId="10" borderId="7" xfId="0" applyFill="1" applyBorder="1" applyAlignment="1">
      <alignment horizontal="right"/>
    </xf>
    <xf numFmtId="0" fontId="22" fillId="10" borderId="8" xfId="0" applyFont="1" applyFill="1" applyBorder="1"/>
    <xf numFmtId="0" fontId="0" fillId="10" borderId="10" xfId="0" applyFill="1" applyBorder="1"/>
    <xf numFmtId="0" fontId="24" fillId="0" borderId="0" xfId="0" applyFont="1" applyAlignment="1">
      <alignment horizontal="justify" vertical="center" wrapText="1"/>
    </xf>
    <xf numFmtId="0" fontId="22" fillId="14" borderId="6" xfId="0" applyFont="1" applyFill="1" applyBorder="1"/>
    <xf numFmtId="0" fontId="0" fillId="14" borderId="7" xfId="0" applyFill="1" applyBorder="1" applyAlignment="1">
      <alignment horizontal="right"/>
    </xf>
    <xf numFmtId="0" fontId="22" fillId="15" borderId="6" xfId="0" applyFont="1" applyFill="1" applyBorder="1"/>
    <xf numFmtId="0" fontId="0" fillId="15" borderId="7" xfId="0" applyFill="1" applyBorder="1" applyAlignment="1">
      <alignment horizontal="right"/>
    </xf>
    <xf numFmtId="4" fontId="0" fillId="10" borderId="7" xfId="0" applyNumberFormat="1" applyFill="1" applyBorder="1" applyAlignment="1">
      <alignment horizontal="right"/>
    </xf>
    <xf numFmtId="1" fontId="8" fillId="5" borderId="1" xfId="0" applyNumberFormat="1" applyFont="1" applyFill="1" applyBorder="1" applyAlignment="1">
      <alignment horizontal="center"/>
    </xf>
    <xf numFmtId="0" fontId="22" fillId="8" borderId="0" xfId="0" applyFont="1" applyFill="1" applyAlignment="1">
      <alignment horizontal="right"/>
    </xf>
    <xf numFmtId="0" fontId="2" fillId="0" borderId="14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3" fillId="2" borderId="0" xfId="0" applyFont="1" applyFill="1"/>
    <xf numFmtId="2" fontId="0" fillId="2" borderId="0" xfId="0" applyNumberFormat="1" applyFill="1"/>
    <xf numFmtId="0" fontId="0" fillId="0" borderId="31" xfId="0" applyBorder="1"/>
    <xf numFmtId="0" fontId="0" fillId="0" borderId="3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30" fillId="2" borderId="0" xfId="0" applyFont="1" applyFill="1"/>
    <xf numFmtId="0" fontId="10" fillId="2" borderId="0" xfId="0" applyFont="1" applyFill="1"/>
    <xf numFmtId="44" fontId="10" fillId="2" borderId="0" xfId="0" applyNumberFormat="1" applyFont="1" applyFill="1"/>
    <xf numFmtId="0" fontId="33" fillId="11" borderId="0" xfId="0" applyFont="1" applyFill="1" applyAlignment="1">
      <alignment vertical="center"/>
    </xf>
    <xf numFmtId="2" fontId="33" fillId="11" borderId="0" xfId="0" applyNumberFormat="1" applyFont="1" applyFill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6" borderId="0" xfId="0" applyFill="1"/>
    <xf numFmtId="1" fontId="0" fillId="16" borderId="0" xfId="0" applyNumberFormat="1" applyFill="1"/>
    <xf numFmtId="17" fontId="32" fillId="11" borderId="0" xfId="0" applyNumberFormat="1" applyFont="1" applyFill="1" applyAlignment="1">
      <alignment horizontal="center"/>
    </xf>
    <xf numFmtId="0" fontId="2" fillId="11" borderId="3" xfId="0" applyFont="1" applyFill="1" applyBorder="1" applyAlignment="1">
      <alignment vertical="center"/>
    </xf>
    <xf numFmtId="0" fontId="2" fillId="11" borderId="3" xfId="0" applyFont="1" applyFill="1" applyBorder="1" applyAlignment="1">
      <alignment vertical="center" wrapText="1"/>
    </xf>
    <xf numFmtId="0" fontId="2" fillId="11" borderId="14" xfId="0" applyFont="1" applyFill="1" applyBorder="1" applyAlignment="1">
      <alignment vertical="center"/>
    </xf>
    <xf numFmtId="0" fontId="35" fillId="2" borderId="3" xfId="0" applyFont="1" applyFill="1" applyBorder="1" applyAlignment="1">
      <alignment vertical="center"/>
    </xf>
    <xf numFmtId="0" fontId="35" fillId="2" borderId="4" xfId="0" applyFont="1" applyFill="1" applyBorder="1" applyAlignment="1">
      <alignment vertical="center"/>
    </xf>
    <xf numFmtId="0" fontId="35" fillId="2" borderId="4" xfId="0" applyFont="1" applyFill="1" applyBorder="1" applyAlignment="1">
      <alignment horizontal="center" vertical="center"/>
    </xf>
    <xf numFmtId="0" fontId="35" fillId="2" borderId="5" xfId="0" applyFont="1" applyFill="1" applyBorder="1" applyAlignment="1">
      <alignment horizontal="center" vertical="center"/>
    </xf>
    <xf numFmtId="0" fontId="35" fillId="2" borderId="6" xfId="0" applyFont="1" applyFill="1" applyBorder="1" applyAlignment="1">
      <alignment vertical="center"/>
    </xf>
    <xf numFmtId="0" fontId="35" fillId="2" borderId="0" xfId="0" applyFont="1" applyFill="1" applyAlignment="1">
      <alignment vertical="center"/>
    </xf>
    <xf numFmtId="0" fontId="35" fillId="2" borderId="0" xfId="0" applyFont="1" applyFill="1" applyAlignment="1">
      <alignment horizontal="center" vertical="center"/>
    </xf>
    <xf numFmtId="0" fontId="35" fillId="2" borderId="7" xfId="0" applyFont="1" applyFill="1" applyBorder="1" applyAlignment="1">
      <alignment horizontal="center" vertical="center"/>
    </xf>
    <xf numFmtId="0" fontId="36" fillId="0" borderId="6" xfId="0" applyFont="1" applyBorder="1" applyAlignment="1">
      <alignment vertical="center"/>
    </xf>
    <xf numFmtId="0" fontId="36" fillId="2" borderId="0" xfId="0" applyFont="1" applyFill="1" applyAlignment="1">
      <alignment vertical="center"/>
    </xf>
    <xf numFmtId="0" fontId="36" fillId="2" borderId="0" xfId="0" applyFont="1" applyFill="1" applyAlignment="1">
      <alignment horizontal="center" vertical="center"/>
    </xf>
    <xf numFmtId="0" fontId="35" fillId="0" borderId="6" xfId="0" applyFont="1" applyBorder="1" applyAlignment="1">
      <alignment horizontal="left" vertical="center"/>
    </xf>
    <xf numFmtId="0" fontId="35" fillId="2" borderId="0" xfId="0" applyFont="1" applyFill="1" applyAlignment="1">
      <alignment horizontal="left" vertical="center"/>
    </xf>
    <xf numFmtId="1" fontId="35" fillId="0" borderId="0" xfId="1" applyNumberFormat="1" applyFont="1" applyBorder="1" applyAlignment="1">
      <alignment horizontal="center" vertical="center"/>
    </xf>
    <xf numFmtId="0" fontId="35" fillId="0" borderId="7" xfId="0" applyFont="1" applyBorder="1" applyAlignment="1">
      <alignment horizontal="center" vertical="center"/>
    </xf>
    <xf numFmtId="0" fontId="37" fillId="2" borderId="0" xfId="0" applyFont="1" applyFill="1" applyAlignment="1">
      <alignment vertical="center"/>
    </xf>
    <xf numFmtId="2" fontId="35" fillId="2" borderId="0" xfId="0" applyNumberFormat="1" applyFont="1" applyFill="1" applyAlignment="1">
      <alignment horizontal="center" vertical="center"/>
    </xf>
    <xf numFmtId="2" fontId="35" fillId="2" borderId="0" xfId="0" applyNumberFormat="1" applyFont="1" applyFill="1" applyAlignment="1">
      <alignment horizontal="right" vertical="center"/>
    </xf>
    <xf numFmtId="0" fontId="35" fillId="0" borderId="0" xfId="0" applyFont="1"/>
    <xf numFmtId="0" fontId="35" fillId="2" borderId="8" xfId="0" applyFont="1" applyFill="1" applyBorder="1" applyAlignment="1">
      <alignment vertical="center"/>
    </xf>
    <xf numFmtId="0" fontId="37" fillId="2" borderId="9" xfId="0" applyFont="1" applyFill="1" applyBorder="1" applyAlignment="1">
      <alignment vertical="center"/>
    </xf>
    <xf numFmtId="0" fontId="35" fillId="2" borderId="9" xfId="0" applyFont="1" applyFill="1" applyBorder="1" applyAlignment="1">
      <alignment vertical="center"/>
    </xf>
    <xf numFmtId="4" fontId="35" fillId="2" borderId="9" xfId="1" applyNumberFormat="1" applyFont="1" applyFill="1" applyBorder="1" applyAlignment="1">
      <alignment horizontal="center" vertical="center"/>
    </xf>
    <xf numFmtId="165" fontId="35" fillId="2" borderId="9" xfId="1" applyNumberFormat="1" applyFont="1" applyFill="1" applyBorder="1" applyAlignment="1">
      <alignment horizontal="left" vertical="center"/>
    </xf>
    <xf numFmtId="0" fontId="35" fillId="2" borderId="10" xfId="0" applyFont="1" applyFill="1" applyBorder="1" applyAlignment="1">
      <alignment horizontal="center" vertical="center"/>
    </xf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4" xfId="0" applyFill="1" applyBorder="1" applyAlignment="1">
      <alignment horizontal="center"/>
    </xf>
    <xf numFmtId="0" fontId="38" fillId="2" borderId="15" xfId="0" applyFont="1" applyFill="1" applyBorder="1" applyAlignment="1">
      <alignment horizontal="center" vertical="center" wrapText="1"/>
    </xf>
    <xf numFmtId="0" fontId="38" fillId="2" borderId="16" xfId="0" applyFont="1" applyFill="1" applyBorder="1" applyAlignment="1">
      <alignment horizontal="center"/>
    </xf>
    <xf numFmtId="0" fontId="0" fillId="2" borderId="15" xfId="0" applyFill="1" applyBorder="1" applyAlignment="1">
      <alignment wrapText="1"/>
    </xf>
    <xf numFmtId="0" fontId="0" fillId="2" borderId="5" xfId="0" applyFill="1" applyBorder="1"/>
    <xf numFmtId="0" fontId="0" fillId="2" borderId="10" xfId="0" applyFill="1" applyBorder="1"/>
    <xf numFmtId="0" fontId="35" fillId="2" borderId="0" xfId="0" applyFont="1" applyFill="1"/>
    <xf numFmtId="9" fontId="0" fillId="2" borderId="0" xfId="0" applyNumberFormat="1" applyFill="1"/>
    <xf numFmtId="165" fontId="0" fillId="2" borderId="0" xfId="0" applyNumberFormat="1" applyFill="1"/>
    <xf numFmtId="43" fontId="0" fillId="2" borderId="0" xfId="1" applyFont="1" applyFill="1" applyBorder="1"/>
    <xf numFmtId="43" fontId="25" fillId="17" borderId="0" xfId="0" applyNumberFormat="1" applyFont="1" applyFill="1"/>
    <xf numFmtId="0" fontId="0" fillId="2" borderId="0" xfId="0" applyFill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5" fontId="1" fillId="2" borderId="1" xfId="1" applyNumberFormat="1" applyFont="1" applyFill="1" applyBorder="1"/>
    <xf numFmtId="165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25" fillId="18" borderId="0" xfId="0" applyFont="1" applyFill="1"/>
    <xf numFmtId="0" fontId="25" fillId="18" borderId="0" xfId="0" applyFont="1" applyFill="1" applyAlignment="1">
      <alignment horizontal="right"/>
    </xf>
    <xf numFmtId="0" fontId="2" fillId="2" borderId="6" xfId="0" applyFont="1" applyFill="1" applyBorder="1"/>
    <xf numFmtId="165" fontId="0" fillId="2" borderId="0" xfId="1" applyNumberFormat="1" applyFont="1" applyFill="1" applyBorder="1" applyAlignment="1">
      <alignment horizontal="right"/>
    </xf>
    <xf numFmtId="0" fontId="9" fillId="2" borderId="0" xfId="0" applyFont="1" applyFill="1" applyAlignment="1">
      <alignment vertical="center"/>
    </xf>
    <xf numFmtId="0" fontId="39" fillId="13" borderId="11" xfId="0" applyFont="1" applyFill="1" applyBorder="1" applyAlignment="1">
      <alignment vertical="center"/>
    </xf>
    <xf numFmtId="0" fontId="39" fillId="13" borderId="12" xfId="0" applyFont="1" applyFill="1" applyBorder="1" applyAlignment="1">
      <alignment vertical="center"/>
    </xf>
    <xf numFmtId="4" fontId="39" fillId="13" borderId="13" xfId="2" applyNumberFormat="1" applyFont="1" applyFill="1" applyBorder="1" applyAlignment="1">
      <alignment vertical="center"/>
    </xf>
    <xf numFmtId="0" fontId="40" fillId="2" borderId="42" xfId="0" applyFont="1" applyFill="1" applyBorder="1" applyAlignment="1">
      <alignment vertical="center"/>
    </xf>
    <xf numFmtId="0" fontId="40" fillId="2" borderId="24" xfId="0" applyFont="1" applyFill="1" applyBorder="1" applyAlignment="1">
      <alignment vertical="center"/>
    </xf>
    <xf numFmtId="0" fontId="40" fillId="2" borderId="24" xfId="0" applyFont="1" applyFill="1" applyBorder="1"/>
    <xf numFmtId="4" fontId="40" fillId="2" borderId="43" xfId="1" applyNumberFormat="1" applyFont="1" applyFill="1" applyBorder="1" applyAlignment="1">
      <alignment horizontal="right" vertical="center"/>
    </xf>
    <xf numFmtId="0" fontId="40" fillId="2" borderId="40" xfId="0" applyFont="1" applyFill="1" applyBorder="1"/>
    <xf numFmtId="0" fontId="40" fillId="2" borderId="21" xfId="0" applyFont="1" applyFill="1" applyBorder="1"/>
    <xf numFmtId="0" fontId="40" fillId="2" borderId="21" xfId="0" applyFont="1" applyFill="1" applyBorder="1" applyAlignment="1">
      <alignment vertical="center"/>
    </xf>
    <xf numFmtId="0" fontId="40" fillId="2" borderId="41" xfId="0" applyFont="1" applyFill="1" applyBorder="1"/>
    <xf numFmtId="0" fontId="40" fillId="2" borderId="42" xfId="0" applyFont="1" applyFill="1" applyBorder="1"/>
    <xf numFmtId="0" fontId="40" fillId="2" borderId="43" xfId="0" applyFont="1" applyFill="1" applyBorder="1"/>
    <xf numFmtId="0" fontId="41" fillId="2" borderId="6" xfId="0" applyFont="1" applyFill="1" applyBorder="1" applyAlignment="1">
      <alignment vertical="center"/>
    </xf>
    <xf numFmtId="0" fontId="41" fillId="2" borderId="0" xfId="0" applyFont="1" applyFill="1"/>
    <xf numFmtId="0" fontId="41" fillId="2" borderId="7" xfId="0" applyFont="1" applyFill="1" applyBorder="1"/>
    <xf numFmtId="0" fontId="42" fillId="2" borderId="8" xfId="0" applyFont="1" applyFill="1" applyBorder="1"/>
    <xf numFmtId="0" fontId="42" fillId="2" borderId="9" xfId="0" applyFont="1" applyFill="1" applyBorder="1"/>
    <xf numFmtId="0" fontId="42" fillId="2" borderId="9" xfId="0" applyFont="1" applyFill="1" applyBorder="1" applyAlignment="1">
      <alignment vertical="center"/>
    </xf>
    <xf numFmtId="4" fontId="42" fillId="2" borderId="10" xfId="0" applyNumberFormat="1" applyFont="1" applyFill="1" applyBorder="1"/>
    <xf numFmtId="0" fontId="32" fillId="11" borderId="0" xfId="0" applyFont="1" applyFill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32" xfId="0" applyFill="1" applyBorder="1"/>
    <xf numFmtId="1" fontId="26" fillId="2" borderId="33" xfId="0" applyNumberFormat="1" applyFont="1" applyFill="1" applyBorder="1" applyAlignment="1">
      <alignment horizontal="center"/>
    </xf>
    <xf numFmtId="1" fontId="28" fillId="2" borderId="33" xfId="0" applyNumberFormat="1" applyFont="1" applyFill="1" applyBorder="1" applyAlignment="1">
      <alignment horizontal="center"/>
    </xf>
    <xf numFmtId="2" fontId="0" fillId="2" borderId="33" xfId="0" applyNumberFormat="1" applyFill="1" applyBorder="1" applyAlignment="1">
      <alignment horizontal="center"/>
    </xf>
    <xf numFmtId="9" fontId="28" fillId="2" borderId="34" xfId="0" applyNumberFormat="1" applyFont="1" applyFill="1" applyBorder="1" applyAlignment="1">
      <alignment horizontal="center"/>
    </xf>
    <xf numFmtId="0" fontId="0" fillId="2" borderId="35" xfId="0" applyFill="1" applyBorder="1"/>
    <xf numFmtId="1" fontId="26" fillId="2" borderId="1" xfId="0" applyNumberFormat="1" applyFont="1" applyFill="1" applyBorder="1" applyAlignment="1">
      <alignment horizontal="center"/>
    </xf>
    <xf numFmtId="1" fontId="28" fillId="2" borderId="1" xfId="0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9" fontId="28" fillId="2" borderId="36" xfId="0" applyNumberFormat="1" applyFont="1" applyFill="1" applyBorder="1" applyAlignment="1">
      <alignment horizontal="center"/>
    </xf>
    <xf numFmtId="0" fontId="2" fillId="2" borderId="37" xfId="0" applyFont="1" applyFill="1" applyBorder="1"/>
    <xf numFmtId="3" fontId="27" fillId="2" borderId="38" xfId="0" applyNumberFormat="1" applyFont="1" applyFill="1" applyBorder="1" applyAlignment="1">
      <alignment horizontal="center"/>
    </xf>
    <xf numFmtId="3" fontId="29" fillId="2" borderId="38" xfId="0" applyNumberFormat="1" applyFont="1" applyFill="1" applyBorder="1" applyAlignment="1">
      <alignment horizontal="center"/>
    </xf>
    <xf numFmtId="2" fontId="2" fillId="2" borderId="38" xfId="0" applyNumberFormat="1" applyFont="1" applyFill="1" applyBorder="1" applyAlignment="1">
      <alignment horizontal="center"/>
    </xf>
    <xf numFmtId="9" fontId="29" fillId="2" borderId="39" xfId="0" applyNumberFormat="1" applyFont="1" applyFill="1" applyBorder="1" applyAlignment="1">
      <alignment horizontal="center"/>
    </xf>
    <xf numFmtId="43" fontId="0" fillId="2" borderId="0" xfId="1" applyFont="1" applyFill="1"/>
    <xf numFmtId="0" fontId="0" fillId="13" borderId="0" xfId="0" applyFill="1"/>
    <xf numFmtId="0" fontId="0" fillId="13" borderId="0" xfId="0" applyFill="1" applyAlignment="1">
      <alignment horizontal="right"/>
    </xf>
    <xf numFmtId="4" fontId="0" fillId="2" borderId="0" xfId="0" applyNumberFormat="1" applyFill="1"/>
    <xf numFmtId="2" fontId="0" fillId="0" borderId="0" xfId="0" applyNumberFormat="1"/>
    <xf numFmtId="43" fontId="0" fillId="0" borderId="0" xfId="1" applyFont="1"/>
    <xf numFmtId="0" fontId="0" fillId="19" borderId="0" xfId="0" applyFill="1" applyAlignment="1">
      <alignment horizontal="right"/>
    </xf>
    <xf numFmtId="43" fontId="0" fillId="19" borderId="0" xfId="0" applyNumberFormat="1" applyFill="1" applyAlignment="1">
      <alignment horizontal="left"/>
    </xf>
    <xf numFmtId="0" fontId="22" fillId="11" borderId="0" xfId="0" applyFont="1" applyFill="1"/>
    <xf numFmtId="0" fontId="33" fillId="11" borderId="0" xfId="0" applyFont="1" applyFill="1" applyAlignment="1">
      <alignment horizontal="center"/>
    </xf>
    <xf numFmtId="0" fontId="33" fillId="11" borderId="0" xfId="0" applyFont="1" applyFill="1"/>
    <xf numFmtId="1" fontId="0" fillId="12" borderId="7" xfId="0" applyNumberFormat="1" applyFill="1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0" xfId="0" applyAlignment="1">
      <alignment horizontal="right"/>
    </xf>
    <xf numFmtId="9" fontId="0" fillId="2" borderId="1" xfId="0" applyNumberFormat="1" applyFill="1" applyBorder="1" applyAlignment="1">
      <alignment horizontal="center"/>
    </xf>
    <xf numFmtId="43" fontId="0" fillId="2" borderId="1" xfId="1" applyFont="1" applyFill="1" applyBorder="1"/>
    <xf numFmtId="43" fontId="0" fillId="2" borderId="1" xfId="0" applyNumberFormat="1" applyFill="1" applyBorder="1"/>
    <xf numFmtId="43" fontId="0" fillId="2" borderId="1" xfId="1" applyFont="1" applyFill="1" applyBorder="1" applyAlignment="1">
      <alignment wrapText="1"/>
    </xf>
    <xf numFmtId="0" fontId="26" fillId="2" borderId="0" xfId="0" applyFont="1" applyFill="1" applyAlignment="1">
      <alignment horizontal="left"/>
    </xf>
    <xf numFmtId="0" fontId="26" fillId="2" borderId="0" xfId="0" applyFont="1" applyFill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3" fillId="2" borderId="3" xfId="0" applyFont="1" applyFill="1" applyBorder="1" applyAlignment="1">
      <alignment horizontal="center"/>
    </xf>
    <xf numFmtId="0" fontId="23" fillId="2" borderId="5" xfId="0" applyFont="1" applyFill="1" applyBorder="1" applyAlignment="1">
      <alignment horizontal="center"/>
    </xf>
    <xf numFmtId="0" fontId="32" fillId="11" borderId="11" xfId="0" applyFont="1" applyFill="1" applyBorder="1" applyAlignment="1">
      <alignment horizontal="center"/>
    </xf>
    <xf numFmtId="0" fontId="32" fillId="11" borderId="12" xfId="0" applyFont="1" applyFill="1" applyBorder="1" applyAlignment="1">
      <alignment horizontal="center"/>
    </xf>
    <xf numFmtId="0" fontId="32" fillId="11" borderId="13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0" fontId="32" fillId="11" borderId="5" xfId="0" applyFont="1" applyFill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4" fillId="11" borderId="0" xfId="0" applyFont="1" applyFill="1" applyAlignment="1">
      <alignment horizontal="center" vertical="center"/>
    </xf>
    <xf numFmtId="0" fontId="34" fillId="11" borderId="9" xfId="0" applyFont="1" applyFill="1" applyBorder="1" applyAlignment="1">
      <alignment horizontal="center" vertical="center"/>
    </xf>
    <xf numFmtId="0" fontId="34" fillId="11" borderId="9" xfId="0" applyFont="1" applyFill="1" applyBorder="1" applyAlignment="1">
      <alignment horizontal="left"/>
    </xf>
    <xf numFmtId="0" fontId="34" fillId="11" borderId="0" xfId="0" applyFont="1" applyFill="1" applyAlignment="1">
      <alignment horizontal="center"/>
    </xf>
    <xf numFmtId="0" fontId="31" fillId="0" borderId="0" xfId="0" applyFont="1" applyAlignment="1">
      <alignment horizontal="center"/>
    </xf>
    <xf numFmtId="0" fontId="16" fillId="3" borderId="17" xfId="0" applyFont="1" applyFill="1" applyBorder="1" applyAlignment="1">
      <alignment horizontal="center"/>
    </xf>
    <xf numFmtId="0" fontId="16" fillId="3" borderId="18" xfId="0" applyFont="1" applyFill="1" applyBorder="1" applyAlignment="1">
      <alignment horizontal="center"/>
    </xf>
    <xf numFmtId="0" fontId="16" fillId="3" borderId="19" xfId="0" applyFont="1" applyFill="1" applyBorder="1" applyAlignment="1">
      <alignment horizontal="center"/>
    </xf>
    <xf numFmtId="0" fontId="17" fillId="3" borderId="20" xfId="0" applyFont="1" applyFill="1" applyBorder="1" applyAlignment="1">
      <alignment horizontal="center" vertical="center" wrapText="1"/>
    </xf>
    <xf numFmtId="0" fontId="17" fillId="3" borderId="21" xfId="0" applyFont="1" applyFill="1" applyBorder="1" applyAlignment="1">
      <alignment horizontal="center" vertical="center" wrapText="1"/>
    </xf>
    <xf numFmtId="0" fontId="17" fillId="3" borderId="22" xfId="0" applyFont="1" applyFill="1" applyBorder="1" applyAlignment="1">
      <alignment horizontal="center" vertical="center" wrapText="1"/>
    </xf>
    <xf numFmtId="0" fontId="16" fillId="3" borderId="23" xfId="0" applyFont="1" applyFill="1" applyBorder="1" applyAlignment="1">
      <alignment horizontal="center" vertical="center"/>
    </xf>
    <xf numFmtId="0" fontId="16" fillId="3" borderId="24" xfId="0" applyFont="1" applyFill="1" applyBorder="1" applyAlignment="1">
      <alignment horizontal="center" vertical="center"/>
    </xf>
    <xf numFmtId="0" fontId="16" fillId="3" borderId="25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 textRotation="90" wrapText="1"/>
    </xf>
    <xf numFmtId="0" fontId="7" fillId="3" borderId="23" xfId="0" applyFont="1" applyFill="1" applyBorder="1" applyAlignment="1">
      <alignment horizontal="center"/>
    </xf>
    <xf numFmtId="0" fontId="7" fillId="3" borderId="25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16" fillId="0" borderId="26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6" borderId="26" xfId="0" applyFont="1" applyFill="1" applyBorder="1" applyAlignment="1">
      <alignment horizontal="center" vertical="center"/>
    </xf>
    <xf numFmtId="0" fontId="16" fillId="6" borderId="28" xfId="0" applyFont="1" applyFill="1" applyBorder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3" fillId="6" borderId="27" xfId="0" applyFont="1" applyFill="1" applyBorder="1" applyAlignment="1">
      <alignment vertical="center"/>
    </xf>
    <xf numFmtId="0" fontId="13" fillId="0" borderId="26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</cellXfs>
  <cellStyles count="5">
    <cellStyle name="Hipervínculo" xfId="4" builtinId="8"/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03474715501913E-2"/>
          <c:y val="0.16789484310412744"/>
          <c:w val="0.92398229200755166"/>
          <c:h val="0.640575515105146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'DIMENSION PLANTA SOLAR'!$B$5</c:f>
              <c:strCache>
                <c:ptCount val="1"/>
                <c:pt idx="0">
                  <c:v>Kwh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'DIMENSION PLANTA SOLAR'!$C$3:$N$3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'DIMENSION PLANTA SOLAR'!$C$5:$N$5</c:f>
              <c:numCache>
                <c:formatCode>0</c:formatCode>
                <c:ptCount val="12"/>
                <c:pt idx="0">
                  <c:v>1097.547</c:v>
                </c:pt>
                <c:pt idx="1">
                  <c:v>1256.5740000000001</c:v>
                </c:pt>
                <c:pt idx="2">
                  <c:v>1386.924</c:v>
                </c:pt>
                <c:pt idx="3">
                  <c:v>1439.0639999999999</c:v>
                </c:pt>
                <c:pt idx="4">
                  <c:v>1426.029</c:v>
                </c:pt>
                <c:pt idx="5">
                  <c:v>1517.2739999999999</c:v>
                </c:pt>
                <c:pt idx="6">
                  <c:v>1545.9510000000002</c:v>
                </c:pt>
                <c:pt idx="7">
                  <c:v>1491.204</c:v>
                </c:pt>
                <c:pt idx="8">
                  <c:v>1389.5310000000002</c:v>
                </c:pt>
                <c:pt idx="9">
                  <c:v>1261.788</c:v>
                </c:pt>
                <c:pt idx="10">
                  <c:v>1089.7260000000001</c:v>
                </c:pt>
                <c:pt idx="11">
                  <c:v>1042.8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8-4735-9D8E-9E2F041ABF0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489088"/>
        <c:axId val="61035648"/>
      </c:barChart>
      <c:catAx>
        <c:axId val="60489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5648"/>
        <c:crosses val="autoZero"/>
        <c:auto val="1"/>
        <c:lblAlgn val="ctr"/>
        <c:lblOffset val="100"/>
        <c:noMultiLvlLbl val="0"/>
      </c:catAx>
      <c:valAx>
        <c:axId val="610356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crossAx val="6048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288" l="0.70000000000000062" r="0.70000000000000062" t="0.75000000000001288" header="0.30000000000000032" footer="0.30000000000000032"/>
    <c:pageSetup orientation="landscape" verticalDpi="0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485540334855401E-2"/>
          <c:y val="0.19378959449214847"/>
          <c:w val="0.9330289193302892"/>
          <c:h val="0.596132156412352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'DIMENSION PLANTA SOLAR'!$B$13</c:f>
              <c:strCache>
                <c:ptCount val="1"/>
                <c:pt idx="0">
                  <c:v>Kwh (Ede)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'DIMENSION PLANTA SOLAR'!$C$12:$N$12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'DIMENSION PLANTA SOLAR'!$C$13:$N$13</c:f>
              <c:numCache>
                <c:formatCode>_(* #,##0_);_(* \(#,##0\);_(* "-"??_);_(@_)</c:formatCode>
                <c:ptCount val="12"/>
                <c:pt idx="0">
                  <c:v>1329</c:v>
                </c:pt>
                <c:pt idx="1">
                  <c:v>1329</c:v>
                </c:pt>
                <c:pt idx="2">
                  <c:v>1329</c:v>
                </c:pt>
                <c:pt idx="3">
                  <c:v>1329</c:v>
                </c:pt>
                <c:pt idx="4">
                  <c:v>1329</c:v>
                </c:pt>
                <c:pt idx="5">
                  <c:v>1329</c:v>
                </c:pt>
                <c:pt idx="6">
                  <c:v>1329</c:v>
                </c:pt>
                <c:pt idx="7">
                  <c:v>1329</c:v>
                </c:pt>
                <c:pt idx="8">
                  <c:v>1329</c:v>
                </c:pt>
                <c:pt idx="9">
                  <c:v>1329</c:v>
                </c:pt>
                <c:pt idx="10">
                  <c:v>1329</c:v>
                </c:pt>
                <c:pt idx="11">
                  <c:v>1329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B-4255-92D9-01A115340C8C}"/>
            </c:ext>
          </c:extLst>
        </c:ser>
        <c:ser>
          <c:idx val="1"/>
          <c:order val="1"/>
          <c:tx>
            <c:strRef>
              <c:f>'DIMENSION PLANTA SOLAR'!$B$14</c:f>
              <c:strCache>
                <c:ptCount val="1"/>
                <c:pt idx="0">
                  <c:v>Kwh FV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'DIMENSION PLANTA SOLAR'!$C$12:$N$12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'DIMENSION PLANTA SOLAR'!$C$14:$N$14</c:f>
              <c:numCache>
                <c:formatCode>_(* #,##0_);_(* \(#,##0\);_(* "-"??_);_(@_)</c:formatCode>
                <c:ptCount val="12"/>
                <c:pt idx="0">
                  <c:v>1097.547</c:v>
                </c:pt>
                <c:pt idx="1">
                  <c:v>1256.5740000000001</c:v>
                </c:pt>
                <c:pt idx="2">
                  <c:v>1386.924</c:v>
                </c:pt>
                <c:pt idx="3">
                  <c:v>1439.0639999999999</c:v>
                </c:pt>
                <c:pt idx="4">
                  <c:v>1426.029</c:v>
                </c:pt>
                <c:pt idx="5">
                  <c:v>1517.2739999999999</c:v>
                </c:pt>
                <c:pt idx="6">
                  <c:v>1545.9510000000002</c:v>
                </c:pt>
                <c:pt idx="7">
                  <c:v>1491.204</c:v>
                </c:pt>
                <c:pt idx="8">
                  <c:v>1389.5310000000002</c:v>
                </c:pt>
                <c:pt idx="9">
                  <c:v>1261.788</c:v>
                </c:pt>
                <c:pt idx="10">
                  <c:v>1089.7260000000001</c:v>
                </c:pt>
                <c:pt idx="11">
                  <c:v>1042.8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B-4255-92D9-01A115340C8C}"/>
            </c:ext>
          </c:extLst>
        </c:ser>
        <c:ser>
          <c:idx val="2"/>
          <c:order val="2"/>
          <c:tx>
            <c:strRef>
              <c:f>'DIMENSION PLANTA SOLAR'!$B$15</c:f>
              <c:strCache>
                <c:ptCount val="1"/>
                <c:pt idx="0">
                  <c:v>Factura Estimada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'DIMENSION PLANTA SOLAR'!$C$12:$N$12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'DIMENSION PLANTA SOLAR'!$C$15:$N$15</c:f>
              <c:numCache>
                <c:formatCode>_(* #,##0_);_(* \(#,##0\);_(* "-"??_);_(@_)</c:formatCode>
                <c:ptCount val="12"/>
                <c:pt idx="0">
                  <c:v>231.45299999999997</c:v>
                </c:pt>
                <c:pt idx="1">
                  <c:v>72.425999999999931</c:v>
                </c:pt>
                <c:pt idx="2">
                  <c:v>-57.923999999999978</c:v>
                </c:pt>
                <c:pt idx="3">
                  <c:v>-110.06399999999985</c:v>
                </c:pt>
                <c:pt idx="4">
                  <c:v>-97.028999999999996</c:v>
                </c:pt>
                <c:pt idx="5">
                  <c:v>-188.27399999999989</c:v>
                </c:pt>
                <c:pt idx="6">
                  <c:v>-216.95100000000025</c:v>
                </c:pt>
                <c:pt idx="7">
                  <c:v>-162.20399999999995</c:v>
                </c:pt>
                <c:pt idx="8">
                  <c:v>-60.531000000000176</c:v>
                </c:pt>
                <c:pt idx="9">
                  <c:v>67.211999999999989</c:v>
                </c:pt>
                <c:pt idx="10">
                  <c:v>239.27399999999989</c:v>
                </c:pt>
                <c:pt idx="11">
                  <c:v>286.20000000000005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9B-4255-92D9-01A115340C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1112704"/>
        <c:axId val="61114240"/>
      </c:barChart>
      <c:dateAx>
        <c:axId val="6111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4240"/>
        <c:crosses val="autoZero"/>
        <c:auto val="0"/>
        <c:lblOffset val="100"/>
        <c:baseTimeUnit val="months"/>
        <c:majorUnit val="1"/>
        <c:majorTimeUnit val="months"/>
      </c:dateAx>
      <c:valAx>
        <c:axId val="611142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6111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288" l="0.70000000000000062" r="0.70000000000000062" t="0.75000000000001288" header="0.30000000000000032" footer="0.30000000000000032"/>
    <c:pageSetup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110489</xdr:colOff>
      <xdr:row>18</xdr:row>
      <xdr:rowOff>45721</xdr:rowOff>
    </xdr:from>
    <xdr:to>
      <xdr:col>13</xdr:col>
      <xdr:colOff>708660</xdr:colOff>
      <xdr:row>28</xdr:row>
      <xdr:rowOff>43815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99060</xdr:colOff>
      <xdr:row>29</xdr:row>
      <xdr:rowOff>45720</xdr:rowOff>
    </xdr:from>
    <xdr:to>
      <xdr:col>13</xdr:col>
      <xdr:colOff>701040</xdr:colOff>
      <xdr:row>40</xdr:row>
      <xdr:rowOff>180974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9B79DC99-C56C-4231-BC95-FE835B721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0.19075</cdr:x>
      <cdr:y>0.01215</cdr:y>
    </cdr:from>
    <cdr:to>
      <cdr:x>0.8632</cdr:x>
      <cdr:y>0.09717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942976" y="28577"/>
          <a:ext cx="3324224" cy="200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0.31407</cdr:x>
      <cdr:y>0</cdr:y>
    </cdr:from>
    <cdr:to>
      <cdr:x>0.71869</cdr:x>
      <cdr:y>0.08502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1552597" y="0"/>
          <a:ext cx="2000229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 b="1"/>
            <a:t>Generacion Promedio</a:t>
          </a:r>
          <a:r>
            <a:rPr lang="en-US" sz="1100" b="1" baseline="0"/>
            <a:t> Energia FV</a:t>
          </a:r>
          <a:endParaRPr lang="en-US" sz="1100" b="1"/>
        </a:p>
      </cdr:txBody>
    </cdr:sp>
  </cdr:relSizeAnchor>
  <cdr:relSizeAnchor xmlns:cdr="http://schemas.openxmlformats.org/drawingml/2006/chartDrawing">
    <cdr:from>
      <cdr:x>0.01734</cdr:x>
      <cdr:y>0.5749</cdr:y>
    </cdr:from>
    <cdr:to>
      <cdr:x>0.20231</cdr:x>
      <cdr:y>0.96356</cdr:y>
    </cdr:to>
    <cdr:sp macro="" textlink="">
      <cdr:nvSpPr>
        <cdr:cNvPr id="4" name="3 CuadroTexto"/>
        <cdr:cNvSpPr txBox="1"/>
      </cdr:nvSpPr>
      <cdr:spPr>
        <a:xfrm xmlns:a="http://schemas.openxmlformats.org/drawingml/2006/main" rot="16200000">
          <a:off x="85725" y="13525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0.36538</cdr:y>
    </cdr:from>
    <cdr:to>
      <cdr:x>0.04817</cdr:x>
      <cdr:y>0.63866</cdr:y>
    </cdr:to>
    <cdr:sp macro="" textlink="">
      <cdr:nvSpPr>
        <cdr:cNvPr id="5" name="4 CuadroTexto"/>
        <cdr:cNvSpPr txBox="1"/>
      </cdr:nvSpPr>
      <cdr:spPr>
        <a:xfrm xmlns:a="http://schemas.openxmlformats.org/drawingml/2006/main" rot="16200000">
          <a:off x="-202406" y="1062038"/>
          <a:ext cx="642938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 b="1"/>
            <a:t>kWh/mes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257176</xdr:colOff>
      <xdr:row>7</xdr:row>
      <xdr:rowOff>38100</xdr:rowOff>
    </xdr:from>
    <xdr:to>
      <xdr:col>4</xdr:col>
      <xdr:colOff>1400175</xdr:colOff>
      <xdr:row>7</xdr:row>
      <xdr:rowOff>533400</xdr:rowOff>
    </xdr:to>
    <xdr:pic>
      <xdr:nvPicPr>
        <xdr:cNvPr id="3" name="Imagen 2" descr="Cables Project">
          <a:extLst>
            <a:ext uri="{FF2B5EF4-FFF2-40B4-BE49-F238E27FC236}">
              <a16:creationId xmlns:a16="http://schemas.microsoft.com/office/drawing/2014/main" id="{EE432ED8-E563-4B32-9DD6-1FAB3187E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3496" y="2156460"/>
          <a:ext cx="1142999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289562</xdr:colOff>
      <xdr:row>6</xdr:row>
      <xdr:rowOff>30669</xdr:rowOff>
    </xdr:from>
    <xdr:to>
      <xdr:col>4</xdr:col>
      <xdr:colOff>1442086</xdr:colOff>
      <xdr:row>6</xdr:row>
      <xdr:rowOff>548641</xdr:rowOff>
    </xdr:to>
    <xdr:pic>
      <xdr:nvPicPr>
        <xdr:cNvPr id="4" name="Imagen 3" descr="Fronius · Vico Export Solar EnergyVico Export Solar Energy">
          <a:extLst>
            <a:ext uri="{FF2B5EF4-FFF2-40B4-BE49-F238E27FC236}">
              <a16:creationId xmlns:a16="http://schemas.microsoft.com/office/drawing/2014/main" id="{B0EFBC02-1D68-45DE-AAA3-37CAAF3E7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5882" y="1592769"/>
          <a:ext cx="1152524" cy="5179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466725</xdr:colOff>
      <xdr:row>20</xdr:row>
      <xdr:rowOff>114300</xdr:rowOff>
    </xdr:from>
    <xdr:to>
      <xdr:col>24</xdr:col>
      <xdr:colOff>419099</xdr:colOff>
      <xdr:row>26</xdr:row>
      <xdr:rowOff>104774</xdr:rowOff>
    </xdr:to>
    <xdr:pic>
      <xdr:nvPicPr>
        <xdr:cNvPr id="5" name="Imagen 4" descr="Fronius Smart Meter US-480V 480-3 UL">
          <a:extLst>
            <a:ext uri="{FF2B5EF4-FFF2-40B4-BE49-F238E27FC236}">
              <a16:creationId xmlns:a16="http://schemas.microsoft.com/office/drawing/2014/main" id="{9A0CAE79-EA58-4CC6-AFF8-0460033A2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58825" y="3924300"/>
          <a:ext cx="1133474" cy="11334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223233</xdr:colOff>
      <xdr:row>8</xdr:row>
      <xdr:rowOff>476251</xdr:rowOff>
    </xdr:from>
    <xdr:to>
      <xdr:col>4</xdr:col>
      <xdr:colOff>1466851</xdr:colOff>
      <xdr:row>10</xdr:row>
      <xdr:rowOff>51634</xdr:rowOff>
    </xdr:to>
    <xdr:pic>
      <xdr:nvPicPr>
        <xdr:cNvPr id="6" name="Imagen 5" descr="Autoconsumo Solar: Ahorra hasta 100% en tu factura eléctrica">
          <a:extLst>
            <a:ext uri="{FF2B5EF4-FFF2-40B4-BE49-F238E27FC236}">
              <a16:creationId xmlns:a16="http://schemas.microsoft.com/office/drawing/2014/main" id="{0C4815C2-6FDE-4C3A-B424-1671895BD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8583" y="3200401"/>
          <a:ext cx="1243618" cy="6993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510541</xdr:colOff>
      <xdr:row>3</xdr:row>
      <xdr:rowOff>127635</xdr:rowOff>
    </xdr:from>
    <xdr:to>
      <xdr:col>10</xdr:col>
      <xdr:colOff>15241</xdr:colOff>
      <xdr:row>5</xdr:row>
      <xdr:rowOff>99753</xdr:rowOff>
    </xdr:to>
    <xdr:pic>
      <xdr:nvPicPr>
        <xdr:cNvPr id="7" name="Imagen 6" descr="LUXEN SOLAR ENERGY AT SNEC EXHIBITION">
          <a:extLst>
            <a:ext uri="{FF2B5EF4-FFF2-40B4-BE49-F238E27FC236}">
              <a16:creationId xmlns:a16="http://schemas.microsoft.com/office/drawing/2014/main" id="{D712220B-8AB6-45C6-B541-773517AEA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6881" y="760095"/>
          <a:ext cx="1333500" cy="3454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123826</xdr:colOff>
      <xdr:row>8</xdr:row>
      <xdr:rowOff>28576</xdr:rowOff>
    </xdr:from>
    <xdr:to>
      <xdr:col>4</xdr:col>
      <xdr:colOff>1590676</xdr:colOff>
      <xdr:row>8</xdr:row>
      <xdr:rowOff>545626</xdr:rowOff>
    </xdr:to>
    <xdr:pic>
      <xdr:nvPicPr>
        <xdr:cNvPr id="8" name="Imagen 7" descr="Ralux Solar Racking Systems">
          <a:extLst>
            <a:ext uri="{FF2B5EF4-FFF2-40B4-BE49-F238E27FC236}">
              <a16:creationId xmlns:a16="http://schemas.microsoft.com/office/drawing/2014/main" id="{A5042759-8293-4BC4-AF11-102457710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9176" y="2752726"/>
          <a:ext cx="1466850" cy="51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133350</xdr:colOff>
      <xdr:row>10</xdr:row>
      <xdr:rowOff>66675</xdr:rowOff>
    </xdr:from>
    <xdr:to>
      <xdr:col>4</xdr:col>
      <xdr:colOff>1562100</xdr:colOff>
      <xdr:row>10</xdr:row>
      <xdr:rowOff>504825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2711C0DD-9FFB-4BFE-8F26-17DB282FD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3914775"/>
          <a:ext cx="1428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281940</xdr:colOff>
      <xdr:row>9</xdr:row>
      <xdr:rowOff>83820</xdr:rowOff>
    </xdr:from>
    <xdr:to>
      <xdr:col>12</xdr:col>
      <xdr:colOff>312420</xdr:colOff>
      <xdr:row>9</xdr:row>
      <xdr:rowOff>533400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6F0D2A92-5C7F-4F03-93A8-2595818DE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7080" y="3314700"/>
          <a:ext cx="124968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228600</xdr:colOff>
      <xdr:row>6</xdr:row>
      <xdr:rowOff>190500</xdr:rowOff>
    </xdr:from>
    <xdr:to>
      <xdr:col>11</xdr:col>
      <xdr:colOff>76200</xdr:colOff>
      <xdr:row>7</xdr:row>
      <xdr:rowOff>110626</xdr:rowOff>
    </xdr:to>
    <xdr:pic>
      <xdr:nvPicPr>
        <xdr:cNvPr id="12" name="Imagen 11" descr="▷ Panel Solar Canadian | Has la Diferencia">
          <a:extLst>
            <a:ext uri="{FF2B5EF4-FFF2-40B4-BE49-F238E27FC236}">
              <a16:creationId xmlns:a16="http://schemas.microsoft.com/office/drawing/2014/main" id="{A68C969A-EA2E-49C7-B276-9E7242A8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4140" y="1752600"/>
          <a:ext cx="1066800" cy="4763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533400</xdr:colOff>
      <xdr:row>7</xdr:row>
      <xdr:rowOff>449580</xdr:rowOff>
    </xdr:from>
    <xdr:to>
      <xdr:col>9</xdr:col>
      <xdr:colOff>167640</xdr:colOff>
      <xdr:row>8</xdr:row>
      <xdr:rowOff>402203</xdr:rowOff>
    </xdr:to>
    <xdr:pic>
      <xdr:nvPicPr>
        <xdr:cNvPr id="14" name="Imagen 13" descr="Elektra comercializará los paneles solares de Jinko Solar - Material  Eléctrico - CdeComunicacion.es">
          <a:extLst>
            <a:ext uri="{FF2B5EF4-FFF2-40B4-BE49-F238E27FC236}">
              <a16:creationId xmlns:a16="http://schemas.microsoft.com/office/drawing/2014/main" id="{DB1BA246-A2DF-48FE-8BCA-4966BFBCC4A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55" t="16606" r="2703" b="20851"/>
        <a:stretch/>
      </xdr:blipFill>
      <xdr:spPr bwMode="auto">
        <a:xfrm>
          <a:off x="8740140" y="2567940"/>
          <a:ext cx="1463040" cy="5088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60960</xdr:colOff>
      <xdr:row>2</xdr:row>
      <xdr:rowOff>69393</xdr:rowOff>
    </xdr:from>
    <xdr:to>
      <xdr:col>15</xdr:col>
      <xdr:colOff>266700</xdr:colOff>
      <xdr:row>5</xdr:row>
      <xdr:rowOff>109931</xdr:rowOff>
    </xdr:to>
    <xdr:pic>
      <xdr:nvPicPr>
        <xdr:cNvPr id="16" name="Imagen 15" descr="REST Partnerships - REST">
          <a:extLst>
            <a:ext uri="{FF2B5EF4-FFF2-40B4-BE49-F238E27FC236}">
              <a16:creationId xmlns:a16="http://schemas.microsoft.com/office/drawing/2014/main" id="{24CF39DD-C621-45B5-BA61-E100E2C37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25300" y="518973"/>
          <a:ext cx="2034540" cy="596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160020</xdr:colOff>
      <xdr:row>5</xdr:row>
      <xdr:rowOff>519739</xdr:rowOff>
    </xdr:from>
    <xdr:to>
      <xdr:col>15</xdr:col>
      <xdr:colOff>121920</xdr:colOff>
      <xdr:row>6</xdr:row>
      <xdr:rowOff>487891</xdr:rowOff>
    </xdr:to>
    <xdr:pic>
      <xdr:nvPicPr>
        <xdr:cNvPr id="17" name="Imagen 16" descr="SMA STP 15.000TL - 30 w/ or w/o display - ENER SA : RENEWABLE ENERGY FOR  THE BEST">
          <a:extLst>
            <a:ext uri="{FF2B5EF4-FFF2-40B4-BE49-F238E27FC236}">
              <a16:creationId xmlns:a16="http://schemas.microsoft.com/office/drawing/2014/main" id="{AB01A978-B91C-4774-97F4-19FEFCCDB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3960" y="1525579"/>
          <a:ext cx="1181100" cy="524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144780</xdr:colOff>
      <xdr:row>5</xdr:row>
      <xdr:rowOff>35966</xdr:rowOff>
    </xdr:from>
    <xdr:to>
      <xdr:col>4</xdr:col>
      <xdr:colOff>1798320</xdr:colOff>
      <xdr:row>5</xdr:row>
      <xdr:rowOff>480060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EE4DC68-99A4-56F4-88E6-08194099D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100" y="1041806"/>
          <a:ext cx="1653540" cy="444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393701</xdr:colOff>
      <xdr:row>25</xdr:row>
      <xdr:rowOff>10586</xdr:rowOff>
    </xdr:from>
    <xdr:to>
      <xdr:col>9</xdr:col>
      <xdr:colOff>1536700</xdr:colOff>
      <xdr:row>30</xdr:row>
      <xdr:rowOff>159176</xdr:rowOff>
    </xdr:to>
    <xdr:pic>
      <xdr:nvPicPr>
        <xdr:cNvPr id="2" name="Imagen 1" descr="Diseño de brújula | Vector Gratis">
          <a:extLst>
            <a:ext uri="{FF2B5EF4-FFF2-40B4-BE49-F238E27FC236}">
              <a16:creationId xmlns:a16="http://schemas.microsoft.com/office/drawing/2014/main" id="{06448333-AD89-4CA9-9428-DBF3B2164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2301" y="5166786"/>
          <a:ext cx="1142999" cy="10799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171450</xdr:colOff>
      <xdr:row>2</xdr:row>
      <xdr:rowOff>85725</xdr:rowOff>
    </xdr:from>
    <xdr:to>
      <xdr:col>9</xdr:col>
      <xdr:colOff>1657350</xdr:colOff>
      <xdr:row>4</xdr:row>
      <xdr:rowOff>160401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ACF28B6-8094-4C9C-82A4-FFB93D359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3770" y="459105"/>
          <a:ext cx="1485900" cy="4404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ranklin%20Estevez\OneDrive\PROYECTOS\ENERTING\ENERGIA%20RENOVABLE\DISTRIBUIDORA\Calcula%20tu%20Factur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ada"/>
      <sheetName val="BTS1"/>
      <sheetName val="BTS2"/>
      <sheetName val="BTD"/>
      <sheetName val="BTH"/>
      <sheetName val="MTD1"/>
      <sheetName val="MTD2"/>
      <sheetName val="MTH"/>
      <sheetName val="Cuadro Tarifario"/>
    </sheetNames>
    <sheetDataSet>
      <sheetData sheetId="0"/>
      <sheetData sheetId="1">
        <row r="6">
          <cell r="D6">
            <v>250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10">
          <cell r="G10">
            <v>18.239999999999998</v>
          </cell>
        </row>
        <row r="11">
          <cell r="G11">
            <v>42.97</v>
          </cell>
        </row>
        <row r="12">
          <cell r="G12">
            <v>65.92</v>
          </cell>
        </row>
        <row r="13">
          <cell r="G13">
            <v>88.75</v>
          </cell>
        </row>
        <row r="14">
          <cell r="G14">
            <v>111.56</v>
          </cell>
        </row>
        <row r="15">
          <cell r="G15">
            <v>134.4</v>
          </cell>
        </row>
        <row r="16">
          <cell r="G16">
            <v>144.56</v>
          </cell>
        </row>
        <row r="17">
          <cell r="G17">
            <v>4.4400000000000004</v>
          </cell>
        </row>
        <row r="18">
          <cell r="G18">
            <v>6.97</v>
          </cell>
        </row>
        <row r="19">
          <cell r="G19">
            <v>10.86</v>
          </cell>
        </row>
        <row r="20">
          <cell r="G20">
            <v>11.1</v>
          </cell>
        </row>
        <row r="21">
          <cell r="G21">
            <v>11.1</v>
          </cell>
        </row>
        <row r="23">
          <cell r="G23">
            <v>137.66999999999999</v>
          </cell>
        </row>
        <row r="24">
          <cell r="G24">
            <v>5.97</v>
          </cell>
        </row>
        <row r="25">
          <cell r="G25">
            <v>8.6199999999999992</v>
          </cell>
        </row>
        <row r="26">
          <cell r="G26">
            <v>11.3</v>
          </cell>
        </row>
        <row r="27">
          <cell r="G27">
            <v>11.3</v>
          </cell>
        </row>
        <row r="28">
          <cell r="G28">
            <v>11.53</v>
          </cell>
        </row>
        <row r="30">
          <cell r="G30">
            <v>215.48</v>
          </cell>
        </row>
        <row r="31">
          <cell r="G31">
            <v>7.37</v>
          </cell>
        </row>
        <row r="32">
          <cell r="G32">
            <v>983.99</v>
          </cell>
        </row>
        <row r="34">
          <cell r="G34">
            <v>164.32</v>
          </cell>
        </row>
        <row r="35">
          <cell r="G35">
            <v>7.26</v>
          </cell>
        </row>
        <row r="36">
          <cell r="G36">
            <v>253.35</v>
          </cell>
        </row>
        <row r="37">
          <cell r="G37">
            <v>1412.74</v>
          </cell>
        </row>
        <row r="39">
          <cell r="G39">
            <v>237.56</v>
          </cell>
        </row>
        <row r="40">
          <cell r="G40">
            <v>7.81</v>
          </cell>
        </row>
        <row r="41">
          <cell r="G41">
            <v>485.98</v>
          </cell>
        </row>
        <row r="43">
          <cell r="G43">
            <v>224.42</v>
          </cell>
        </row>
        <row r="44">
          <cell r="G44">
            <v>7.38</v>
          </cell>
        </row>
        <row r="45">
          <cell r="G45">
            <v>340.39</v>
          </cell>
        </row>
        <row r="47">
          <cell r="G47">
            <v>164.32</v>
          </cell>
        </row>
        <row r="48">
          <cell r="G48">
            <v>7.26</v>
          </cell>
        </row>
        <row r="49">
          <cell r="G49">
            <v>97.33</v>
          </cell>
        </row>
        <row r="50">
          <cell r="G50">
            <v>985.26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/461f9bb5fb966563/PROYECTOS/ENERTING/ENERGIA%20RENOVABLE/PROPUESTAS%20FOTOVOLTAICA/00508%20Gregorio%20Mateo%20Casa%20San%20Cristobal%20-%20Copy/PLANTILLAS%20DE%20CALCULOS%2000508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7393C-1B21-4031-AEC0-0397426E4465}">
  <sheetPr codeName="Sheet1">
    <tabColor rgb="FF00B050"/>
  </sheetPr>
  <dimension ref="B1:K45"/>
  <sheetViews>
    <sheetView topLeftCell="B5" workbookViewId="0">
      <selection activeCell="C23" sqref="C23"/>
    </sheetView>
  </sheetViews>
  <sheetFormatPr baseColWidth="10" defaultColWidth="9.109375" defaultRowHeight="14.4" x14ac:dyDescent="0.3"/>
  <cols>
    <col min="1" max="1" width="3.6640625" customWidth="1"/>
    <col min="2" max="2" width="25.88671875" customWidth="1"/>
    <col min="3" max="3" width="32.44140625" bestFit="1" customWidth="1"/>
    <col min="6" max="6" width="25.44140625" customWidth="1"/>
    <col min="7" max="7" width="29.109375" customWidth="1"/>
  </cols>
  <sheetData>
    <row r="1" spans="2:11" ht="15" thickBot="1" x14ac:dyDescent="0.35"/>
    <row r="2" spans="2:11" ht="15" thickBot="1" x14ac:dyDescent="0.35">
      <c r="B2" s="144" t="s">
        <v>189</v>
      </c>
      <c r="C2" s="145" t="s">
        <v>190</v>
      </c>
    </row>
    <row r="3" spans="2:11" ht="15.6" x14ac:dyDescent="0.3">
      <c r="B3" s="132" t="s">
        <v>187</v>
      </c>
      <c r="C3" s="141" t="s">
        <v>422</v>
      </c>
    </row>
    <row r="4" spans="2:11" ht="15.6" x14ac:dyDescent="0.3">
      <c r="B4" s="132" t="s">
        <v>194</v>
      </c>
      <c r="C4" s="142">
        <f ca="1">TODAY()</f>
        <v>44852</v>
      </c>
    </row>
    <row r="5" spans="2:11" ht="15.6" x14ac:dyDescent="0.3">
      <c r="B5" s="132" t="s">
        <v>191</v>
      </c>
      <c r="C5" s="143" t="s">
        <v>423</v>
      </c>
    </row>
    <row r="6" spans="2:11" ht="15.6" x14ac:dyDescent="0.3">
      <c r="B6" s="132" t="s">
        <v>260</v>
      </c>
      <c r="C6" s="161" t="s">
        <v>304</v>
      </c>
    </row>
    <row r="7" spans="2:11" ht="15.6" x14ac:dyDescent="0.3">
      <c r="B7" s="132" t="s">
        <v>265</v>
      </c>
      <c r="C7" s="161" t="s">
        <v>413</v>
      </c>
    </row>
    <row r="8" spans="2:11" ht="16.2" thickBot="1" x14ac:dyDescent="0.35">
      <c r="B8" s="140"/>
      <c r="C8" s="140"/>
    </row>
    <row r="9" spans="2:11" ht="16.2" thickBot="1" x14ac:dyDescent="0.35">
      <c r="B9" s="295" t="s">
        <v>264</v>
      </c>
      <c r="C9" s="296"/>
      <c r="F9" s="162" t="s">
        <v>188</v>
      </c>
      <c r="G9" s="126"/>
      <c r="H9" s="286"/>
      <c r="I9" s="2"/>
      <c r="J9" s="2"/>
      <c r="K9" s="2"/>
    </row>
    <row r="10" spans="2:11" ht="15.6" x14ac:dyDescent="0.3">
      <c r="B10" s="133" t="s">
        <v>18</v>
      </c>
      <c r="C10" s="146">
        <v>550</v>
      </c>
      <c r="F10" s="134">
        <v>43831</v>
      </c>
      <c r="G10" s="284">
        <v>1329</v>
      </c>
    </row>
    <row r="11" spans="2:11" ht="16.2" thickBot="1" x14ac:dyDescent="0.35">
      <c r="B11" s="138" t="s">
        <v>20</v>
      </c>
      <c r="C11" s="147">
        <v>20</v>
      </c>
      <c r="F11" s="135">
        <v>43862</v>
      </c>
      <c r="G11" s="284">
        <v>1329</v>
      </c>
    </row>
    <row r="12" spans="2:11" ht="15.6" x14ac:dyDescent="0.3">
      <c r="B12" s="293" t="s">
        <v>263</v>
      </c>
      <c r="C12" s="294"/>
      <c r="F12" s="135">
        <v>43891</v>
      </c>
      <c r="G12" s="284">
        <v>1329</v>
      </c>
    </row>
    <row r="13" spans="2:11" ht="15.6" x14ac:dyDescent="0.3">
      <c r="B13" s="133" t="s">
        <v>248</v>
      </c>
      <c r="C13" s="137" t="s">
        <v>420</v>
      </c>
      <c r="F13" s="135">
        <v>43922</v>
      </c>
      <c r="G13" s="284">
        <v>1329</v>
      </c>
    </row>
    <row r="14" spans="2:11" ht="15.6" x14ac:dyDescent="0.3">
      <c r="B14" s="155" t="s">
        <v>249</v>
      </c>
      <c r="C14" s="156" t="s">
        <v>223</v>
      </c>
      <c r="F14" s="135">
        <v>43952</v>
      </c>
      <c r="G14" s="284">
        <v>1329</v>
      </c>
    </row>
    <row r="15" spans="2:11" ht="15.6" x14ac:dyDescent="0.3">
      <c r="B15" s="155" t="s">
        <v>16</v>
      </c>
      <c r="C15" s="156">
        <v>1</v>
      </c>
      <c r="F15" s="135">
        <v>43983</v>
      </c>
      <c r="G15" s="284">
        <v>1329</v>
      </c>
    </row>
    <row r="16" spans="2:11" ht="15.6" x14ac:dyDescent="0.3">
      <c r="B16" s="157" t="s">
        <v>259</v>
      </c>
      <c r="C16" s="158" t="s">
        <v>230</v>
      </c>
      <c r="F16" s="135">
        <v>44013</v>
      </c>
      <c r="G16" s="284">
        <v>1329</v>
      </c>
    </row>
    <row r="17" spans="2:10" ht="15.6" x14ac:dyDescent="0.3">
      <c r="B17" s="157" t="s">
        <v>16</v>
      </c>
      <c r="C17" s="158">
        <v>0</v>
      </c>
      <c r="F17" s="135">
        <v>44044</v>
      </c>
      <c r="G17" s="284">
        <v>1329</v>
      </c>
      <c r="J17" s="59">
        <f>AVERAGE(G11:G17)</f>
        <v>1329</v>
      </c>
    </row>
    <row r="18" spans="2:10" ht="17.25" customHeight="1" thickBot="1" x14ac:dyDescent="0.35">
      <c r="B18" s="138" t="s">
        <v>253</v>
      </c>
      <c r="C18" s="139">
        <v>1</v>
      </c>
      <c r="F18" s="135">
        <v>44075</v>
      </c>
      <c r="G18" s="284">
        <v>1329</v>
      </c>
    </row>
    <row r="19" spans="2:10" ht="15" thickBot="1" x14ac:dyDescent="0.35">
      <c r="F19" s="135">
        <v>44105</v>
      </c>
      <c r="G19" s="284">
        <v>1329</v>
      </c>
    </row>
    <row r="20" spans="2:10" ht="15.6" x14ac:dyDescent="0.3">
      <c r="B20" s="148" t="s">
        <v>193</v>
      </c>
      <c r="C20" s="149">
        <v>3</v>
      </c>
      <c r="F20" s="135">
        <v>44136</v>
      </c>
      <c r="G20" s="284">
        <v>1329</v>
      </c>
    </row>
    <row r="21" spans="2:10" ht="16.2" thickBot="1" x14ac:dyDescent="0.35">
      <c r="B21" s="150" t="s">
        <v>138</v>
      </c>
      <c r="C21" s="151" t="s">
        <v>130</v>
      </c>
      <c r="F21" s="136">
        <v>44166</v>
      </c>
      <c r="G21" s="284">
        <v>1329</v>
      </c>
    </row>
    <row r="22" spans="2:10" ht="16.2" thickBot="1" x14ac:dyDescent="0.35">
      <c r="B22" s="150" t="s">
        <v>274</v>
      </c>
      <c r="C22" s="159">
        <v>19000</v>
      </c>
    </row>
    <row r="23" spans="2:10" ht="16.2" thickBot="1" x14ac:dyDescent="0.35">
      <c r="B23" s="152" t="s">
        <v>192</v>
      </c>
      <c r="C23" s="153">
        <v>54.6</v>
      </c>
      <c r="F23" s="5" t="s">
        <v>247</v>
      </c>
      <c r="G23" s="129">
        <f>AVERAGE(G10:G22)</f>
        <v>1329</v>
      </c>
    </row>
    <row r="24" spans="2:10" ht="15" thickBot="1" x14ac:dyDescent="0.35">
      <c r="B24" s="178" t="s">
        <v>196</v>
      </c>
      <c r="C24" s="179">
        <f>AVERAGE('DIMENSION PLANTA SOLAR'!C5:N5)</f>
        <v>1328.7010000000002</v>
      </c>
      <c r="F24" s="127" t="s">
        <v>195</v>
      </c>
      <c r="G24" s="128">
        <f>(G23/4/30*1000)/C10</f>
        <v>20.136363636363637</v>
      </c>
    </row>
    <row r="25" spans="2:10" x14ac:dyDescent="0.3">
      <c r="B25" s="178" t="s">
        <v>273</v>
      </c>
      <c r="C25" s="178">
        <f>C10*C11/1000</f>
        <v>11</v>
      </c>
    </row>
    <row r="27" spans="2:10" x14ac:dyDescent="0.3">
      <c r="G27">
        <f>G23*11.1</f>
        <v>14751.9</v>
      </c>
    </row>
    <row r="28" spans="2:10" x14ac:dyDescent="0.3">
      <c r="G28">
        <f>G17*11.1</f>
        <v>14751.9</v>
      </c>
    </row>
    <row r="45" spans="7:7" x14ac:dyDescent="0.3">
      <c r="G45" s="59"/>
    </row>
  </sheetData>
  <dataConsolidate function="product">
    <dataRefs count="1">
      <dataRef ref="B2:B33" sheet="Localidad" r:id="rId1"/>
    </dataRefs>
  </dataConsolidate>
  <mergeCells count="2">
    <mergeCell ref="B12:C12"/>
    <mergeCell ref="B9:C9"/>
  </mergeCells>
  <phoneticPr fontId="12" type="noConversion"/>
  <dataValidations count="1">
    <dataValidation type="list" allowBlank="1" showInputMessage="1" showErrorMessage="1" sqref="C21" xr:uid="{0261A63C-FC17-4EF4-9F57-FF6ACB98184B}">
      <formula1>#REF!</formula1>
    </dataValidation>
  </dataValidation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1A238E4-884B-4EE8-9D53-D9082A0CCCFB}">
          <x14:formula1>
            <xm:f>'LiSTA PRECIO'!$A$19:$A$32</xm:f>
          </x14:formula1>
          <xm:sqref>C14 C16</xm:sqref>
        </x14:dataValidation>
        <x14:dataValidation type="list" allowBlank="1" showInputMessage="1" showErrorMessage="1" xr:uid="{33C55233-DDB3-41ED-9B97-D2D08D9E49A9}">
          <x14:formula1>
            <xm:f>Localidad!$B$2:$B$67</xm:f>
          </x14:formula1>
          <xm:sqref>C6</xm:sqref>
        </x14:dataValidation>
        <x14:dataValidation type="list" allowBlank="1" showInputMessage="1" showErrorMessage="1" xr:uid="{B8547AA2-8FB8-4436-B890-9ECEE9FE4200}">
          <x14:formula1>
            <xm:f>'LiSTA PRECIO'!$A$4:$A$18</xm:f>
          </x14:formula1>
          <xm:sqref>C13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485B-587C-4498-999E-863C339E3353}">
  <sheetPr codeName="Sheet8">
    <tabColor rgb="FFFFFF00"/>
  </sheetPr>
  <dimension ref="A1:J30"/>
  <sheetViews>
    <sheetView workbookViewId="0">
      <selection activeCell="H12" sqref="H12"/>
    </sheetView>
  </sheetViews>
  <sheetFormatPr baseColWidth="10" defaultColWidth="9.109375" defaultRowHeight="14.4" x14ac:dyDescent="0.3"/>
  <cols>
    <col min="1" max="1" width="3.88671875" customWidth="1"/>
    <col min="2" max="2" width="8.33203125" customWidth="1"/>
    <col min="3" max="3" width="44.88671875" customWidth="1"/>
    <col min="4" max="4" width="14.109375" customWidth="1"/>
    <col min="7" max="7" width="12.109375" customWidth="1"/>
    <col min="257" max="257" width="3.88671875" customWidth="1"/>
    <col min="258" max="258" width="8.33203125" customWidth="1"/>
    <col min="259" max="259" width="44.88671875" customWidth="1"/>
    <col min="260" max="260" width="14.109375" customWidth="1"/>
    <col min="263" max="263" width="12.109375" customWidth="1"/>
    <col min="513" max="513" width="3.88671875" customWidth="1"/>
    <col min="514" max="514" width="8.33203125" customWidth="1"/>
    <col min="515" max="515" width="44.88671875" customWidth="1"/>
    <col min="516" max="516" width="14.109375" customWidth="1"/>
    <col min="519" max="519" width="12.109375" customWidth="1"/>
    <col min="769" max="769" width="3.88671875" customWidth="1"/>
    <col min="770" max="770" width="8.33203125" customWidth="1"/>
    <col min="771" max="771" width="44.88671875" customWidth="1"/>
    <col min="772" max="772" width="14.109375" customWidth="1"/>
    <col min="775" max="775" width="12.109375" customWidth="1"/>
    <col min="1025" max="1025" width="3.88671875" customWidth="1"/>
    <col min="1026" max="1026" width="8.33203125" customWidth="1"/>
    <col min="1027" max="1027" width="44.88671875" customWidth="1"/>
    <col min="1028" max="1028" width="14.109375" customWidth="1"/>
    <col min="1031" max="1031" width="12.109375" customWidth="1"/>
    <col min="1281" max="1281" width="3.88671875" customWidth="1"/>
    <col min="1282" max="1282" width="8.33203125" customWidth="1"/>
    <col min="1283" max="1283" width="44.88671875" customWidth="1"/>
    <col min="1284" max="1284" width="14.109375" customWidth="1"/>
    <col min="1287" max="1287" width="12.109375" customWidth="1"/>
    <col min="1537" max="1537" width="3.88671875" customWidth="1"/>
    <col min="1538" max="1538" width="8.33203125" customWidth="1"/>
    <col min="1539" max="1539" width="44.88671875" customWidth="1"/>
    <col min="1540" max="1540" width="14.109375" customWidth="1"/>
    <col min="1543" max="1543" width="12.109375" customWidth="1"/>
    <col min="1793" max="1793" width="3.88671875" customWidth="1"/>
    <col min="1794" max="1794" width="8.33203125" customWidth="1"/>
    <col min="1795" max="1795" width="44.88671875" customWidth="1"/>
    <col min="1796" max="1796" width="14.109375" customWidth="1"/>
    <col min="1799" max="1799" width="12.109375" customWidth="1"/>
    <col min="2049" max="2049" width="3.88671875" customWidth="1"/>
    <col min="2050" max="2050" width="8.33203125" customWidth="1"/>
    <col min="2051" max="2051" width="44.88671875" customWidth="1"/>
    <col min="2052" max="2052" width="14.109375" customWidth="1"/>
    <col min="2055" max="2055" width="12.109375" customWidth="1"/>
    <col min="2305" max="2305" width="3.88671875" customWidth="1"/>
    <col min="2306" max="2306" width="8.33203125" customWidth="1"/>
    <col min="2307" max="2307" width="44.88671875" customWidth="1"/>
    <col min="2308" max="2308" width="14.109375" customWidth="1"/>
    <col min="2311" max="2311" width="12.109375" customWidth="1"/>
    <col min="2561" max="2561" width="3.88671875" customWidth="1"/>
    <col min="2562" max="2562" width="8.33203125" customWidth="1"/>
    <col min="2563" max="2563" width="44.88671875" customWidth="1"/>
    <col min="2564" max="2564" width="14.109375" customWidth="1"/>
    <col min="2567" max="2567" width="12.109375" customWidth="1"/>
    <col min="2817" max="2817" width="3.88671875" customWidth="1"/>
    <col min="2818" max="2818" width="8.33203125" customWidth="1"/>
    <col min="2819" max="2819" width="44.88671875" customWidth="1"/>
    <col min="2820" max="2820" width="14.109375" customWidth="1"/>
    <col min="2823" max="2823" width="12.109375" customWidth="1"/>
    <col min="3073" max="3073" width="3.88671875" customWidth="1"/>
    <col min="3074" max="3074" width="8.33203125" customWidth="1"/>
    <col min="3075" max="3075" width="44.88671875" customWidth="1"/>
    <col min="3076" max="3076" width="14.109375" customWidth="1"/>
    <col min="3079" max="3079" width="12.109375" customWidth="1"/>
    <col min="3329" max="3329" width="3.88671875" customWidth="1"/>
    <col min="3330" max="3330" width="8.33203125" customWidth="1"/>
    <col min="3331" max="3331" width="44.88671875" customWidth="1"/>
    <col min="3332" max="3332" width="14.109375" customWidth="1"/>
    <col min="3335" max="3335" width="12.109375" customWidth="1"/>
    <col min="3585" max="3585" width="3.88671875" customWidth="1"/>
    <col min="3586" max="3586" width="8.33203125" customWidth="1"/>
    <col min="3587" max="3587" width="44.88671875" customWidth="1"/>
    <col min="3588" max="3588" width="14.109375" customWidth="1"/>
    <col min="3591" max="3591" width="12.109375" customWidth="1"/>
    <col min="3841" max="3841" width="3.88671875" customWidth="1"/>
    <col min="3842" max="3842" width="8.33203125" customWidth="1"/>
    <col min="3843" max="3843" width="44.88671875" customWidth="1"/>
    <col min="3844" max="3844" width="14.109375" customWidth="1"/>
    <col min="3847" max="3847" width="12.109375" customWidth="1"/>
    <col min="4097" max="4097" width="3.88671875" customWidth="1"/>
    <col min="4098" max="4098" width="8.33203125" customWidth="1"/>
    <col min="4099" max="4099" width="44.88671875" customWidth="1"/>
    <col min="4100" max="4100" width="14.109375" customWidth="1"/>
    <col min="4103" max="4103" width="12.109375" customWidth="1"/>
    <col min="4353" max="4353" width="3.88671875" customWidth="1"/>
    <col min="4354" max="4354" width="8.33203125" customWidth="1"/>
    <col min="4355" max="4355" width="44.88671875" customWidth="1"/>
    <col min="4356" max="4356" width="14.109375" customWidth="1"/>
    <col min="4359" max="4359" width="12.109375" customWidth="1"/>
    <col min="4609" max="4609" width="3.88671875" customWidth="1"/>
    <col min="4610" max="4610" width="8.33203125" customWidth="1"/>
    <col min="4611" max="4611" width="44.88671875" customWidth="1"/>
    <col min="4612" max="4612" width="14.109375" customWidth="1"/>
    <col min="4615" max="4615" width="12.109375" customWidth="1"/>
    <col min="4865" max="4865" width="3.88671875" customWidth="1"/>
    <col min="4866" max="4866" width="8.33203125" customWidth="1"/>
    <col min="4867" max="4867" width="44.88671875" customWidth="1"/>
    <col min="4868" max="4868" width="14.109375" customWidth="1"/>
    <col min="4871" max="4871" width="12.109375" customWidth="1"/>
    <col min="5121" max="5121" width="3.88671875" customWidth="1"/>
    <col min="5122" max="5122" width="8.33203125" customWidth="1"/>
    <col min="5123" max="5123" width="44.88671875" customWidth="1"/>
    <col min="5124" max="5124" width="14.109375" customWidth="1"/>
    <col min="5127" max="5127" width="12.109375" customWidth="1"/>
    <col min="5377" max="5377" width="3.88671875" customWidth="1"/>
    <col min="5378" max="5378" width="8.33203125" customWidth="1"/>
    <col min="5379" max="5379" width="44.88671875" customWidth="1"/>
    <col min="5380" max="5380" width="14.109375" customWidth="1"/>
    <col min="5383" max="5383" width="12.109375" customWidth="1"/>
    <col min="5633" max="5633" width="3.88671875" customWidth="1"/>
    <col min="5634" max="5634" width="8.33203125" customWidth="1"/>
    <col min="5635" max="5635" width="44.88671875" customWidth="1"/>
    <col min="5636" max="5636" width="14.109375" customWidth="1"/>
    <col min="5639" max="5639" width="12.109375" customWidth="1"/>
    <col min="5889" max="5889" width="3.88671875" customWidth="1"/>
    <col min="5890" max="5890" width="8.33203125" customWidth="1"/>
    <col min="5891" max="5891" width="44.88671875" customWidth="1"/>
    <col min="5892" max="5892" width="14.109375" customWidth="1"/>
    <col min="5895" max="5895" width="12.109375" customWidth="1"/>
    <col min="6145" max="6145" width="3.88671875" customWidth="1"/>
    <col min="6146" max="6146" width="8.33203125" customWidth="1"/>
    <col min="6147" max="6147" width="44.88671875" customWidth="1"/>
    <col min="6148" max="6148" width="14.109375" customWidth="1"/>
    <col min="6151" max="6151" width="12.109375" customWidth="1"/>
    <col min="6401" max="6401" width="3.88671875" customWidth="1"/>
    <col min="6402" max="6402" width="8.33203125" customWidth="1"/>
    <col min="6403" max="6403" width="44.88671875" customWidth="1"/>
    <col min="6404" max="6404" width="14.109375" customWidth="1"/>
    <col min="6407" max="6407" width="12.109375" customWidth="1"/>
    <col min="6657" max="6657" width="3.88671875" customWidth="1"/>
    <col min="6658" max="6658" width="8.33203125" customWidth="1"/>
    <col min="6659" max="6659" width="44.88671875" customWidth="1"/>
    <col min="6660" max="6660" width="14.109375" customWidth="1"/>
    <col min="6663" max="6663" width="12.109375" customWidth="1"/>
    <col min="6913" max="6913" width="3.88671875" customWidth="1"/>
    <col min="6914" max="6914" width="8.33203125" customWidth="1"/>
    <col min="6915" max="6915" width="44.88671875" customWidth="1"/>
    <col min="6916" max="6916" width="14.109375" customWidth="1"/>
    <col min="6919" max="6919" width="12.109375" customWidth="1"/>
    <col min="7169" max="7169" width="3.88671875" customWidth="1"/>
    <col min="7170" max="7170" width="8.33203125" customWidth="1"/>
    <col min="7171" max="7171" width="44.88671875" customWidth="1"/>
    <col min="7172" max="7172" width="14.109375" customWidth="1"/>
    <col min="7175" max="7175" width="12.109375" customWidth="1"/>
    <col min="7425" max="7425" width="3.88671875" customWidth="1"/>
    <col min="7426" max="7426" width="8.33203125" customWidth="1"/>
    <col min="7427" max="7427" width="44.88671875" customWidth="1"/>
    <col min="7428" max="7428" width="14.109375" customWidth="1"/>
    <col min="7431" max="7431" width="12.109375" customWidth="1"/>
    <col min="7681" max="7681" width="3.88671875" customWidth="1"/>
    <col min="7682" max="7682" width="8.33203125" customWidth="1"/>
    <col min="7683" max="7683" width="44.88671875" customWidth="1"/>
    <col min="7684" max="7684" width="14.109375" customWidth="1"/>
    <col min="7687" max="7687" width="12.109375" customWidth="1"/>
    <col min="7937" max="7937" width="3.88671875" customWidth="1"/>
    <col min="7938" max="7938" width="8.33203125" customWidth="1"/>
    <col min="7939" max="7939" width="44.88671875" customWidth="1"/>
    <col min="7940" max="7940" width="14.109375" customWidth="1"/>
    <col min="7943" max="7943" width="12.109375" customWidth="1"/>
    <col min="8193" max="8193" width="3.88671875" customWidth="1"/>
    <col min="8194" max="8194" width="8.33203125" customWidth="1"/>
    <col min="8195" max="8195" width="44.88671875" customWidth="1"/>
    <col min="8196" max="8196" width="14.109375" customWidth="1"/>
    <col min="8199" max="8199" width="12.109375" customWidth="1"/>
    <col min="8449" max="8449" width="3.88671875" customWidth="1"/>
    <col min="8450" max="8450" width="8.33203125" customWidth="1"/>
    <col min="8451" max="8451" width="44.88671875" customWidth="1"/>
    <col min="8452" max="8452" width="14.109375" customWidth="1"/>
    <col min="8455" max="8455" width="12.109375" customWidth="1"/>
    <col min="8705" max="8705" width="3.88671875" customWidth="1"/>
    <col min="8706" max="8706" width="8.33203125" customWidth="1"/>
    <col min="8707" max="8707" width="44.88671875" customWidth="1"/>
    <col min="8708" max="8708" width="14.109375" customWidth="1"/>
    <col min="8711" max="8711" width="12.109375" customWidth="1"/>
    <col min="8961" max="8961" width="3.88671875" customWidth="1"/>
    <col min="8962" max="8962" width="8.33203125" customWidth="1"/>
    <col min="8963" max="8963" width="44.88671875" customWidth="1"/>
    <col min="8964" max="8964" width="14.109375" customWidth="1"/>
    <col min="8967" max="8967" width="12.109375" customWidth="1"/>
    <col min="9217" max="9217" width="3.88671875" customWidth="1"/>
    <col min="9218" max="9218" width="8.33203125" customWidth="1"/>
    <col min="9219" max="9219" width="44.88671875" customWidth="1"/>
    <col min="9220" max="9220" width="14.109375" customWidth="1"/>
    <col min="9223" max="9223" width="12.109375" customWidth="1"/>
    <col min="9473" max="9473" width="3.88671875" customWidth="1"/>
    <col min="9474" max="9474" width="8.33203125" customWidth="1"/>
    <col min="9475" max="9475" width="44.88671875" customWidth="1"/>
    <col min="9476" max="9476" width="14.109375" customWidth="1"/>
    <col min="9479" max="9479" width="12.109375" customWidth="1"/>
    <col min="9729" max="9729" width="3.88671875" customWidth="1"/>
    <col min="9730" max="9730" width="8.33203125" customWidth="1"/>
    <col min="9731" max="9731" width="44.88671875" customWidth="1"/>
    <col min="9732" max="9732" width="14.109375" customWidth="1"/>
    <col min="9735" max="9735" width="12.109375" customWidth="1"/>
    <col min="9985" max="9985" width="3.88671875" customWidth="1"/>
    <col min="9986" max="9986" width="8.33203125" customWidth="1"/>
    <col min="9987" max="9987" width="44.88671875" customWidth="1"/>
    <col min="9988" max="9988" width="14.109375" customWidth="1"/>
    <col min="9991" max="9991" width="12.109375" customWidth="1"/>
    <col min="10241" max="10241" width="3.88671875" customWidth="1"/>
    <col min="10242" max="10242" width="8.33203125" customWidth="1"/>
    <col min="10243" max="10243" width="44.88671875" customWidth="1"/>
    <col min="10244" max="10244" width="14.109375" customWidth="1"/>
    <col min="10247" max="10247" width="12.109375" customWidth="1"/>
    <col min="10497" max="10497" width="3.88671875" customWidth="1"/>
    <col min="10498" max="10498" width="8.33203125" customWidth="1"/>
    <col min="10499" max="10499" width="44.88671875" customWidth="1"/>
    <col min="10500" max="10500" width="14.109375" customWidth="1"/>
    <col min="10503" max="10503" width="12.109375" customWidth="1"/>
    <col min="10753" max="10753" width="3.88671875" customWidth="1"/>
    <col min="10754" max="10754" width="8.33203125" customWidth="1"/>
    <col min="10755" max="10755" width="44.88671875" customWidth="1"/>
    <col min="10756" max="10756" width="14.109375" customWidth="1"/>
    <col min="10759" max="10759" width="12.109375" customWidth="1"/>
    <col min="11009" max="11009" width="3.88671875" customWidth="1"/>
    <col min="11010" max="11010" width="8.33203125" customWidth="1"/>
    <col min="11011" max="11011" width="44.88671875" customWidth="1"/>
    <col min="11012" max="11012" width="14.109375" customWidth="1"/>
    <col min="11015" max="11015" width="12.109375" customWidth="1"/>
    <col min="11265" max="11265" width="3.88671875" customWidth="1"/>
    <col min="11266" max="11266" width="8.33203125" customWidth="1"/>
    <col min="11267" max="11267" width="44.88671875" customWidth="1"/>
    <col min="11268" max="11268" width="14.109375" customWidth="1"/>
    <col min="11271" max="11271" width="12.109375" customWidth="1"/>
    <col min="11521" max="11521" width="3.88671875" customWidth="1"/>
    <col min="11522" max="11522" width="8.33203125" customWidth="1"/>
    <col min="11523" max="11523" width="44.88671875" customWidth="1"/>
    <col min="11524" max="11524" width="14.109375" customWidth="1"/>
    <col min="11527" max="11527" width="12.109375" customWidth="1"/>
    <col min="11777" max="11777" width="3.88671875" customWidth="1"/>
    <col min="11778" max="11778" width="8.33203125" customWidth="1"/>
    <col min="11779" max="11779" width="44.88671875" customWidth="1"/>
    <col min="11780" max="11780" width="14.109375" customWidth="1"/>
    <col min="11783" max="11783" width="12.109375" customWidth="1"/>
    <col min="12033" max="12033" width="3.88671875" customWidth="1"/>
    <col min="12034" max="12034" width="8.33203125" customWidth="1"/>
    <col min="12035" max="12035" width="44.88671875" customWidth="1"/>
    <col min="12036" max="12036" width="14.109375" customWidth="1"/>
    <col min="12039" max="12039" width="12.109375" customWidth="1"/>
    <col min="12289" max="12289" width="3.88671875" customWidth="1"/>
    <col min="12290" max="12290" width="8.33203125" customWidth="1"/>
    <col min="12291" max="12291" width="44.88671875" customWidth="1"/>
    <col min="12292" max="12292" width="14.109375" customWidth="1"/>
    <col min="12295" max="12295" width="12.109375" customWidth="1"/>
    <col min="12545" max="12545" width="3.88671875" customWidth="1"/>
    <col min="12546" max="12546" width="8.33203125" customWidth="1"/>
    <col min="12547" max="12547" width="44.88671875" customWidth="1"/>
    <col min="12548" max="12548" width="14.109375" customWidth="1"/>
    <col min="12551" max="12551" width="12.109375" customWidth="1"/>
    <col min="12801" max="12801" width="3.88671875" customWidth="1"/>
    <col min="12802" max="12802" width="8.33203125" customWidth="1"/>
    <col min="12803" max="12803" width="44.88671875" customWidth="1"/>
    <col min="12804" max="12804" width="14.109375" customWidth="1"/>
    <col min="12807" max="12807" width="12.109375" customWidth="1"/>
    <col min="13057" max="13057" width="3.88671875" customWidth="1"/>
    <col min="13058" max="13058" width="8.33203125" customWidth="1"/>
    <col min="13059" max="13059" width="44.88671875" customWidth="1"/>
    <col min="13060" max="13060" width="14.109375" customWidth="1"/>
    <col min="13063" max="13063" width="12.109375" customWidth="1"/>
    <col min="13313" max="13313" width="3.88671875" customWidth="1"/>
    <col min="13314" max="13314" width="8.33203125" customWidth="1"/>
    <col min="13315" max="13315" width="44.88671875" customWidth="1"/>
    <col min="13316" max="13316" width="14.109375" customWidth="1"/>
    <col min="13319" max="13319" width="12.109375" customWidth="1"/>
    <col min="13569" max="13569" width="3.88671875" customWidth="1"/>
    <col min="13570" max="13570" width="8.33203125" customWidth="1"/>
    <col min="13571" max="13571" width="44.88671875" customWidth="1"/>
    <col min="13572" max="13572" width="14.109375" customWidth="1"/>
    <col min="13575" max="13575" width="12.109375" customWidth="1"/>
    <col min="13825" max="13825" width="3.88671875" customWidth="1"/>
    <col min="13826" max="13826" width="8.33203125" customWidth="1"/>
    <col min="13827" max="13827" width="44.88671875" customWidth="1"/>
    <col min="13828" max="13828" width="14.109375" customWidth="1"/>
    <col min="13831" max="13831" width="12.109375" customWidth="1"/>
    <col min="14081" max="14081" width="3.88671875" customWidth="1"/>
    <col min="14082" max="14082" width="8.33203125" customWidth="1"/>
    <col min="14083" max="14083" width="44.88671875" customWidth="1"/>
    <col min="14084" max="14084" width="14.109375" customWidth="1"/>
    <col min="14087" max="14087" width="12.109375" customWidth="1"/>
    <col min="14337" max="14337" width="3.88671875" customWidth="1"/>
    <col min="14338" max="14338" width="8.33203125" customWidth="1"/>
    <col min="14339" max="14339" width="44.88671875" customWidth="1"/>
    <col min="14340" max="14340" width="14.109375" customWidth="1"/>
    <col min="14343" max="14343" width="12.109375" customWidth="1"/>
    <col min="14593" max="14593" width="3.88671875" customWidth="1"/>
    <col min="14594" max="14594" width="8.33203125" customWidth="1"/>
    <col min="14595" max="14595" width="44.88671875" customWidth="1"/>
    <col min="14596" max="14596" width="14.109375" customWidth="1"/>
    <col min="14599" max="14599" width="12.109375" customWidth="1"/>
    <col min="14849" max="14849" width="3.88671875" customWidth="1"/>
    <col min="14850" max="14850" width="8.33203125" customWidth="1"/>
    <col min="14851" max="14851" width="44.88671875" customWidth="1"/>
    <col min="14852" max="14852" width="14.109375" customWidth="1"/>
    <col min="14855" max="14855" width="12.109375" customWidth="1"/>
    <col min="15105" max="15105" width="3.88671875" customWidth="1"/>
    <col min="15106" max="15106" width="8.33203125" customWidth="1"/>
    <col min="15107" max="15107" width="44.88671875" customWidth="1"/>
    <col min="15108" max="15108" width="14.109375" customWidth="1"/>
    <col min="15111" max="15111" width="12.109375" customWidth="1"/>
    <col min="15361" max="15361" width="3.88671875" customWidth="1"/>
    <col min="15362" max="15362" width="8.33203125" customWidth="1"/>
    <col min="15363" max="15363" width="44.88671875" customWidth="1"/>
    <col min="15364" max="15364" width="14.109375" customWidth="1"/>
    <col min="15367" max="15367" width="12.109375" customWidth="1"/>
    <col min="15617" max="15617" width="3.88671875" customWidth="1"/>
    <col min="15618" max="15618" width="8.33203125" customWidth="1"/>
    <col min="15619" max="15619" width="44.88671875" customWidth="1"/>
    <col min="15620" max="15620" width="14.109375" customWidth="1"/>
    <col min="15623" max="15623" width="12.109375" customWidth="1"/>
    <col min="15873" max="15873" width="3.88671875" customWidth="1"/>
    <col min="15874" max="15874" width="8.33203125" customWidth="1"/>
    <col min="15875" max="15875" width="44.88671875" customWidth="1"/>
    <col min="15876" max="15876" width="14.109375" customWidth="1"/>
    <col min="15879" max="15879" width="12.109375" customWidth="1"/>
    <col min="16129" max="16129" width="3.88671875" customWidth="1"/>
    <col min="16130" max="16130" width="8.33203125" customWidth="1"/>
    <col min="16131" max="16131" width="44.88671875" customWidth="1"/>
    <col min="16132" max="16132" width="14.109375" customWidth="1"/>
    <col min="16135" max="16135" width="12.109375" customWidth="1"/>
  </cols>
  <sheetData>
    <row r="1" spans="1:10" ht="16.8" x14ac:dyDescent="0.3">
      <c r="A1" s="95"/>
      <c r="B1" s="15"/>
      <c r="C1" s="318" t="s">
        <v>112</v>
      </c>
      <c r="D1" s="318"/>
      <c r="E1" s="95"/>
      <c r="F1" s="95"/>
    </row>
    <row r="2" spans="1:10" ht="16.8" x14ac:dyDescent="0.3">
      <c r="A2" s="95"/>
      <c r="B2" s="15"/>
      <c r="C2" s="319" t="s">
        <v>129</v>
      </c>
      <c r="D2" s="319"/>
      <c r="E2" s="95"/>
      <c r="F2" s="95"/>
    </row>
    <row r="3" spans="1:10" ht="16.8" x14ac:dyDescent="0.3">
      <c r="A3" s="95"/>
      <c r="B3" s="15"/>
      <c r="C3" s="15"/>
      <c r="D3" s="15"/>
      <c r="E3" s="95"/>
      <c r="F3" s="95"/>
    </row>
    <row r="4" spans="1:10" ht="16.8" x14ac:dyDescent="0.3">
      <c r="A4" s="95"/>
      <c r="B4" s="15"/>
      <c r="C4" s="320" t="s">
        <v>61</v>
      </c>
      <c r="D4" s="320"/>
      <c r="E4" s="95"/>
      <c r="F4" s="95"/>
    </row>
    <row r="5" spans="1:10" ht="16.8" x14ac:dyDescent="0.3">
      <c r="A5" s="95"/>
      <c r="B5" s="15"/>
      <c r="C5" s="16" t="s">
        <v>62</v>
      </c>
      <c r="D5" s="17" t="s">
        <v>130</v>
      </c>
      <c r="E5" s="95"/>
      <c r="F5" s="95"/>
    </row>
    <row r="6" spans="1:10" ht="16.8" x14ac:dyDescent="0.3">
      <c r="A6" s="95"/>
      <c r="B6" s="15"/>
      <c r="C6" s="16" t="s">
        <v>63</v>
      </c>
      <c r="D6" s="160">
        <v>0</v>
      </c>
      <c r="E6" s="95"/>
      <c r="F6" s="95"/>
    </row>
    <row r="7" spans="1:10" ht="16.8" x14ac:dyDescent="0.3">
      <c r="A7" s="95"/>
      <c r="B7" s="15"/>
      <c r="C7" s="15"/>
      <c r="D7" s="15"/>
      <c r="E7" s="95"/>
      <c r="F7" s="95"/>
    </row>
    <row r="8" spans="1:10" ht="16.8" x14ac:dyDescent="0.3">
      <c r="A8" s="95"/>
      <c r="B8" s="321" t="s">
        <v>64</v>
      </c>
      <c r="C8" s="19" t="s">
        <v>65</v>
      </c>
      <c r="D8" s="20">
        <f>+IF(D6&gt;0,IF(D6&lt;=50,'[1]Cuadro Tarifario'!G10,IF([1]BTS1!D6&lt;=75,'[1]Cuadro Tarifario'!G11,IF([1]BTS1!D6&lt;=100,'[1]Cuadro Tarifario'!G12,IF([1]BTS1!D6&lt;=125,'[1]Cuadro Tarifario'!G13,IF([1]BTS1!D6&lt;=150,'[1]Cuadro Tarifario'!G14,IF([1]BTS1!D6&lt;=175,'[1]Cuadro Tarifario'!G15,IF([1]BTS1!D6&gt;175,'[1]Cuadro Tarifario'!G16,""))))))),'[1]Cuadro Tarifario'!G10)</f>
        <v>18.239999999999998</v>
      </c>
      <c r="E8" s="102"/>
      <c r="F8" s="95"/>
    </row>
    <row r="9" spans="1:10" ht="16.8" x14ac:dyDescent="0.3">
      <c r="A9" s="95"/>
      <c r="B9" s="321"/>
      <c r="C9" s="19" t="s">
        <v>66</v>
      </c>
      <c r="D9" s="20">
        <f>+IF(D6&gt;0,IF(D6&lt;=200,D6*'[1]Cuadro Tarifario'!G17,IF([1]BTS1!D6&lt;=300,200*'[1]Cuadro Tarifario'!G17,IF([1]BTS1!D6&lt;=700,200*'[1]Cuadro Tarifario'!G17,IF([1]BTS1!D6&lt;=1000, 0,"")))),0)</f>
        <v>0</v>
      </c>
      <c r="E9" s="102"/>
      <c r="F9" s="95"/>
    </row>
    <row r="10" spans="1:10" ht="16.8" x14ac:dyDescent="0.3">
      <c r="A10" s="95"/>
      <c r="B10" s="321"/>
      <c r="C10" s="19" t="s">
        <v>67</v>
      </c>
      <c r="D10" s="20">
        <f>+IF(D6&gt;0,IF(D6&lt;=200,0,IF([1]BTS1!D6&lt;=300, (D6-200)*'[1]Cuadro Tarifario'!G18,IF([1]BTS1!D6&lt;=700,100*'[1]Cuadro Tarifario'!G18,IF([1]BTS1!D6&lt;=1000,0,"")))),0)</f>
        <v>0</v>
      </c>
      <c r="E10" s="102"/>
      <c r="F10" s="95"/>
      <c r="J10" s="103"/>
    </row>
    <row r="11" spans="1:10" ht="16.8" x14ac:dyDescent="0.3">
      <c r="A11" s="95"/>
      <c r="B11" s="321"/>
      <c r="C11" s="19" t="s">
        <v>68</v>
      </c>
      <c r="D11" s="20">
        <f>+IF(D6&gt;0,IF(D6&lt;=200,0,IF([1]BTS1!D6&lt;=300, 0,IF([1]BTS1!D6&lt;=700,(D6-300)*'[1]Cuadro Tarifario'!G19,IF([1]BTS1!D6&lt;=1000,0,"")))),0)</f>
        <v>0</v>
      </c>
      <c r="E11" s="102"/>
      <c r="F11" s="104"/>
    </row>
    <row r="12" spans="1:10" ht="16.8" x14ac:dyDescent="0.3">
      <c r="A12" s="95"/>
      <c r="B12" s="321"/>
      <c r="C12" s="19" t="s">
        <v>69</v>
      </c>
      <c r="D12" s="20">
        <f>+IF(D6&gt;0,IF(D6&lt;=200,0,IF([1]BTS1!D6&lt;=300,0,IF([1]BTS1!D6&lt;=700,0,IF(D6&lt;=1000,(D6)*'[1]Cuadro Tarifario'!G20,IF([1]BTS1!D6&gt;1000,""))))),0)</f>
        <v>0</v>
      </c>
      <c r="E12" s="102"/>
      <c r="F12" s="95"/>
    </row>
    <row r="13" spans="1:10" ht="16.8" x14ac:dyDescent="0.3">
      <c r="A13" s="95"/>
      <c r="B13" s="321"/>
      <c r="C13" s="19" t="s">
        <v>70</v>
      </c>
      <c r="D13" s="20">
        <f>+IF(D6&gt;0,IF(D6&lt;=200,0,IF([1]BTS1!D6&lt;=300, 0,IF([1]BTS1!D6&lt;=700,0,IF([1]BTS1!D6&lt;=1000,0,IF(D6&gt;1000,D6*'[1]Cuadro Tarifario'!G21,0))))),0)</f>
        <v>0</v>
      </c>
      <c r="E13" s="102"/>
      <c r="F13" s="95"/>
    </row>
    <row r="14" spans="1:10" ht="18" x14ac:dyDescent="0.35">
      <c r="A14" s="95"/>
      <c r="B14" s="321"/>
      <c r="C14" s="16" t="s">
        <v>71</v>
      </c>
      <c r="D14" s="21">
        <f>SUM(D8:D13)</f>
        <v>18.239999999999998</v>
      </c>
      <c r="E14" s="95"/>
      <c r="F14" s="95"/>
      <c r="G14" s="105"/>
    </row>
    <row r="15" spans="1:10" ht="8.25" customHeight="1" x14ac:dyDescent="0.3">
      <c r="A15" s="95"/>
      <c r="B15" s="95"/>
      <c r="E15" s="95"/>
      <c r="F15" s="95"/>
    </row>
    <row r="16" spans="1:10" x14ac:dyDescent="0.3">
      <c r="A16" s="95"/>
      <c r="B16" s="95"/>
      <c r="D16" s="106" t="s">
        <v>118</v>
      </c>
      <c r="E16" s="95"/>
      <c r="F16" s="95"/>
    </row>
    <row r="17" spans="1:6" x14ac:dyDescent="0.3">
      <c r="A17" s="95"/>
      <c r="B17" s="95"/>
      <c r="E17" s="95"/>
      <c r="F17" s="95"/>
    </row>
    <row r="18" spans="1:6" x14ac:dyDescent="0.3">
      <c r="A18" s="95"/>
      <c r="B18" s="95"/>
      <c r="E18" s="95"/>
      <c r="F18" s="95"/>
    </row>
    <row r="19" spans="1:6" x14ac:dyDescent="0.3">
      <c r="D19" s="99"/>
    </row>
    <row r="21" spans="1:6" x14ac:dyDescent="0.3">
      <c r="C21" s="95"/>
      <c r="D21" s="95"/>
    </row>
    <row r="22" spans="1:6" x14ac:dyDescent="0.3">
      <c r="C22" s="99"/>
      <c r="D22" s="99"/>
    </row>
    <row r="26" spans="1:6" x14ac:dyDescent="0.3">
      <c r="F26" s="107"/>
    </row>
    <row r="30" spans="1:6" ht="18" x14ac:dyDescent="0.35">
      <c r="D30" s="108"/>
    </row>
  </sheetData>
  <protectedRanges>
    <protectedRange sqref="D6" name="Range1"/>
  </protectedRanges>
  <mergeCells count="4">
    <mergeCell ref="C1:D1"/>
    <mergeCell ref="C2:D2"/>
    <mergeCell ref="C4:D4"/>
    <mergeCell ref="B8:B14"/>
  </mergeCells>
  <hyperlinks>
    <hyperlink ref="D16" location="Entrada!D3" display="Volver" xr:uid="{EB68A02F-7E1D-47AE-854D-CCAB4A6FED7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23889-FF49-427A-85B6-E7D7F2733A28}">
  <sheetPr codeName="Sheet9">
    <tabColor rgb="FFFFFF00"/>
  </sheetPr>
  <dimension ref="B1:E17"/>
  <sheetViews>
    <sheetView workbookViewId="0">
      <selection activeCell="J21" sqref="J21"/>
    </sheetView>
  </sheetViews>
  <sheetFormatPr baseColWidth="10" defaultColWidth="9.109375" defaultRowHeight="14.4" x14ac:dyDescent="0.3"/>
  <cols>
    <col min="1" max="1" width="3.88671875" customWidth="1"/>
    <col min="2" max="2" width="8.33203125" customWidth="1"/>
    <col min="3" max="3" width="43.44140625" customWidth="1"/>
    <col min="4" max="4" width="14.88671875" customWidth="1"/>
    <col min="257" max="257" width="3.88671875" customWidth="1"/>
    <col min="258" max="258" width="8.33203125" customWidth="1"/>
    <col min="259" max="259" width="43.44140625" customWidth="1"/>
    <col min="260" max="260" width="14.88671875" customWidth="1"/>
    <col min="513" max="513" width="3.88671875" customWidth="1"/>
    <col min="514" max="514" width="8.33203125" customWidth="1"/>
    <col min="515" max="515" width="43.44140625" customWidth="1"/>
    <col min="516" max="516" width="14.88671875" customWidth="1"/>
    <col min="769" max="769" width="3.88671875" customWidth="1"/>
    <col min="770" max="770" width="8.33203125" customWidth="1"/>
    <col min="771" max="771" width="43.44140625" customWidth="1"/>
    <col min="772" max="772" width="14.88671875" customWidth="1"/>
    <col min="1025" max="1025" width="3.88671875" customWidth="1"/>
    <col min="1026" max="1026" width="8.33203125" customWidth="1"/>
    <col min="1027" max="1027" width="43.44140625" customWidth="1"/>
    <col min="1028" max="1028" width="14.88671875" customWidth="1"/>
    <col min="1281" max="1281" width="3.88671875" customWidth="1"/>
    <col min="1282" max="1282" width="8.33203125" customWidth="1"/>
    <col min="1283" max="1283" width="43.44140625" customWidth="1"/>
    <col min="1284" max="1284" width="14.88671875" customWidth="1"/>
    <col min="1537" max="1537" width="3.88671875" customWidth="1"/>
    <col min="1538" max="1538" width="8.33203125" customWidth="1"/>
    <col min="1539" max="1539" width="43.44140625" customWidth="1"/>
    <col min="1540" max="1540" width="14.88671875" customWidth="1"/>
    <col min="1793" max="1793" width="3.88671875" customWidth="1"/>
    <col min="1794" max="1794" width="8.33203125" customWidth="1"/>
    <col min="1795" max="1795" width="43.44140625" customWidth="1"/>
    <col min="1796" max="1796" width="14.88671875" customWidth="1"/>
    <col min="2049" max="2049" width="3.88671875" customWidth="1"/>
    <col min="2050" max="2050" width="8.33203125" customWidth="1"/>
    <col min="2051" max="2051" width="43.44140625" customWidth="1"/>
    <col min="2052" max="2052" width="14.88671875" customWidth="1"/>
    <col min="2305" max="2305" width="3.88671875" customWidth="1"/>
    <col min="2306" max="2306" width="8.33203125" customWidth="1"/>
    <col min="2307" max="2307" width="43.44140625" customWidth="1"/>
    <col min="2308" max="2308" width="14.88671875" customWidth="1"/>
    <col min="2561" max="2561" width="3.88671875" customWidth="1"/>
    <col min="2562" max="2562" width="8.33203125" customWidth="1"/>
    <col min="2563" max="2563" width="43.44140625" customWidth="1"/>
    <col min="2564" max="2564" width="14.88671875" customWidth="1"/>
    <col min="2817" max="2817" width="3.88671875" customWidth="1"/>
    <col min="2818" max="2818" width="8.33203125" customWidth="1"/>
    <col min="2819" max="2819" width="43.44140625" customWidth="1"/>
    <col min="2820" max="2820" width="14.88671875" customWidth="1"/>
    <col min="3073" max="3073" width="3.88671875" customWidth="1"/>
    <col min="3074" max="3074" width="8.33203125" customWidth="1"/>
    <col min="3075" max="3075" width="43.44140625" customWidth="1"/>
    <col min="3076" max="3076" width="14.88671875" customWidth="1"/>
    <col min="3329" max="3329" width="3.88671875" customWidth="1"/>
    <col min="3330" max="3330" width="8.33203125" customWidth="1"/>
    <col min="3331" max="3331" width="43.44140625" customWidth="1"/>
    <col min="3332" max="3332" width="14.88671875" customWidth="1"/>
    <col min="3585" max="3585" width="3.88671875" customWidth="1"/>
    <col min="3586" max="3586" width="8.33203125" customWidth="1"/>
    <col min="3587" max="3587" width="43.44140625" customWidth="1"/>
    <col min="3588" max="3588" width="14.88671875" customWidth="1"/>
    <col min="3841" max="3841" width="3.88671875" customWidth="1"/>
    <col min="3842" max="3842" width="8.33203125" customWidth="1"/>
    <col min="3843" max="3843" width="43.44140625" customWidth="1"/>
    <col min="3844" max="3844" width="14.88671875" customWidth="1"/>
    <col min="4097" max="4097" width="3.88671875" customWidth="1"/>
    <col min="4098" max="4098" width="8.33203125" customWidth="1"/>
    <col min="4099" max="4099" width="43.44140625" customWidth="1"/>
    <col min="4100" max="4100" width="14.88671875" customWidth="1"/>
    <col min="4353" max="4353" width="3.88671875" customWidth="1"/>
    <col min="4354" max="4354" width="8.33203125" customWidth="1"/>
    <col min="4355" max="4355" width="43.44140625" customWidth="1"/>
    <col min="4356" max="4356" width="14.88671875" customWidth="1"/>
    <col min="4609" max="4609" width="3.88671875" customWidth="1"/>
    <col min="4610" max="4610" width="8.33203125" customWidth="1"/>
    <col min="4611" max="4611" width="43.44140625" customWidth="1"/>
    <col min="4612" max="4612" width="14.88671875" customWidth="1"/>
    <col min="4865" max="4865" width="3.88671875" customWidth="1"/>
    <col min="4866" max="4866" width="8.33203125" customWidth="1"/>
    <col min="4867" max="4867" width="43.44140625" customWidth="1"/>
    <col min="4868" max="4868" width="14.88671875" customWidth="1"/>
    <col min="5121" max="5121" width="3.88671875" customWidth="1"/>
    <col min="5122" max="5122" width="8.33203125" customWidth="1"/>
    <col min="5123" max="5123" width="43.44140625" customWidth="1"/>
    <col min="5124" max="5124" width="14.88671875" customWidth="1"/>
    <col min="5377" max="5377" width="3.88671875" customWidth="1"/>
    <col min="5378" max="5378" width="8.33203125" customWidth="1"/>
    <col min="5379" max="5379" width="43.44140625" customWidth="1"/>
    <col min="5380" max="5380" width="14.88671875" customWidth="1"/>
    <col min="5633" max="5633" width="3.88671875" customWidth="1"/>
    <col min="5634" max="5634" width="8.33203125" customWidth="1"/>
    <col min="5635" max="5635" width="43.44140625" customWidth="1"/>
    <col min="5636" max="5636" width="14.88671875" customWidth="1"/>
    <col min="5889" max="5889" width="3.88671875" customWidth="1"/>
    <col min="5890" max="5890" width="8.33203125" customWidth="1"/>
    <col min="5891" max="5891" width="43.44140625" customWidth="1"/>
    <col min="5892" max="5892" width="14.88671875" customWidth="1"/>
    <col min="6145" max="6145" width="3.88671875" customWidth="1"/>
    <col min="6146" max="6146" width="8.33203125" customWidth="1"/>
    <col min="6147" max="6147" width="43.44140625" customWidth="1"/>
    <col min="6148" max="6148" width="14.88671875" customWidth="1"/>
    <col min="6401" max="6401" width="3.88671875" customWidth="1"/>
    <col min="6402" max="6402" width="8.33203125" customWidth="1"/>
    <col min="6403" max="6403" width="43.44140625" customWidth="1"/>
    <col min="6404" max="6404" width="14.88671875" customWidth="1"/>
    <col min="6657" max="6657" width="3.88671875" customWidth="1"/>
    <col min="6658" max="6658" width="8.33203125" customWidth="1"/>
    <col min="6659" max="6659" width="43.44140625" customWidth="1"/>
    <col min="6660" max="6660" width="14.88671875" customWidth="1"/>
    <col min="6913" max="6913" width="3.88671875" customWidth="1"/>
    <col min="6914" max="6914" width="8.33203125" customWidth="1"/>
    <col min="6915" max="6915" width="43.44140625" customWidth="1"/>
    <col min="6916" max="6916" width="14.88671875" customWidth="1"/>
    <col min="7169" max="7169" width="3.88671875" customWidth="1"/>
    <col min="7170" max="7170" width="8.33203125" customWidth="1"/>
    <col min="7171" max="7171" width="43.44140625" customWidth="1"/>
    <col min="7172" max="7172" width="14.88671875" customWidth="1"/>
    <col min="7425" max="7425" width="3.88671875" customWidth="1"/>
    <col min="7426" max="7426" width="8.33203125" customWidth="1"/>
    <col min="7427" max="7427" width="43.44140625" customWidth="1"/>
    <col min="7428" max="7428" width="14.88671875" customWidth="1"/>
    <col min="7681" max="7681" width="3.88671875" customWidth="1"/>
    <col min="7682" max="7682" width="8.33203125" customWidth="1"/>
    <col min="7683" max="7683" width="43.44140625" customWidth="1"/>
    <col min="7684" max="7684" width="14.88671875" customWidth="1"/>
    <col min="7937" max="7937" width="3.88671875" customWidth="1"/>
    <col min="7938" max="7938" width="8.33203125" customWidth="1"/>
    <col min="7939" max="7939" width="43.44140625" customWidth="1"/>
    <col min="7940" max="7940" width="14.88671875" customWidth="1"/>
    <col min="8193" max="8193" width="3.88671875" customWidth="1"/>
    <col min="8194" max="8194" width="8.33203125" customWidth="1"/>
    <col min="8195" max="8195" width="43.44140625" customWidth="1"/>
    <col min="8196" max="8196" width="14.88671875" customWidth="1"/>
    <col min="8449" max="8449" width="3.88671875" customWidth="1"/>
    <col min="8450" max="8450" width="8.33203125" customWidth="1"/>
    <col min="8451" max="8451" width="43.44140625" customWidth="1"/>
    <col min="8452" max="8452" width="14.88671875" customWidth="1"/>
    <col min="8705" max="8705" width="3.88671875" customWidth="1"/>
    <col min="8706" max="8706" width="8.33203125" customWidth="1"/>
    <col min="8707" max="8707" width="43.44140625" customWidth="1"/>
    <col min="8708" max="8708" width="14.88671875" customWidth="1"/>
    <col min="8961" max="8961" width="3.88671875" customWidth="1"/>
    <col min="8962" max="8962" width="8.33203125" customWidth="1"/>
    <col min="8963" max="8963" width="43.44140625" customWidth="1"/>
    <col min="8964" max="8964" width="14.88671875" customWidth="1"/>
    <col min="9217" max="9217" width="3.88671875" customWidth="1"/>
    <col min="9218" max="9218" width="8.33203125" customWidth="1"/>
    <col min="9219" max="9219" width="43.44140625" customWidth="1"/>
    <col min="9220" max="9220" width="14.88671875" customWidth="1"/>
    <col min="9473" max="9473" width="3.88671875" customWidth="1"/>
    <col min="9474" max="9474" width="8.33203125" customWidth="1"/>
    <col min="9475" max="9475" width="43.44140625" customWidth="1"/>
    <col min="9476" max="9476" width="14.88671875" customWidth="1"/>
    <col min="9729" max="9729" width="3.88671875" customWidth="1"/>
    <col min="9730" max="9730" width="8.33203125" customWidth="1"/>
    <col min="9731" max="9731" width="43.44140625" customWidth="1"/>
    <col min="9732" max="9732" width="14.88671875" customWidth="1"/>
    <col min="9985" max="9985" width="3.88671875" customWidth="1"/>
    <col min="9986" max="9986" width="8.33203125" customWidth="1"/>
    <col min="9987" max="9987" width="43.44140625" customWidth="1"/>
    <col min="9988" max="9988" width="14.88671875" customWidth="1"/>
    <col min="10241" max="10241" width="3.88671875" customWidth="1"/>
    <col min="10242" max="10242" width="8.33203125" customWidth="1"/>
    <col min="10243" max="10243" width="43.44140625" customWidth="1"/>
    <col min="10244" max="10244" width="14.88671875" customWidth="1"/>
    <col min="10497" max="10497" width="3.88671875" customWidth="1"/>
    <col min="10498" max="10498" width="8.33203125" customWidth="1"/>
    <col min="10499" max="10499" width="43.44140625" customWidth="1"/>
    <col min="10500" max="10500" width="14.88671875" customWidth="1"/>
    <col min="10753" max="10753" width="3.88671875" customWidth="1"/>
    <col min="10754" max="10754" width="8.33203125" customWidth="1"/>
    <col min="10755" max="10755" width="43.44140625" customWidth="1"/>
    <col min="10756" max="10756" width="14.88671875" customWidth="1"/>
    <col min="11009" max="11009" width="3.88671875" customWidth="1"/>
    <col min="11010" max="11010" width="8.33203125" customWidth="1"/>
    <col min="11011" max="11011" width="43.44140625" customWidth="1"/>
    <col min="11012" max="11012" width="14.88671875" customWidth="1"/>
    <col min="11265" max="11265" width="3.88671875" customWidth="1"/>
    <col min="11266" max="11266" width="8.33203125" customWidth="1"/>
    <col min="11267" max="11267" width="43.44140625" customWidth="1"/>
    <col min="11268" max="11268" width="14.88671875" customWidth="1"/>
    <col min="11521" max="11521" width="3.88671875" customWidth="1"/>
    <col min="11522" max="11522" width="8.33203125" customWidth="1"/>
    <col min="11523" max="11523" width="43.44140625" customWidth="1"/>
    <col min="11524" max="11524" width="14.88671875" customWidth="1"/>
    <col min="11777" max="11777" width="3.88671875" customWidth="1"/>
    <col min="11778" max="11778" width="8.33203125" customWidth="1"/>
    <col min="11779" max="11779" width="43.44140625" customWidth="1"/>
    <col min="11780" max="11780" width="14.88671875" customWidth="1"/>
    <col min="12033" max="12033" width="3.88671875" customWidth="1"/>
    <col min="12034" max="12034" width="8.33203125" customWidth="1"/>
    <col min="12035" max="12035" width="43.44140625" customWidth="1"/>
    <col min="12036" max="12036" width="14.88671875" customWidth="1"/>
    <col min="12289" max="12289" width="3.88671875" customWidth="1"/>
    <col min="12290" max="12290" width="8.33203125" customWidth="1"/>
    <col min="12291" max="12291" width="43.44140625" customWidth="1"/>
    <col min="12292" max="12292" width="14.88671875" customWidth="1"/>
    <col min="12545" max="12545" width="3.88671875" customWidth="1"/>
    <col min="12546" max="12546" width="8.33203125" customWidth="1"/>
    <col min="12547" max="12547" width="43.44140625" customWidth="1"/>
    <col min="12548" max="12548" width="14.88671875" customWidth="1"/>
    <col min="12801" max="12801" width="3.88671875" customWidth="1"/>
    <col min="12802" max="12802" width="8.33203125" customWidth="1"/>
    <col min="12803" max="12803" width="43.44140625" customWidth="1"/>
    <col min="12804" max="12804" width="14.88671875" customWidth="1"/>
    <col min="13057" max="13057" width="3.88671875" customWidth="1"/>
    <col min="13058" max="13058" width="8.33203125" customWidth="1"/>
    <col min="13059" max="13059" width="43.44140625" customWidth="1"/>
    <col min="13060" max="13060" width="14.88671875" customWidth="1"/>
    <col min="13313" max="13313" width="3.88671875" customWidth="1"/>
    <col min="13314" max="13314" width="8.33203125" customWidth="1"/>
    <col min="13315" max="13315" width="43.44140625" customWidth="1"/>
    <col min="13316" max="13316" width="14.88671875" customWidth="1"/>
    <col min="13569" max="13569" width="3.88671875" customWidth="1"/>
    <col min="13570" max="13570" width="8.33203125" customWidth="1"/>
    <col min="13571" max="13571" width="43.44140625" customWidth="1"/>
    <col min="13572" max="13572" width="14.88671875" customWidth="1"/>
    <col min="13825" max="13825" width="3.88671875" customWidth="1"/>
    <col min="13826" max="13826" width="8.33203125" customWidth="1"/>
    <col min="13827" max="13827" width="43.44140625" customWidth="1"/>
    <col min="13828" max="13828" width="14.88671875" customWidth="1"/>
    <col min="14081" max="14081" width="3.88671875" customWidth="1"/>
    <col min="14082" max="14082" width="8.33203125" customWidth="1"/>
    <col min="14083" max="14083" width="43.44140625" customWidth="1"/>
    <col min="14084" max="14084" width="14.88671875" customWidth="1"/>
    <col min="14337" max="14337" width="3.88671875" customWidth="1"/>
    <col min="14338" max="14338" width="8.33203125" customWidth="1"/>
    <col min="14339" max="14339" width="43.44140625" customWidth="1"/>
    <col min="14340" max="14340" width="14.88671875" customWidth="1"/>
    <col min="14593" max="14593" width="3.88671875" customWidth="1"/>
    <col min="14594" max="14594" width="8.33203125" customWidth="1"/>
    <col min="14595" max="14595" width="43.44140625" customWidth="1"/>
    <col min="14596" max="14596" width="14.88671875" customWidth="1"/>
    <col min="14849" max="14849" width="3.88671875" customWidth="1"/>
    <col min="14850" max="14850" width="8.33203125" customWidth="1"/>
    <col min="14851" max="14851" width="43.44140625" customWidth="1"/>
    <col min="14852" max="14852" width="14.88671875" customWidth="1"/>
    <col min="15105" max="15105" width="3.88671875" customWidth="1"/>
    <col min="15106" max="15106" width="8.33203125" customWidth="1"/>
    <col min="15107" max="15107" width="43.44140625" customWidth="1"/>
    <col min="15108" max="15108" width="14.88671875" customWidth="1"/>
    <col min="15361" max="15361" width="3.88671875" customWidth="1"/>
    <col min="15362" max="15362" width="8.33203125" customWidth="1"/>
    <col min="15363" max="15363" width="43.44140625" customWidth="1"/>
    <col min="15364" max="15364" width="14.88671875" customWidth="1"/>
    <col min="15617" max="15617" width="3.88671875" customWidth="1"/>
    <col min="15618" max="15618" width="8.33203125" customWidth="1"/>
    <col min="15619" max="15619" width="43.44140625" customWidth="1"/>
    <col min="15620" max="15620" width="14.88671875" customWidth="1"/>
    <col min="15873" max="15873" width="3.88671875" customWidth="1"/>
    <col min="15874" max="15874" width="8.33203125" customWidth="1"/>
    <col min="15875" max="15875" width="43.44140625" customWidth="1"/>
    <col min="15876" max="15876" width="14.88671875" customWidth="1"/>
    <col min="16129" max="16129" width="3.88671875" customWidth="1"/>
    <col min="16130" max="16130" width="8.33203125" customWidth="1"/>
    <col min="16131" max="16131" width="43.44140625" customWidth="1"/>
    <col min="16132" max="16132" width="14.88671875" customWidth="1"/>
  </cols>
  <sheetData>
    <row r="1" spans="2:5" ht="16.8" x14ac:dyDescent="0.3">
      <c r="B1" s="15"/>
      <c r="C1" s="318" t="s">
        <v>112</v>
      </c>
      <c r="D1" s="318"/>
    </row>
    <row r="2" spans="2:5" ht="16.8" x14ac:dyDescent="0.3">
      <c r="B2" s="15"/>
      <c r="C2" s="319" t="s">
        <v>113</v>
      </c>
      <c r="D2" s="319"/>
    </row>
    <row r="3" spans="2:5" ht="16.8" x14ac:dyDescent="0.3">
      <c r="B3" s="15"/>
      <c r="C3" s="15"/>
      <c r="D3" s="15"/>
    </row>
    <row r="4" spans="2:5" ht="16.8" x14ac:dyDescent="0.3">
      <c r="B4" s="15"/>
      <c r="C4" s="320" t="s">
        <v>61</v>
      </c>
      <c r="D4" s="320"/>
    </row>
    <row r="5" spans="2:5" ht="16.8" x14ac:dyDescent="0.3">
      <c r="B5" s="15"/>
      <c r="C5" s="16" t="s">
        <v>62</v>
      </c>
      <c r="D5" s="17" t="s">
        <v>107</v>
      </c>
    </row>
    <row r="6" spans="2:5" ht="16.8" x14ac:dyDescent="0.3">
      <c r="B6" s="15"/>
      <c r="C6" s="16" t="s">
        <v>63</v>
      </c>
      <c r="D6" s="160">
        <v>0</v>
      </c>
    </row>
    <row r="7" spans="2:5" ht="16.8" x14ac:dyDescent="0.3">
      <c r="B7" s="15"/>
      <c r="C7" s="15"/>
      <c r="D7" s="15"/>
    </row>
    <row r="8" spans="2:5" ht="16.8" x14ac:dyDescent="0.3">
      <c r="B8" s="321" t="s">
        <v>64</v>
      </c>
      <c r="C8" s="19" t="s">
        <v>65</v>
      </c>
      <c r="D8" s="20">
        <f>+'[1]Cuadro Tarifario'!G23</f>
        <v>137.66999999999999</v>
      </c>
      <c r="E8" s="109"/>
    </row>
    <row r="9" spans="2:5" ht="16.8" x14ac:dyDescent="0.3">
      <c r="B9" s="321"/>
      <c r="C9" s="19" t="s">
        <v>66</v>
      </c>
      <c r="D9" s="20">
        <f>+IF(D6&gt;0,IF(D6&lt;=200,D6*'[1]Cuadro Tarifario'!G24,IF(D6&lt;=300,200*'[1]Cuadro Tarifario'!G24,IF(D6&lt;=700,200*'[1]Cuadro Tarifario'!G24,IF(D6&lt;=1000,0,"")))),0)</f>
        <v>0</v>
      </c>
      <c r="E9" s="109"/>
    </row>
    <row r="10" spans="2:5" ht="16.8" x14ac:dyDescent="0.3">
      <c r="B10" s="321"/>
      <c r="C10" s="19" t="s">
        <v>67</v>
      </c>
      <c r="D10" s="20">
        <f>+IF(D6&gt;0,IF(D6&lt;=200,0,IF(D6&lt;=300, (D6-200)*'[1]Cuadro Tarifario'!G25,IF(D6&lt;=700,100*'[1]Cuadro Tarifario'!G25,IF(D6&lt;1000,0,"")))),0)</f>
        <v>0</v>
      </c>
      <c r="E10" s="109"/>
    </row>
    <row r="11" spans="2:5" ht="16.8" x14ac:dyDescent="0.3">
      <c r="B11" s="321"/>
      <c r="C11" s="19" t="s">
        <v>68</v>
      </c>
      <c r="D11" s="20">
        <f>+IF(D6&gt;0,IF(D6&lt;=200,0,IF(D6&lt;=300, 0,IF(D6&lt;=700,(D6-300)*'[1]Cuadro Tarifario'!G26,IF(D6&lt;=1000,0,"")))),0)</f>
        <v>0</v>
      </c>
      <c r="E11" s="109"/>
    </row>
    <row r="12" spans="2:5" ht="16.8" x14ac:dyDescent="0.3">
      <c r="B12" s="321"/>
      <c r="C12" s="19" t="s">
        <v>69</v>
      </c>
      <c r="D12" s="20">
        <f>+IF(D6&gt;0,IF(D6&lt;=200,0,IF(D6&lt;=300, 0,IF(D6&lt;=700,0, IF(D6&lt;=1000,(D6)*'[1]Cuadro Tarifario'!G27,IF(D6&gt;1000,""))))),0)</f>
        <v>0</v>
      </c>
      <c r="E12" s="109"/>
    </row>
    <row r="13" spans="2:5" ht="16.8" x14ac:dyDescent="0.3">
      <c r="B13" s="321"/>
      <c r="C13" s="19" t="s">
        <v>70</v>
      </c>
      <c r="D13" s="20">
        <f>+IF(D6&gt;0,IF(D6&lt;=200,0,IF(D6&lt;=300, 0,IF(D6&lt;=700,0, IF(D6&lt;=1000,0,IF(D6&gt;1000,(D6)*'[1]Cuadro Tarifario'!G28,0))))),0)</f>
        <v>0</v>
      </c>
      <c r="E13" s="109"/>
    </row>
    <row r="14" spans="2:5" ht="18" x14ac:dyDescent="0.35">
      <c r="B14" s="321"/>
      <c r="C14" s="16" t="s">
        <v>71</v>
      </c>
      <c r="D14" s="21">
        <f>SUM(D8:D13)</f>
        <v>137.66999999999999</v>
      </c>
    </row>
    <row r="15" spans="2:5" ht="18.75" customHeight="1" x14ac:dyDescent="0.3">
      <c r="B15" s="95"/>
      <c r="C15" s="95"/>
      <c r="D15" s="95"/>
    </row>
    <row r="16" spans="2:5" x14ac:dyDescent="0.3">
      <c r="B16" s="95"/>
      <c r="C16" s="95"/>
      <c r="D16" s="106" t="s">
        <v>118</v>
      </c>
    </row>
    <row r="17" spans="2:4" ht="12" customHeight="1" x14ac:dyDescent="0.3">
      <c r="B17" s="95"/>
      <c r="C17" s="95"/>
      <c r="D17" s="95"/>
    </row>
  </sheetData>
  <protectedRanges>
    <protectedRange sqref="D6" name="Range1_1"/>
  </protectedRanges>
  <mergeCells count="4">
    <mergeCell ref="C1:D1"/>
    <mergeCell ref="C2:D2"/>
    <mergeCell ref="C4:D4"/>
    <mergeCell ref="B8:B14"/>
  </mergeCells>
  <hyperlinks>
    <hyperlink ref="D16" location="Entrada!D3" display="Volver" xr:uid="{4E6921A7-B240-4AE2-BDEF-B30E663CA7C3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A0108-7119-486D-9C7C-1168249FBC8E}">
  <sheetPr codeName="Sheet10">
    <tabColor rgb="FFFFFF00"/>
  </sheetPr>
  <dimension ref="B1:G16"/>
  <sheetViews>
    <sheetView workbookViewId="0">
      <selection activeCell="M25" sqref="M25"/>
    </sheetView>
  </sheetViews>
  <sheetFormatPr baseColWidth="10" defaultColWidth="9.109375" defaultRowHeight="14.4" x14ac:dyDescent="0.3"/>
  <cols>
    <col min="1" max="1" width="3.88671875" customWidth="1"/>
    <col min="2" max="2" width="8.33203125" customWidth="1"/>
    <col min="3" max="3" width="43.5546875" customWidth="1"/>
    <col min="4" max="4" width="16" customWidth="1"/>
    <col min="7" max="7" width="10.33203125" bestFit="1" customWidth="1"/>
    <col min="257" max="257" width="3.88671875" customWidth="1"/>
    <col min="258" max="258" width="8.33203125" customWidth="1"/>
    <col min="259" max="259" width="43.5546875" customWidth="1"/>
    <col min="260" max="260" width="16" customWidth="1"/>
    <col min="263" max="263" width="10.33203125" bestFit="1" customWidth="1"/>
    <col min="513" max="513" width="3.88671875" customWidth="1"/>
    <col min="514" max="514" width="8.33203125" customWidth="1"/>
    <col min="515" max="515" width="43.5546875" customWidth="1"/>
    <col min="516" max="516" width="16" customWidth="1"/>
    <col min="519" max="519" width="10.33203125" bestFit="1" customWidth="1"/>
    <col min="769" max="769" width="3.88671875" customWidth="1"/>
    <col min="770" max="770" width="8.33203125" customWidth="1"/>
    <col min="771" max="771" width="43.5546875" customWidth="1"/>
    <col min="772" max="772" width="16" customWidth="1"/>
    <col min="775" max="775" width="10.33203125" bestFit="1" customWidth="1"/>
    <col min="1025" max="1025" width="3.88671875" customWidth="1"/>
    <col min="1026" max="1026" width="8.33203125" customWidth="1"/>
    <col min="1027" max="1027" width="43.5546875" customWidth="1"/>
    <col min="1028" max="1028" width="16" customWidth="1"/>
    <col min="1031" max="1031" width="10.33203125" bestFit="1" customWidth="1"/>
    <col min="1281" max="1281" width="3.88671875" customWidth="1"/>
    <col min="1282" max="1282" width="8.33203125" customWidth="1"/>
    <col min="1283" max="1283" width="43.5546875" customWidth="1"/>
    <col min="1284" max="1284" width="16" customWidth="1"/>
    <col min="1287" max="1287" width="10.33203125" bestFit="1" customWidth="1"/>
    <col min="1537" max="1537" width="3.88671875" customWidth="1"/>
    <col min="1538" max="1538" width="8.33203125" customWidth="1"/>
    <col min="1539" max="1539" width="43.5546875" customWidth="1"/>
    <col min="1540" max="1540" width="16" customWidth="1"/>
    <col min="1543" max="1543" width="10.33203125" bestFit="1" customWidth="1"/>
    <col min="1793" max="1793" width="3.88671875" customWidth="1"/>
    <col min="1794" max="1794" width="8.33203125" customWidth="1"/>
    <col min="1795" max="1795" width="43.5546875" customWidth="1"/>
    <col min="1796" max="1796" width="16" customWidth="1"/>
    <col min="1799" max="1799" width="10.33203125" bestFit="1" customWidth="1"/>
    <col min="2049" max="2049" width="3.88671875" customWidth="1"/>
    <col min="2050" max="2050" width="8.33203125" customWidth="1"/>
    <col min="2051" max="2051" width="43.5546875" customWidth="1"/>
    <col min="2052" max="2052" width="16" customWidth="1"/>
    <col min="2055" max="2055" width="10.33203125" bestFit="1" customWidth="1"/>
    <col min="2305" max="2305" width="3.88671875" customWidth="1"/>
    <col min="2306" max="2306" width="8.33203125" customWidth="1"/>
    <col min="2307" max="2307" width="43.5546875" customWidth="1"/>
    <col min="2308" max="2308" width="16" customWidth="1"/>
    <col min="2311" max="2311" width="10.33203125" bestFit="1" customWidth="1"/>
    <col min="2561" max="2561" width="3.88671875" customWidth="1"/>
    <col min="2562" max="2562" width="8.33203125" customWidth="1"/>
    <col min="2563" max="2563" width="43.5546875" customWidth="1"/>
    <col min="2564" max="2564" width="16" customWidth="1"/>
    <col min="2567" max="2567" width="10.33203125" bestFit="1" customWidth="1"/>
    <col min="2817" max="2817" width="3.88671875" customWidth="1"/>
    <col min="2818" max="2818" width="8.33203125" customWidth="1"/>
    <col min="2819" max="2819" width="43.5546875" customWidth="1"/>
    <col min="2820" max="2820" width="16" customWidth="1"/>
    <col min="2823" max="2823" width="10.33203125" bestFit="1" customWidth="1"/>
    <col min="3073" max="3073" width="3.88671875" customWidth="1"/>
    <col min="3074" max="3074" width="8.33203125" customWidth="1"/>
    <col min="3075" max="3075" width="43.5546875" customWidth="1"/>
    <col min="3076" max="3076" width="16" customWidth="1"/>
    <col min="3079" max="3079" width="10.33203125" bestFit="1" customWidth="1"/>
    <col min="3329" max="3329" width="3.88671875" customWidth="1"/>
    <col min="3330" max="3330" width="8.33203125" customWidth="1"/>
    <col min="3331" max="3331" width="43.5546875" customWidth="1"/>
    <col min="3332" max="3332" width="16" customWidth="1"/>
    <col min="3335" max="3335" width="10.33203125" bestFit="1" customWidth="1"/>
    <col min="3585" max="3585" width="3.88671875" customWidth="1"/>
    <col min="3586" max="3586" width="8.33203125" customWidth="1"/>
    <col min="3587" max="3587" width="43.5546875" customWidth="1"/>
    <col min="3588" max="3588" width="16" customWidth="1"/>
    <col min="3591" max="3591" width="10.33203125" bestFit="1" customWidth="1"/>
    <col min="3841" max="3841" width="3.88671875" customWidth="1"/>
    <col min="3842" max="3842" width="8.33203125" customWidth="1"/>
    <col min="3843" max="3843" width="43.5546875" customWidth="1"/>
    <col min="3844" max="3844" width="16" customWidth="1"/>
    <col min="3847" max="3847" width="10.33203125" bestFit="1" customWidth="1"/>
    <col min="4097" max="4097" width="3.88671875" customWidth="1"/>
    <col min="4098" max="4098" width="8.33203125" customWidth="1"/>
    <col min="4099" max="4099" width="43.5546875" customWidth="1"/>
    <col min="4100" max="4100" width="16" customWidth="1"/>
    <col min="4103" max="4103" width="10.33203125" bestFit="1" customWidth="1"/>
    <col min="4353" max="4353" width="3.88671875" customWidth="1"/>
    <col min="4354" max="4354" width="8.33203125" customWidth="1"/>
    <col min="4355" max="4355" width="43.5546875" customWidth="1"/>
    <col min="4356" max="4356" width="16" customWidth="1"/>
    <col min="4359" max="4359" width="10.33203125" bestFit="1" customWidth="1"/>
    <col min="4609" max="4609" width="3.88671875" customWidth="1"/>
    <col min="4610" max="4610" width="8.33203125" customWidth="1"/>
    <col min="4611" max="4611" width="43.5546875" customWidth="1"/>
    <col min="4612" max="4612" width="16" customWidth="1"/>
    <col min="4615" max="4615" width="10.33203125" bestFit="1" customWidth="1"/>
    <col min="4865" max="4865" width="3.88671875" customWidth="1"/>
    <col min="4866" max="4866" width="8.33203125" customWidth="1"/>
    <col min="4867" max="4867" width="43.5546875" customWidth="1"/>
    <col min="4868" max="4868" width="16" customWidth="1"/>
    <col min="4871" max="4871" width="10.33203125" bestFit="1" customWidth="1"/>
    <col min="5121" max="5121" width="3.88671875" customWidth="1"/>
    <col min="5122" max="5122" width="8.33203125" customWidth="1"/>
    <col min="5123" max="5123" width="43.5546875" customWidth="1"/>
    <col min="5124" max="5124" width="16" customWidth="1"/>
    <col min="5127" max="5127" width="10.33203125" bestFit="1" customWidth="1"/>
    <col min="5377" max="5377" width="3.88671875" customWidth="1"/>
    <col min="5378" max="5378" width="8.33203125" customWidth="1"/>
    <col min="5379" max="5379" width="43.5546875" customWidth="1"/>
    <col min="5380" max="5380" width="16" customWidth="1"/>
    <col min="5383" max="5383" width="10.33203125" bestFit="1" customWidth="1"/>
    <col min="5633" max="5633" width="3.88671875" customWidth="1"/>
    <col min="5634" max="5634" width="8.33203125" customWidth="1"/>
    <col min="5635" max="5635" width="43.5546875" customWidth="1"/>
    <col min="5636" max="5636" width="16" customWidth="1"/>
    <col min="5639" max="5639" width="10.33203125" bestFit="1" customWidth="1"/>
    <col min="5889" max="5889" width="3.88671875" customWidth="1"/>
    <col min="5890" max="5890" width="8.33203125" customWidth="1"/>
    <col min="5891" max="5891" width="43.5546875" customWidth="1"/>
    <col min="5892" max="5892" width="16" customWidth="1"/>
    <col min="5895" max="5895" width="10.33203125" bestFit="1" customWidth="1"/>
    <col min="6145" max="6145" width="3.88671875" customWidth="1"/>
    <col min="6146" max="6146" width="8.33203125" customWidth="1"/>
    <col min="6147" max="6147" width="43.5546875" customWidth="1"/>
    <col min="6148" max="6148" width="16" customWidth="1"/>
    <col min="6151" max="6151" width="10.33203125" bestFit="1" customWidth="1"/>
    <col min="6401" max="6401" width="3.88671875" customWidth="1"/>
    <col min="6402" max="6402" width="8.33203125" customWidth="1"/>
    <col min="6403" max="6403" width="43.5546875" customWidth="1"/>
    <col min="6404" max="6404" width="16" customWidth="1"/>
    <col min="6407" max="6407" width="10.33203125" bestFit="1" customWidth="1"/>
    <col min="6657" max="6657" width="3.88671875" customWidth="1"/>
    <col min="6658" max="6658" width="8.33203125" customWidth="1"/>
    <col min="6659" max="6659" width="43.5546875" customWidth="1"/>
    <col min="6660" max="6660" width="16" customWidth="1"/>
    <col min="6663" max="6663" width="10.33203125" bestFit="1" customWidth="1"/>
    <col min="6913" max="6913" width="3.88671875" customWidth="1"/>
    <col min="6914" max="6914" width="8.33203125" customWidth="1"/>
    <col min="6915" max="6915" width="43.5546875" customWidth="1"/>
    <col min="6916" max="6916" width="16" customWidth="1"/>
    <col min="6919" max="6919" width="10.33203125" bestFit="1" customWidth="1"/>
    <col min="7169" max="7169" width="3.88671875" customWidth="1"/>
    <col min="7170" max="7170" width="8.33203125" customWidth="1"/>
    <col min="7171" max="7171" width="43.5546875" customWidth="1"/>
    <col min="7172" max="7172" width="16" customWidth="1"/>
    <col min="7175" max="7175" width="10.33203125" bestFit="1" customWidth="1"/>
    <col min="7425" max="7425" width="3.88671875" customWidth="1"/>
    <col min="7426" max="7426" width="8.33203125" customWidth="1"/>
    <col min="7427" max="7427" width="43.5546875" customWidth="1"/>
    <col min="7428" max="7428" width="16" customWidth="1"/>
    <col min="7431" max="7431" width="10.33203125" bestFit="1" customWidth="1"/>
    <col min="7681" max="7681" width="3.88671875" customWidth="1"/>
    <col min="7682" max="7682" width="8.33203125" customWidth="1"/>
    <col min="7683" max="7683" width="43.5546875" customWidth="1"/>
    <col min="7684" max="7684" width="16" customWidth="1"/>
    <col min="7687" max="7687" width="10.33203125" bestFit="1" customWidth="1"/>
    <col min="7937" max="7937" width="3.88671875" customWidth="1"/>
    <col min="7938" max="7938" width="8.33203125" customWidth="1"/>
    <col min="7939" max="7939" width="43.5546875" customWidth="1"/>
    <col min="7940" max="7940" width="16" customWidth="1"/>
    <col min="7943" max="7943" width="10.33203125" bestFit="1" customWidth="1"/>
    <col min="8193" max="8193" width="3.88671875" customWidth="1"/>
    <col min="8194" max="8194" width="8.33203125" customWidth="1"/>
    <col min="8195" max="8195" width="43.5546875" customWidth="1"/>
    <col min="8196" max="8196" width="16" customWidth="1"/>
    <col min="8199" max="8199" width="10.33203125" bestFit="1" customWidth="1"/>
    <col min="8449" max="8449" width="3.88671875" customWidth="1"/>
    <col min="8450" max="8450" width="8.33203125" customWidth="1"/>
    <col min="8451" max="8451" width="43.5546875" customWidth="1"/>
    <col min="8452" max="8452" width="16" customWidth="1"/>
    <col min="8455" max="8455" width="10.33203125" bestFit="1" customWidth="1"/>
    <col min="8705" max="8705" width="3.88671875" customWidth="1"/>
    <col min="8706" max="8706" width="8.33203125" customWidth="1"/>
    <col min="8707" max="8707" width="43.5546875" customWidth="1"/>
    <col min="8708" max="8708" width="16" customWidth="1"/>
    <col min="8711" max="8711" width="10.33203125" bestFit="1" customWidth="1"/>
    <col min="8961" max="8961" width="3.88671875" customWidth="1"/>
    <col min="8962" max="8962" width="8.33203125" customWidth="1"/>
    <col min="8963" max="8963" width="43.5546875" customWidth="1"/>
    <col min="8964" max="8964" width="16" customWidth="1"/>
    <col min="8967" max="8967" width="10.33203125" bestFit="1" customWidth="1"/>
    <col min="9217" max="9217" width="3.88671875" customWidth="1"/>
    <col min="9218" max="9218" width="8.33203125" customWidth="1"/>
    <col min="9219" max="9219" width="43.5546875" customWidth="1"/>
    <col min="9220" max="9220" width="16" customWidth="1"/>
    <col min="9223" max="9223" width="10.33203125" bestFit="1" customWidth="1"/>
    <col min="9473" max="9473" width="3.88671875" customWidth="1"/>
    <col min="9474" max="9474" width="8.33203125" customWidth="1"/>
    <col min="9475" max="9475" width="43.5546875" customWidth="1"/>
    <col min="9476" max="9476" width="16" customWidth="1"/>
    <col min="9479" max="9479" width="10.33203125" bestFit="1" customWidth="1"/>
    <col min="9729" max="9729" width="3.88671875" customWidth="1"/>
    <col min="9730" max="9730" width="8.33203125" customWidth="1"/>
    <col min="9731" max="9731" width="43.5546875" customWidth="1"/>
    <col min="9732" max="9732" width="16" customWidth="1"/>
    <col min="9735" max="9735" width="10.33203125" bestFit="1" customWidth="1"/>
    <col min="9985" max="9985" width="3.88671875" customWidth="1"/>
    <col min="9986" max="9986" width="8.33203125" customWidth="1"/>
    <col min="9987" max="9987" width="43.5546875" customWidth="1"/>
    <col min="9988" max="9988" width="16" customWidth="1"/>
    <col min="9991" max="9991" width="10.33203125" bestFit="1" customWidth="1"/>
    <col min="10241" max="10241" width="3.88671875" customWidth="1"/>
    <col min="10242" max="10242" width="8.33203125" customWidth="1"/>
    <col min="10243" max="10243" width="43.5546875" customWidth="1"/>
    <col min="10244" max="10244" width="16" customWidth="1"/>
    <col min="10247" max="10247" width="10.33203125" bestFit="1" customWidth="1"/>
    <col min="10497" max="10497" width="3.88671875" customWidth="1"/>
    <col min="10498" max="10498" width="8.33203125" customWidth="1"/>
    <col min="10499" max="10499" width="43.5546875" customWidth="1"/>
    <col min="10500" max="10500" width="16" customWidth="1"/>
    <col min="10503" max="10503" width="10.33203125" bestFit="1" customWidth="1"/>
    <col min="10753" max="10753" width="3.88671875" customWidth="1"/>
    <col min="10754" max="10754" width="8.33203125" customWidth="1"/>
    <col min="10755" max="10755" width="43.5546875" customWidth="1"/>
    <col min="10756" max="10756" width="16" customWidth="1"/>
    <col min="10759" max="10759" width="10.33203125" bestFit="1" customWidth="1"/>
    <col min="11009" max="11009" width="3.88671875" customWidth="1"/>
    <col min="11010" max="11010" width="8.33203125" customWidth="1"/>
    <col min="11011" max="11011" width="43.5546875" customWidth="1"/>
    <col min="11012" max="11012" width="16" customWidth="1"/>
    <col min="11015" max="11015" width="10.33203125" bestFit="1" customWidth="1"/>
    <col min="11265" max="11265" width="3.88671875" customWidth="1"/>
    <col min="11266" max="11266" width="8.33203125" customWidth="1"/>
    <col min="11267" max="11267" width="43.5546875" customWidth="1"/>
    <col min="11268" max="11268" width="16" customWidth="1"/>
    <col min="11271" max="11271" width="10.33203125" bestFit="1" customWidth="1"/>
    <col min="11521" max="11521" width="3.88671875" customWidth="1"/>
    <col min="11522" max="11522" width="8.33203125" customWidth="1"/>
    <col min="11523" max="11523" width="43.5546875" customWidth="1"/>
    <col min="11524" max="11524" width="16" customWidth="1"/>
    <col min="11527" max="11527" width="10.33203125" bestFit="1" customWidth="1"/>
    <col min="11777" max="11777" width="3.88671875" customWidth="1"/>
    <col min="11778" max="11778" width="8.33203125" customWidth="1"/>
    <col min="11779" max="11779" width="43.5546875" customWidth="1"/>
    <col min="11780" max="11780" width="16" customWidth="1"/>
    <col min="11783" max="11783" width="10.33203125" bestFit="1" customWidth="1"/>
    <col min="12033" max="12033" width="3.88671875" customWidth="1"/>
    <col min="12034" max="12034" width="8.33203125" customWidth="1"/>
    <col min="12035" max="12035" width="43.5546875" customWidth="1"/>
    <col min="12036" max="12036" width="16" customWidth="1"/>
    <col min="12039" max="12039" width="10.33203125" bestFit="1" customWidth="1"/>
    <col min="12289" max="12289" width="3.88671875" customWidth="1"/>
    <col min="12290" max="12290" width="8.33203125" customWidth="1"/>
    <col min="12291" max="12291" width="43.5546875" customWidth="1"/>
    <col min="12292" max="12292" width="16" customWidth="1"/>
    <col min="12295" max="12295" width="10.33203125" bestFit="1" customWidth="1"/>
    <col min="12545" max="12545" width="3.88671875" customWidth="1"/>
    <col min="12546" max="12546" width="8.33203125" customWidth="1"/>
    <col min="12547" max="12547" width="43.5546875" customWidth="1"/>
    <col min="12548" max="12548" width="16" customWidth="1"/>
    <col min="12551" max="12551" width="10.33203125" bestFit="1" customWidth="1"/>
    <col min="12801" max="12801" width="3.88671875" customWidth="1"/>
    <col min="12802" max="12802" width="8.33203125" customWidth="1"/>
    <col min="12803" max="12803" width="43.5546875" customWidth="1"/>
    <col min="12804" max="12804" width="16" customWidth="1"/>
    <col min="12807" max="12807" width="10.33203125" bestFit="1" customWidth="1"/>
    <col min="13057" max="13057" width="3.88671875" customWidth="1"/>
    <col min="13058" max="13058" width="8.33203125" customWidth="1"/>
    <col min="13059" max="13059" width="43.5546875" customWidth="1"/>
    <col min="13060" max="13060" width="16" customWidth="1"/>
    <col min="13063" max="13063" width="10.33203125" bestFit="1" customWidth="1"/>
    <col min="13313" max="13313" width="3.88671875" customWidth="1"/>
    <col min="13314" max="13314" width="8.33203125" customWidth="1"/>
    <col min="13315" max="13315" width="43.5546875" customWidth="1"/>
    <col min="13316" max="13316" width="16" customWidth="1"/>
    <col min="13319" max="13319" width="10.33203125" bestFit="1" customWidth="1"/>
    <col min="13569" max="13569" width="3.88671875" customWidth="1"/>
    <col min="13570" max="13570" width="8.33203125" customWidth="1"/>
    <col min="13571" max="13571" width="43.5546875" customWidth="1"/>
    <col min="13572" max="13572" width="16" customWidth="1"/>
    <col min="13575" max="13575" width="10.33203125" bestFit="1" customWidth="1"/>
    <col min="13825" max="13825" width="3.88671875" customWidth="1"/>
    <col min="13826" max="13826" width="8.33203125" customWidth="1"/>
    <col min="13827" max="13827" width="43.5546875" customWidth="1"/>
    <col min="13828" max="13828" width="16" customWidth="1"/>
    <col min="13831" max="13831" width="10.33203125" bestFit="1" customWidth="1"/>
    <col min="14081" max="14081" width="3.88671875" customWidth="1"/>
    <col min="14082" max="14082" width="8.33203125" customWidth="1"/>
    <col min="14083" max="14083" width="43.5546875" customWidth="1"/>
    <col min="14084" max="14084" width="16" customWidth="1"/>
    <col min="14087" max="14087" width="10.33203125" bestFit="1" customWidth="1"/>
    <col min="14337" max="14337" width="3.88671875" customWidth="1"/>
    <col min="14338" max="14338" width="8.33203125" customWidth="1"/>
    <col min="14339" max="14339" width="43.5546875" customWidth="1"/>
    <col min="14340" max="14340" width="16" customWidth="1"/>
    <col min="14343" max="14343" width="10.33203125" bestFit="1" customWidth="1"/>
    <col min="14593" max="14593" width="3.88671875" customWidth="1"/>
    <col min="14594" max="14594" width="8.33203125" customWidth="1"/>
    <col min="14595" max="14595" width="43.5546875" customWidth="1"/>
    <col min="14596" max="14596" width="16" customWidth="1"/>
    <col min="14599" max="14599" width="10.33203125" bestFit="1" customWidth="1"/>
    <col min="14849" max="14849" width="3.88671875" customWidth="1"/>
    <col min="14850" max="14850" width="8.33203125" customWidth="1"/>
    <col min="14851" max="14851" width="43.5546875" customWidth="1"/>
    <col min="14852" max="14852" width="16" customWidth="1"/>
    <col min="14855" max="14855" width="10.33203125" bestFit="1" customWidth="1"/>
    <col min="15105" max="15105" width="3.88671875" customWidth="1"/>
    <col min="15106" max="15106" width="8.33203125" customWidth="1"/>
    <col min="15107" max="15107" width="43.5546875" customWidth="1"/>
    <col min="15108" max="15108" width="16" customWidth="1"/>
    <col min="15111" max="15111" width="10.33203125" bestFit="1" customWidth="1"/>
    <col min="15361" max="15361" width="3.88671875" customWidth="1"/>
    <col min="15362" max="15362" width="8.33203125" customWidth="1"/>
    <col min="15363" max="15363" width="43.5546875" customWidth="1"/>
    <col min="15364" max="15364" width="16" customWidth="1"/>
    <col min="15367" max="15367" width="10.33203125" bestFit="1" customWidth="1"/>
    <col min="15617" max="15617" width="3.88671875" customWidth="1"/>
    <col min="15618" max="15618" width="8.33203125" customWidth="1"/>
    <col min="15619" max="15619" width="43.5546875" customWidth="1"/>
    <col min="15620" max="15620" width="16" customWidth="1"/>
    <col min="15623" max="15623" width="10.33203125" bestFit="1" customWidth="1"/>
    <col min="15873" max="15873" width="3.88671875" customWidth="1"/>
    <col min="15874" max="15874" width="8.33203125" customWidth="1"/>
    <col min="15875" max="15875" width="43.5546875" customWidth="1"/>
    <col min="15876" max="15876" width="16" customWidth="1"/>
    <col min="15879" max="15879" width="10.33203125" bestFit="1" customWidth="1"/>
    <col min="16129" max="16129" width="3.88671875" customWidth="1"/>
    <col min="16130" max="16130" width="8.33203125" customWidth="1"/>
    <col min="16131" max="16131" width="43.5546875" customWidth="1"/>
    <col min="16132" max="16132" width="16" customWidth="1"/>
    <col min="16135" max="16135" width="10.33203125" bestFit="1" customWidth="1"/>
  </cols>
  <sheetData>
    <row r="1" spans="2:7" ht="16.8" x14ac:dyDescent="0.3">
      <c r="B1" s="95"/>
      <c r="C1" s="318" t="s">
        <v>112</v>
      </c>
      <c r="D1" s="318"/>
    </row>
    <row r="2" spans="2:7" ht="16.8" x14ac:dyDescent="0.3">
      <c r="B2" s="95"/>
      <c r="C2" s="319" t="s">
        <v>113</v>
      </c>
      <c r="D2" s="319"/>
    </row>
    <row r="3" spans="2:7" ht="16.8" x14ac:dyDescent="0.3">
      <c r="B3" s="95"/>
      <c r="C3" s="110"/>
      <c r="D3" s="110"/>
    </row>
    <row r="4" spans="2:7" ht="16.8" x14ac:dyDescent="0.3">
      <c r="B4" s="95"/>
      <c r="C4" s="320" t="s">
        <v>61</v>
      </c>
      <c r="D4" s="320"/>
    </row>
    <row r="5" spans="2:7" ht="16.8" x14ac:dyDescent="0.3">
      <c r="B5" s="95"/>
      <c r="C5" s="16" t="s">
        <v>62</v>
      </c>
      <c r="D5" s="17" t="s">
        <v>126</v>
      </c>
    </row>
    <row r="6" spans="2:7" ht="16.8" x14ac:dyDescent="0.3">
      <c r="B6" s="95"/>
      <c r="C6" s="16" t="s">
        <v>63</v>
      </c>
      <c r="D6" s="160">
        <v>0</v>
      </c>
      <c r="G6" s="3"/>
    </row>
    <row r="7" spans="2:7" ht="16.8" x14ac:dyDescent="0.3">
      <c r="B7" s="95"/>
      <c r="C7" s="16" t="s">
        <v>115</v>
      </c>
      <c r="D7" s="18"/>
    </row>
    <row r="8" spans="2:7" ht="7.5" customHeight="1" x14ac:dyDescent="0.3">
      <c r="B8" s="95"/>
      <c r="C8" s="95"/>
      <c r="D8" s="95"/>
    </row>
    <row r="9" spans="2:7" ht="16.8" x14ac:dyDescent="0.3">
      <c r="B9" s="321" t="s">
        <v>64</v>
      </c>
      <c r="C9" s="91" t="s">
        <v>65</v>
      </c>
      <c r="D9" s="20">
        <f>+'[1]Cuadro Tarifario'!G30</f>
        <v>215.48</v>
      </c>
    </row>
    <row r="10" spans="2:7" ht="16.8" x14ac:dyDescent="0.3">
      <c r="B10" s="321"/>
      <c r="C10" s="91" t="s">
        <v>116</v>
      </c>
      <c r="D10" s="20">
        <f>+D6*'[1]Cuadro Tarifario'!G31</f>
        <v>0</v>
      </c>
    </row>
    <row r="11" spans="2:7" ht="16.8" x14ac:dyDescent="0.3">
      <c r="B11" s="321"/>
      <c r="C11" s="91" t="s">
        <v>117</v>
      </c>
      <c r="D11" s="20">
        <f>+D7*'[1]Cuadro Tarifario'!G32</f>
        <v>0</v>
      </c>
    </row>
    <row r="12" spans="2:7" ht="16.8" x14ac:dyDescent="0.3">
      <c r="B12" s="321"/>
      <c r="C12" s="16" t="s">
        <v>71</v>
      </c>
      <c r="D12" s="92">
        <f>SUM(D9:D11)</f>
        <v>215.48</v>
      </c>
    </row>
    <row r="13" spans="2:7" x14ac:dyDescent="0.3">
      <c r="B13" s="95"/>
      <c r="C13" s="95"/>
      <c r="D13" s="95"/>
    </row>
    <row r="14" spans="2:7" x14ac:dyDescent="0.3">
      <c r="B14" s="95"/>
      <c r="C14" s="95"/>
      <c r="D14" s="106" t="s">
        <v>118</v>
      </c>
    </row>
    <row r="15" spans="2:7" x14ac:dyDescent="0.3">
      <c r="B15" s="95"/>
      <c r="C15" s="95"/>
      <c r="D15" s="95"/>
    </row>
    <row r="16" spans="2:7" x14ac:dyDescent="0.3">
      <c r="B16" s="95"/>
      <c r="C16" s="95"/>
      <c r="D16" s="95"/>
    </row>
  </sheetData>
  <protectedRanges>
    <protectedRange sqref="D7" name="Rango2"/>
    <protectedRange sqref="D7" name="Range1"/>
    <protectedRange sqref="D6" name="Range1_1"/>
  </protectedRanges>
  <mergeCells count="4">
    <mergeCell ref="C1:D1"/>
    <mergeCell ref="C2:D2"/>
    <mergeCell ref="C4:D4"/>
    <mergeCell ref="B9:B12"/>
  </mergeCells>
  <hyperlinks>
    <hyperlink ref="D14" location="Entrada!D3" display="Volver" xr:uid="{EC3AA36C-1F74-4A34-8893-9321696F132B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7710-201B-4D52-8246-BCDD00B363B0}">
  <sheetPr codeName="Sheet11">
    <tabColor rgb="FFFFFF00"/>
  </sheetPr>
  <dimension ref="B1:D16"/>
  <sheetViews>
    <sheetView topLeftCell="A2" workbookViewId="0">
      <selection activeCell="K22" sqref="K22"/>
    </sheetView>
  </sheetViews>
  <sheetFormatPr baseColWidth="10" defaultColWidth="9.109375" defaultRowHeight="14.4" x14ac:dyDescent="0.3"/>
  <cols>
    <col min="1" max="1" width="3.88671875" customWidth="1"/>
    <col min="2" max="2" width="8.33203125" customWidth="1"/>
    <col min="3" max="3" width="43.5546875" customWidth="1"/>
    <col min="4" max="4" width="15.44140625" customWidth="1"/>
    <col min="257" max="257" width="3.88671875" customWidth="1"/>
    <col min="258" max="258" width="8.33203125" customWidth="1"/>
    <col min="259" max="259" width="43.5546875" customWidth="1"/>
    <col min="260" max="260" width="15.44140625" customWidth="1"/>
    <col min="513" max="513" width="3.88671875" customWidth="1"/>
    <col min="514" max="514" width="8.33203125" customWidth="1"/>
    <col min="515" max="515" width="43.5546875" customWidth="1"/>
    <col min="516" max="516" width="15.44140625" customWidth="1"/>
    <col min="769" max="769" width="3.88671875" customWidth="1"/>
    <col min="770" max="770" width="8.33203125" customWidth="1"/>
    <col min="771" max="771" width="43.5546875" customWidth="1"/>
    <col min="772" max="772" width="15.44140625" customWidth="1"/>
    <col min="1025" max="1025" width="3.88671875" customWidth="1"/>
    <col min="1026" max="1026" width="8.33203125" customWidth="1"/>
    <col min="1027" max="1027" width="43.5546875" customWidth="1"/>
    <col min="1028" max="1028" width="15.44140625" customWidth="1"/>
    <col min="1281" max="1281" width="3.88671875" customWidth="1"/>
    <col min="1282" max="1282" width="8.33203125" customWidth="1"/>
    <col min="1283" max="1283" width="43.5546875" customWidth="1"/>
    <col min="1284" max="1284" width="15.44140625" customWidth="1"/>
    <col min="1537" max="1537" width="3.88671875" customWidth="1"/>
    <col min="1538" max="1538" width="8.33203125" customWidth="1"/>
    <col min="1539" max="1539" width="43.5546875" customWidth="1"/>
    <col min="1540" max="1540" width="15.44140625" customWidth="1"/>
    <col min="1793" max="1793" width="3.88671875" customWidth="1"/>
    <col min="1794" max="1794" width="8.33203125" customWidth="1"/>
    <col min="1795" max="1795" width="43.5546875" customWidth="1"/>
    <col min="1796" max="1796" width="15.44140625" customWidth="1"/>
    <col min="2049" max="2049" width="3.88671875" customWidth="1"/>
    <col min="2050" max="2050" width="8.33203125" customWidth="1"/>
    <col min="2051" max="2051" width="43.5546875" customWidth="1"/>
    <col min="2052" max="2052" width="15.44140625" customWidth="1"/>
    <col min="2305" max="2305" width="3.88671875" customWidth="1"/>
    <col min="2306" max="2306" width="8.33203125" customWidth="1"/>
    <col min="2307" max="2307" width="43.5546875" customWidth="1"/>
    <col min="2308" max="2308" width="15.44140625" customWidth="1"/>
    <col min="2561" max="2561" width="3.88671875" customWidth="1"/>
    <col min="2562" max="2562" width="8.33203125" customWidth="1"/>
    <col min="2563" max="2563" width="43.5546875" customWidth="1"/>
    <col min="2564" max="2564" width="15.44140625" customWidth="1"/>
    <col min="2817" max="2817" width="3.88671875" customWidth="1"/>
    <col min="2818" max="2818" width="8.33203125" customWidth="1"/>
    <col min="2819" max="2819" width="43.5546875" customWidth="1"/>
    <col min="2820" max="2820" width="15.44140625" customWidth="1"/>
    <col min="3073" max="3073" width="3.88671875" customWidth="1"/>
    <col min="3074" max="3074" width="8.33203125" customWidth="1"/>
    <col min="3075" max="3075" width="43.5546875" customWidth="1"/>
    <col min="3076" max="3076" width="15.44140625" customWidth="1"/>
    <col min="3329" max="3329" width="3.88671875" customWidth="1"/>
    <col min="3330" max="3330" width="8.33203125" customWidth="1"/>
    <col min="3331" max="3331" width="43.5546875" customWidth="1"/>
    <col min="3332" max="3332" width="15.44140625" customWidth="1"/>
    <col min="3585" max="3585" width="3.88671875" customWidth="1"/>
    <col min="3586" max="3586" width="8.33203125" customWidth="1"/>
    <col min="3587" max="3587" width="43.5546875" customWidth="1"/>
    <col min="3588" max="3588" width="15.44140625" customWidth="1"/>
    <col min="3841" max="3841" width="3.88671875" customWidth="1"/>
    <col min="3842" max="3842" width="8.33203125" customWidth="1"/>
    <col min="3843" max="3843" width="43.5546875" customWidth="1"/>
    <col min="3844" max="3844" width="15.44140625" customWidth="1"/>
    <col min="4097" max="4097" width="3.88671875" customWidth="1"/>
    <col min="4098" max="4098" width="8.33203125" customWidth="1"/>
    <col min="4099" max="4099" width="43.5546875" customWidth="1"/>
    <col min="4100" max="4100" width="15.44140625" customWidth="1"/>
    <col min="4353" max="4353" width="3.88671875" customWidth="1"/>
    <col min="4354" max="4354" width="8.33203125" customWidth="1"/>
    <col min="4355" max="4355" width="43.5546875" customWidth="1"/>
    <col min="4356" max="4356" width="15.44140625" customWidth="1"/>
    <col min="4609" max="4609" width="3.88671875" customWidth="1"/>
    <col min="4610" max="4610" width="8.33203125" customWidth="1"/>
    <col min="4611" max="4611" width="43.5546875" customWidth="1"/>
    <col min="4612" max="4612" width="15.44140625" customWidth="1"/>
    <col min="4865" max="4865" width="3.88671875" customWidth="1"/>
    <col min="4866" max="4866" width="8.33203125" customWidth="1"/>
    <col min="4867" max="4867" width="43.5546875" customWidth="1"/>
    <col min="4868" max="4868" width="15.44140625" customWidth="1"/>
    <col min="5121" max="5121" width="3.88671875" customWidth="1"/>
    <col min="5122" max="5122" width="8.33203125" customWidth="1"/>
    <col min="5123" max="5123" width="43.5546875" customWidth="1"/>
    <col min="5124" max="5124" width="15.44140625" customWidth="1"/>
    <col min="5377" max="5377" width="3.88671875" customWidth="1"/>
    <col min="5378" max="5378" width="8.33203125" customWidth="1"/>
    <col min="5379" max="5379" width="43.5546875" customWidth="1"/>
    <col min="5380" max="5380" width="15.44140625" customWidth="1"/>
    <col min="5633" max="5633" width="3.88671875" customWidth="1"/>
    <col min="5634" max="5634" width="8.33203125" customWidth="1"/>
    <col min="5635" max="5635" width="43.5546875" customWidth="1"/>
    <col min="5636" max="5636" width="15.44140625" customWidth="1"/>
    <col min="5889" max="5889" width="3.88671875" customWidth="1"/>
    <col min="5890" max="5890" width="8.33203125" customWidth="1"/>
    <col min="5891" max="5891" width="43.5546875" customWidth="1"/>
    <col min="5892" max="5892" width="15.44140625" customWidth="1"/>
    <col min="6145" max="6145" width="3.88671875" customWidth="1"/>
    <col min="6146" max="6146" width="8.33203125" customWidth="1"/>
    <col min="6147" max="6147" width="43.5546875" customWidth="1"/>
    <col min="6148" max="6148" width="15.44140625" customWidth="1"/>
    <col min="6401" max="6401" width="3.88671875" customWidth="1"/>
    <col min="6402" max="6402" width="8.33203125" customWidth="1"/>
    <col min="6403" max="6403" width="43.5546875" customWidth="1"/>
    <col min="6404" max="6404" width="15.44140625" customWidth="1"/>
    <col min="6657" max="6657" width="3.88671875" customWidth="1"/>
    <col min="6658" max="6658" width="8.33203125" customWidth="1"/>
    <col min="6659" max="6659" width="43.5546875" customWidth="1"/>
    <col min="6660" max="6660" width="15.44140625" customWidth="1"/>
    <col min="6913" max="6913" width="3.88671875" customWidth="1"/>
    <col min="6914" max="6914" width="8.33203125" customWidth="1"/>
    <col min="6915" max="6915" width="43.5546875" customWidth="1"/>
    <col min="6916" max="6916" width="15.44140625" customWidth="1"/>
    <col min="7169" max="7169" width="3.88671875" customWidth="1"/>
    <col min="7170" max="7170" width="8.33203125" customWidth="1"/>
    <col min="7171" max="7171" width="43.5546875" customWidth="1"/>
    <col min="7172" max="7172" width="15.44140625" customWidth="1"/>
    <col min="7425" max="7425" width="3.88671875" customWidth="1"/>
    <col min="7426" max="7426" width="8.33203125" customWidth="1"/>
    <col min="7427" max="7427" width="43.5546875" customWidth="1"/>
    <col min="7428" max="7428" width="15.44140625" customWidth="1"/>
    <col min="7681" max="7681" width="3.88671875" customWidth="1"/>
    <col min="7682" max="7682" width="8.33203125" customWidth="1"/>
    <col min="7683" max="7683" width="43.5546875" customWidth="1"/>
    <col min="7684" max="7684" width="15.44140625" customWidth="1"/>
    <col min="7937" max="7937" width="3.88671875" customWidth="1"/>
    <col min="7938" max="7938" width="8.33203125" customWidth="1"/>
    <col min="7939" max="7939" width="43.5546875" customWidth="1"/>
    <col min="7940" max="7940" width="15.44140625" customWidth="1"/>
    <col min="8193" max="8193" width="3.88671875" customWidth="1"/>
    <col min="8194" max="8194" width="8.33203125" customWidth="1"/>
    <col min="8195" max="8195" width="43.5546875" customWidth="1"/>
    <col min="8196" max="8196" width="15.44140625" customWidth="1"/>
    <col min="8449" max="8449" width="3.88671875" customWidth="1"/>
    <col min="8450" max="8450" width="8.33203125" customWidth="1"/>
    <col min="8451" max="8451" width="43.5546875" customWidth="1"/>
    <col min="8452" max="8452" width="15.44140625" customWidth="1"/>
    <col min="8705" max="8705" width="3.88671875" customWidth="1"/>
    <col min="8706" max="8706" width="8.33203125" customWidth="1"/>
    <col min="8707" max="8707" width="43.5546875" customWidth="1"/>
    <col min="8708" max="8708" width="15.44140625" customWidth="1"/>
    <col min="8961" max="8961" width="3.88671875" customWidth="1"/>
    <col min="8962" max="8962" width="8.33203125" customWidth="1"/>
    <col min="8963" max="8963" width="43.5546875" customWidth="1"/>
    <col min="8964" max="8964" width="15.44140625" customWidth="1"/>
    <col min="9217" max="9217" width="3.88671875" customWidth="1"/>
    <col min="9218" max="9218" width="8.33203125" customWidth="1"/>
    <col min="9219" max="9219" width="43.5546875" customWidth="1"/>
    <col min="9220" max="9220" width="15.44140625" customWidth="1"/>
    <col min="9473" max="9473" width="3.88671875" customWidth="1"/>
    <col min="9474" max="9474" width="8.33203125" customWidth="1"/>
    <col min="9475" max="9475" width="43.5546875" customWidth="1"/>
    <col min="9476" max="9476" width="15.44140625" customWidth="1"/>
    <col min="9729" max="9729" width="3.88671875" customWidth="1"/>
    <col min="9730" max="9730" width="8.33203125" customWidth="1"/>
    <col min="9731" max="9731" width="43.5546875" customWidth="1"/>
    <col min="9732" max="9732" width="15.44140625" customWidth="1"/>
    <col min="9985" max="9985" width="3.88671875" customWidth="1"/>
    <col min="9986" max="9986" width="8.33203125" customWidth="1"/>
    <col min="9987" max="9987" width="43.5546875" customWidth="1"/>
    <col min="9988" max="9988" width="15.44140625" customWidth="1"/>
    <col min="10241" max="10241" width="3.88671875" customWidth="1"/>
    <col min="10242" max="10242" width="8.33203125" customWidth="1"/>
    <col min="10243" max="10243" width="43.5546875" customWidth="1"/>
    <col min="10244" max="10244" width="15.44140625" customWidth="1"/>
    <col min="10497" max="10497" width="3.88671875" customWidth="1"/>
    <col min="10498" max="10498" width="8.33203125" customWidth="1"/>
    <col min="10499" max="10499" width="43.5546875" customWidth="1"/>
    <col min="10500" max="10500" width="15.44140625" customWidth="1"/>
    <col min="10753" max="10753" width="3.88671875" customWidth="1"/>
    <col min="10754" max="10754" width="8.33203125" customWidth="1"/>
    <col min="10755" max="10755" width="43.5546875" customWidth="1"/>
    <col min="10756" max="10756" width="15.44140625" customWidth="1"/>
    <col min="11009" max="11009" width="3.88671875" customWidth="1"/>
    <col min="11010" max="11010" width="8.33203125" customWidth="1"/>
    <col min="11011" max="11011" width="43.5546875" customWidth="1"/>
    <col min="11012" max="11012" width="15.44140625" customWidth="1"/>
    <col min="11265" max="11265" width="3.88671875" customWidth="1"/>
    <col min="11266" max="11266" width="8.33203125" customWidth="1"/>
    <col min="11267" max="11267" width="43.5546875" customWidth="1"/>
    <col min="11268" max="11268" width="15.44140625" customWidth="1"/>
    <col min="11521" max="11521" width="3.88671875" customWidth="1"/>
    <col min="11522" max="11522" width="8.33203125" customWidth="1"/>
    <col min="11523" max="11523" width="43.5546875" customWidth="1"/>
    <col min="11524" max="11524" width="15.44140625" customWidth="1"/>
    <col min="11777" max="11777" width="3.88671875" customWidth="1"/>
    <col min="11778" max="11778" width="8.33203125" customWidth="1"/>
    <col min="11779" max="11779" width="43.5546875" customWidth="1"/>
    <col min="11780" max="11780" width="15.44140625" customWidth="1"/>
    <col min="12033" max="12033" width="3.88671875" customWidth="1"/>
    <col min="12034" max="12034" width="8.33203125" customWidth="1"/>
    <col min="12035" max="12035" width="43.5546875" customWidth="1"/>
    <col min="12036" max="12036" width="15.44140625" customWidth="1"/>
    <col min="12289" max="12289" width="3.88671875" customWidth="1"/>
    <col min="12290" max="12290" width="8.33203125" customWidth="1"/>
    <col min="12291" max="12291" width="43.5546875" customWidth="1"/>
    <col min="12292" max="12292" width="15.44140625" customWidth="1"/>
    <col min="12545" max="12545" width="3.88671875" customWidth="1"/>
    <col min="12546" max="12546" width="8.33203125" customWidth="1"/>
    <col min="12547" max="12547" width="43.5546875" customWidth="1"/>
    <col min="12548" max="12548" width="15.44140625" customWidth="1"/>
    <col min="12801" max="12801" width="3.88671875" customWidth="1"/>
    <col min="12802" max="12802" width="8.33203125" customWidth="1"/>
    <col min="12803" max="12803" width="43.5546875" customWidth="1"/>
    <col min="12804" max="12804" width="15.44140625" customWidth="1"/>
    <col min="13057" max="13057" width="3.88671875" customWidth="1"/>
    <col min="13058" max="13058" width="8.33203125" customWidth="1"/>
    <col min="13059" max="13059" width="43.5546875" customWidth="1"/>
    <col min="13060" max="13060" width="15.44140625" customWidth="1"/>
    <col min="13313" max="13313" width="3.88671875" customWidth="1"/>
    <col min="13314" max="13314" width="8.33203125" customWidth="1"/>
    <col min="13315" max="13315" width="43.5546875" customWidth="1"/>
    <col min="13316" max="13316" width="15.44140625" customWidth="1"/>
    <col min="13569" max="13569" width="3.88671875" customWidth="1"/>
    <col min="13570" max="13570" width="8.33203125" customWidth="1"/>
    <col min="13571" max="13571" width="43.5546875" customWidth="1"/>
    <col min="13572" max="13572" width="15.44140625" customWidth="1"/>
    <col min="13825" max="13825" width="3.88671875" customWidth="1"/>
    <col min="13826" max="13826" width="8.33203125" customWidth="1"/>
    <col min="13827" max="13827" width="43.5546875" customWidth="1"/>
    <col min="13828" max="13828" width="15.44140625" customWidth="1"/>
    <col min="14081" max="14081" width="3.88671875" customWidth="1"/>
    <col min="14082" max="14082" width="8.33203125" customWidth="1"/>
    <col min="14083" max="14083" width="43.5546875" customWidth="1"/>
    <col min="14084" max="14084" width="15.44140625" customWidth="1"/>
    <col min="14337" max="14337" width="3.88671875" customWidth="1"/>
    <col min="14338" max="14338" width="8.33203125" customWidth="1"/>
    <col min="14339" max="14339" width="43.5546875" customWidth="1"/>
    <col min="14340" max="14340" width="15.44140625" customWidth="1"/>
    <col min="14593" max="14593" width="3.88671875" customWidth="1"/>
    <col min="14594" max="14594" width="8.33203125" customWidth="1"/>
    <col min="14595" max="14595" width="43.5546875" customWidth="1"/>
    <col min="14596" max="14596" width="15.44140625" customWidth="1"/>
    <col min="14849" max="14849" width="3.88671875" customWidth="1"/>
    <col min="14850" max="14850" width="8.33203125" customWidth="1"/>
    <col min="14851" max="14851" width="43.5546875" customWidth="1"/>
    <col min="14852" max="14852" width="15.44140625" customWidth="1"/>
    <col min="15105" max="15105" width="3.88671875" customWidth="1"/>
    <col min="15106" max="15106" width="8.33203125" customWidth="1"/>
    <col min="15107" max="15107" width="43.5546875" customWidth="1"/>
    <col min="15108" max="15108" width="15.44140625" customWidth="1"/>
    <col min="15361" max="15361" width="3.88671875" customWidth="1"/>
    <col min="15362" max="15362" width="8.33203125" customWidth="1"/>
    <col min="15363" max="15363" width="43.5546875" customWidth="1"/>
    <col min="15364" max="15364" width="15.44140625" customWidth="1"/>
    <col min="15617" max="15617" width="3.88671875" customWidth="1"/>
    <col min="15618" max="15618" width="8.33203125" customWidth="1"/>
    <col min="15619" max="15619" width="43.5546875" customWidth="1"/>
    <col min="15620" max="15620" width="15.44140625" customWidth="1"/>
    <col min="15873" max="15873" width="3.88671875" customWidth="1"/>
    <col min="15874" max="15874" width="8.33203125" customWidth="1"/>
    <col min="15875" max="15875" width="43.5546875" customWidth="1"/>
    <col min="15876" max="15876" width="15.44140625" customWidth="1"/>
    <col min="16129" max="16129" width="3.88671875" customWidth="1"/>
    <col min="16130" max="16130" width="8.33203125" customWidth="1"/>
    <col min="16131" max="16131" width="43.5546875" customWidth="1"/>
    <col min="16132" max="16132" width="15.44140625" customWidth="1"/>
  </cols>
  <sheetData>
    <row r="1" spans="2:4" ht="16.8" x14ac:dyDescent="0.3">
      <c r="B1" s="95"/>
      <c r="C1" s="318" t="s">
        <v>112</v>
      </c>
      <c r="D1" s="318"/>
    </row>
    <row r="2" spans="2:4" ht="16.8" x14ac:dyDescent="0.3">
      <c r="B2" s="95"/>
      <c r="C2" s="319" t="s">
        <v>113</v>
      </c>
      <c r="D2" s="319"/>
    </row>
    <row r="3" spans="2:4" ht="16.8" x14ac:dyDescent="0.3">
      <c r="B3" s="95"/>
      <c r="C3" s="110"/>
      <c r="D3" s="110"/>
    </row>
    <row r="4" spans="2:4" ht="16.8" x14ac:dyDescent="0.3">
      <c r="B4" s="89"/>
      <c r="C4" s="322" t="s">
        <v>61</v>
      </c>
      <c r="D4" s="323"/>
    </row>
    <row r="5" spans="2:4" ht="16.8" x14ac:dyDescent="0.3">
      <c r="B5" s="89"/>
      <c r="C5" s="16" t="s">
        <v>62</v>
      </c>
      <c r="D5" s="17" t="s">
        <v>128</v>
      </c>
    </row>
    <row r="6" spans="2:4" ht="16.8" x14ac:dyDescent="0.3">
      <c r="B6" s="89"/>
      <c r="C6" s="16" t="s">
        <v>63</v>
      </c>
      <c r="D6" s="160">
        <v>0</v>
      </c>
    </row>
    <row r="7" spans="2:4" ht="16.8" x14ac:dyDescent="0.3">
      <c r="B7" s="89"/>
      <c r="C7" s="16" t="s">
        <v>131</v>
      </c>
      <c r="D7" s="18"/>
    </row>
    <row r="8" spans="2:4" ht="16.8" x14ac:dyDescent="0.3">
      <c r="B8" s="89"/>
      <c r="C8" s="16" t="s">
        <v>132</v>
      </c>
      <c r="D8" s="18"/>
    </row>
    <row r="9" spans="2:4" ht="3.75" customHeight="1" x14ac:dyDescent="0.3">
      <c r="B9" s="89"/>
      <c r="C9" s="89"/>
      <c r="D9" s="89"/>
    </row>
    <row r="10" spans="2:4" ht="16.8" x14ac:dyDescent="0.3">
      <c r="B10" s="321" t="s">
        <v>64</v>
      </c>
      <c r="C10" s="91" t="s">
        <v>65</v>
      </c>
      <c r="D10" s="20">
        <f>+'[1]Cuadro Tarifario'!G34</f>
        <v>164.32</v>
      </c>
    </row>
    <row r="11" spans="2:4" ht="16.8" x14ac:dyDescent="0.3">
      <c r="B11" s="321"/>
      <c r="C11" s="91" t="s">
        <v>116</v>
      </c>
      <c r="D11" s="20">
        <f>+D6*'[1]Cuadro Tarifario'!G35</f>
        <v>0</v>
      </c>
    </row>
    <row r="12" spans="2:4" ht="16.8" x14ac:dyDescent="0.3">
      <c r="B12" s="321"/>
      <c r="C12" s="91" t="s">
        <v>117</v>
      </c>
      <c r="D12" s="20">
        <f>+D7*'[1]Cuadro Tarifario'!G36</f>
        <v>0</v>
      </c>
    </row>
    <row r="13" spans="2:4" ht="16.8" x14ac:dyDescent="0.3">
      <c r="B13" s="321"/>
      <c r="C13" s="91" t="s">
        <v>133</v>
      </c>
      <c r="D13" s="20">
        <f>+D8*'[1]Cuadro Tarifario'!G37</f>
        <v>0</v>
      </c>
    </row>
    <row r="14" spans="2:4" ht="16.8" x14ac:dyDescent="0.3">
      <c r="B14" s="321"/>
      <c r="C14" s="16" t="s">
        <v>71</v>
      </c>
      <c r="D14" s="111">
        <f>SUM(D10:D13)</f>
        <v>164.32</v>
      </c>
    </row>
    <row r="16" spans="2:4" x14ac:dyDescent="0.3">
      <c r="D16" s="112" t="s">
        <v>118</v>
      </c>
    </row>
  </sheetData>
  <protectedRanges>
    <protectedRange sqref="D7:D8" name="Rango1"/>
    <protectedRange sqref="D6" name="Range1"/>
  </protectedRanges>
  <mergeCells count="4">
    <mergeCell ref="C1:D1"/>
    <mergeCell ref="C2:D2"/>
    <mergeCell ref="C4:D4"/>
    <mergeCell ref="B10:B14"/>
  </mergeCells>
  <hyperlinks>
    <hyperlink ref="D16" location="Entrada!D3" display="Volver" xr:uid="{492B24B9-9A51-4794-8394-B8A683D34C0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97E70-321C-40C6-86D6-052D605F5AFF}">
  <sheetPr codeName="Sheet12">
    <tabColor rgb="FFFFFF00"/>
  </sheetPr>
  <dimension ref="B1:D14"/>
  <sheetViews>
    <sheetView workbookViewId="0">
      <selection activeCell="K26" sqref="K26"/>
    </sheetView>
  </sheetViews>
  <sheetFormatPr baseColWidth="10" defaultColWidth="9.109375" defaultRowHeight="14.4" x14ac:dyDescent="0.3"/>
  <cols>
    <col min="1" max="1" width="3.88671875" customWidth="1"/>
    <col min="2" max="2" width="8.33203125" customWidth="1"/>
    <col min="3" max="3" width="43.5546875" customWidth="1"/>
    <col min="4" max="4" width="17.88671875" customWidth="1"/>
    <col min="257" max="257" width="3.88671875" customWidth="1"/>
    <col min="258" max="258" width="8.33203125" customWidth="1"/>
    <col min="259" max="259" width="43.5546875" customWidth="1"/>
    <col min="260" max="260" width="17.88671875" customWidth="1"/>
    <col min="513" max="513" width="3.88671875" customWidth="1"/>
    <col min="514" max="514" width="8.33203125" customWidth="1"/>
    <col min="515" max="515" width="43.5546875" customWidth="1"/>
    <col min="516" max="516" width="17.88671875" customWidth="1"/>
    <col min="769" max="769" width="3.88671875" customWidth="1"/>
    <col min="770" max="770" width="8.33203125" customWidth="1"/>
    <col min="771" max="771" width="43.5546875" customWidth="1"/>
    <col min="772" max="772" width="17.88671875" customWidth="1"/>
    <col min="1025" max="1025" width="3.88671875" customWidth="1"/>
    <col min="1026" max="1026" width="8.33203125" customWidth="1"/>
    <col min="1027" max="1027" width="43.5546875" customWidth="1"/>
    <col min="1028" max="1028" width="17.88671875" customWidth="1"/>
    <col min="1281" max="1281" width="3.88671875" customWidth="1"/>
    <col min="1282" max="1282" width="8.33203125" customWidth="1"/>
    <col min="1283" max="1283" width="43.5546875" customWidth="1"/>
    <col min="1284" max="1284" width="17.88671875" customWidth="1"/>
    <col min="1537" max="1537" width="3.88671875" customWidth="1"/>
    <col min="1538" max="1538" width="8.33203125" customWidth="1"/>
    <col min="1539" max="1539" width="43.5546875" customWidth="1"/>
    <col min="1540" max="1540" width="17.88671875" customWidth="1"/>
    <col min="1793" max="1793" width="3.88671875" customWidth="1"/>
    <col min="1794" max="1794" width="8.33203125" customWidth="1"/>
    <col min="1795" max="1795" width="43.5546875" customWidth="1"/>
    <col min="1796" max="1796" width="17.88671875" customWidth="1"/>
    <col min="2049" max="2049" width="3.88671875" customWidth="1"/>
    <col min="2050" max="2050" width="8.33203125" customWidth="1"/>
    <col min="2051" max="2051" width="43.5546875" customWidth="1"/>
    <col min="2052" max="2052" width="17.88671875" customWidth="1"/>
    <col min="2305" max="2305" width="3.88671875" customWidth="1"/>
    <col min="2306" max="2306" width="8.33203125" customWidth="1"/>
    <col min="2307" max="2307" width="43.5546875" customWidth="1"/>
    <col min="2308" max="2308" width="17.88671875" customWidth="1"/>
    <col min="2561" max="2561" width="3.88671875" customWidth="1"/>
    <col min="2562" max="2562" width="8.33203125" customWidth="1"/>
    <col min="2563" max="2563" width="43.5546875" customWidth="1"/>
    <col min="2564" max="2564" width="17.88671875" customWidth="1"/>
    <col min="2817" max="2817" width="3.88671875" customWidth="1"/>
    <col min="2818" max="2818" width="8.33203125" customWidth="1"/>
    <col min="2819" max="2819" width="43.5546875" customWidth="1"/>
    <col min="2820" max="2820" width="17.88671875" customWidth="1"/>
    <col min="3073" max="3073" width="3.88671875" customWidth="1"/>
    <col min="3074" max="3074" width="8.33203125" customWidth="1"/>
    <col min="3075" max="3075" width="43.5546875" customWidth="1"/>
    <col min="3076" max="3076" width="17.88671875" customWidth="1"/>
    <col min="3329" max="3329" width="3.88671875" customWidth="1"/>
    <col min="3330" max="3330" width="8.33203125" customWidth="1"/>
    <col min="3331" max="3331" width="43.5546875" customWidth="1"/>
    <col min="3332" max="3332" width="17.88671875" customWidth="1"/>
    <col min="3585" max="3585" width="3.88671875" customWidth="1"/>
    <col min="3586" max="3586" width="8.33203125" customWidth="1"/>
    <col min="3587" max="3587" width="43.5546875" customWidth="1"/>
    <col min="3588" max="3588" width="17.88671875" customWidth="1"/>
    <col min="3841" max="3841" width="3.88671875" customWidth="1"/>
    <col min="3842" max="3842" width="8.33203125" customWidth="1"/>
    <col min="3843" max="3843" width="43.5546875" customWidth="1"/>
    <col min="3844" max="3844" width="17.88671875" customWidth="1"/>
    <col min="4097" max="4097" width="3.88671875" customWidth="1"/>
    <col min="4098" max="4098" width="8.33203125" customWidth="1"/>
    <col min="4099" max="4099" width="43.5546875" customWidth="1"/>
    <col min="4100" max="4100" width="17.88671875" customWidth="1"/>
    <col min="4353" max="4353" width="3.88671875" customWidth="1"/>
    <col min="4354" max="4354" width="8.33203125" customWidth="1"/>
    <col min="4355" max="4355" width="43.5546875" customWidth="1"/>
    <col min="4356" max="4356" width="17.88671875" customWidth="1"/>
    <col min="4609" max="4609" width="3.88671875" customWidth="1"/>
    <col min="4610" max="4610" width="8.33203125" customWidth="1"/>
    <col min="4611" max="4611" width="43.5546875" customWidth="1"/>
    <col min="4612" max="4612" width="17.88671875" customWidth="1"/>
    <col min="4865" max="4865" width="3.88671875" customWidth="1"/>
    <col min="4866" max="4866" width="8.33203125" customWidth="1"/>
    <col min="4867" max="4867" width="43.5546875" customWidth="1"/>
    <col min="4868" max="4868" width="17.88671875" customWidth="1"/>
    <col min="5121" max="5121" width="3.88671875" customWidth="1"/>
    <col min="5122" max="5122" width="8.33203125" customWidth="1"/>
    <col min="5123" max="5123" width="43.5546875" customWidth="1"/>
    <col min="5124" max="5124" width="17.88671875" customWidth="1"/>
    <col min="5377" max="5377" width="3.88671875" customWidth="1"/>
    <col min="5378" max="5378" width="8.33203125" customWidth="1"/>
    <col min="5379" max="5379" width="43.5546875" customWidth="1"/>
    <col min="5380" max="5380" width="17.88671875" customWidth="1"/>
    <col min="5633" max="5633" width="3.88671875" customWidth="1"/>
    <col min="5634" max="5634" width="8.33203125" customWidth="1"/>
    <col min="5635" max="5635" width="43.5546875" customWidth="1"/>
    <col min="5636" max="5636" width="17.88671875" customWidth="1"/>
    <col min="5889" max="5889" width="3.88671875" customWidth="1"/>
    <col min="5890" max="5890" width="8.33203125" customWidth="1"/>
    <col min="5891" max="5891" width="43.5546875" customWidth="1"/>
    <col min="5892" max="5892" width="17.88671875" customWidth="1"/>
    <col min="6145" max="6145" width="3.88671875" customWidth="1"/>
    <col min="6146" max="6146" width="8.33203125" customWidth="1"/>
    <col min="6147" max="6147" width="43.5546875" customWidth="1"/>
    <col min="6148" max="6148" width="17.88671875" customWidth="1"/>
    <col min="6401" max="6401" width="3.88671875" customWidth="1"/>
    <col min="6402" max="6402" width="8.33203125" customWidth="1"/>
    <col min="6403" max="6403" width="43.5546875" customWidth="1"/>
    <col min="6404" max="6404" width="17.88671875" customWidth="1"/>
    <col min="6657" max="6657" width="3.88671875" customWidth="1"/>
    <col min="6658" max="6658" width="8.33203125" customWidth="1"/>
    <col min="6659" max="6659" width="43.5546875" customWidth="1"/>
    <col min="6660" max="6660" width="17.88671875" customWidth="1"/>
    <col min="6913" max="6913" width="3.88671875" customWidth="1"/>
    <col min="6914" max="6914" width="8.33203125" customWidth="1"/>
    <col min="6915" max="6915" width="43.5546875" customWidth="1"/>
    <col min="6916" max="6916" width="17.88671875" customWidth="1"/>
    <col min="7169" max="7169" width="3.88671875" customWidth="1"/>
    <col min="7170" max="7170" width="8.33203125" customWidth="1"/>
    <col min="7171" max="7171" width="43.5546875" customWidth="1"/>
    <col min="7172" max="7172" width="17.88671875" customWidth="1"/>
    <col min="7425" max="7425" width="3.88671875" customWidth="1"/>
    <col min="7426" max="7426" width="8.33203125" customWidth="1"/>
    <col min="7427" max="7427" width="43.5546875" customWidth="1"/>
    <col min="7428" max="7428" width="17.88671875" customWidth="1"/>
    <col min="7681" max="7681" width="3.88671875" customWidth="1"/>
    <col min="7682" max="7682" width="8.33203125" customWidth="1"/>
    <col min="7683" max="7683" width="43.5546875" customWidth="1"/>
    <col min="7684" max="7684" width="17.88671875" customWidth="1"/>
    <col min="7937" max="7937" width="3.88671875" customWidth="1"/>
    <col min="7938" max="7938" width="8.33203125" customWidth="1"/>
    <col min="7939" max="7939" width="43.5546875" customWidth="1"/>
    <col min="7940" max="7940" width="17.88671875" customWidth="1"/>
    <col min="8193" max="8193" width="3.88671875" customWidth="1"/>
    <col min="8194" max="8194" width="8.33203125" customWidth="1"/>
    <col min="8195" max="8195" width="43.5546875" customWidth="1"/>
    <col min="8196" max="8196" width="17.88671875" customWidth="1"/>
    <col min="8449" max="8449" width="3.88671875" customWidth="1"/>
    <col min="8450" max="8450" width="8.33203125" customWidth="1"/>
    <col min="8451" max="8451" width="43.5546875" customWidth="1"/>
    <col min="8452" max="8452" width="17.88671875" customWidth="1"/>
    <col min="8705" max="8705" width="3.88671875" customWidth="1"/>
    <col min="8706" max="8706" width="8.33203125" customWidth="1"/>
    <col min="8707" max="8707" width="43.5546875" customWidth="1"/>
    <col min="8708" max="8708" width="17.88671875" customWidth="1"/>
    <col min="8961" max="8961" width="3.88671875" customWidth="1"/>
    <col min="8962" max="8962" width="8.33203125" customWidth="1"/>
    <col min="8963" max="8963" width="43.5546875" customWidth="1"/>
    <col min="8964" max="8964" width="17.88671875" customWidth="1"/>
    <col min="9217" max="9217" width="3.88671875" customWidth="1"/>
    <col min="9218" max="9218" width="8.33203125" customWidth="1"/>
    <col min="9219" max="9219" width="43.5546875" customWidth="1"/>
    <col min="9220" max="9220" width="17.88671875" customWidth="1"/>
    <col min="9473" max="9473" width="3.88671875" customWidth="1"/>
    <col min="9474" max="9474" width="8.33203125" customWidth="1"/>
    <col min="9475" max="9475" width="43.5546875" customWidth="1"/>
    <col min="9476" max="9476" width="17.88671875" customWidth="1"/>
    <col min="9729" max="9729" width="3.88671875" customWidth="1"/>
    <col min="9730" max="9730" width="8.33203125" customWidth="1"/>
    <col min="9731" max="9731" width="43.5546875" customWidth="1"/>
    <col min="9732" max="9732" width="17.88671875" customWidth="1"/>
    <col min="9985" max="9985" width="3.88671875" customWidth="1"/>
    <col min="9986" max="9986" width="8.33203125" customWidth="1"/>
    <col min="9987" max="9987" width="43.5546875" customWidth="1"/>
    <col min="9988" max="9988" width="17.88671875" customWidth="1"/>
    <col min="10241" max="10241" width="3.88671875" customWidth="1"/>
    <col min="10242" max="10242" width="8.33203125" customWidth="1"/>
    <col min="10243" max="10243" width="43.5546875" customWidth="1"/>
    <col min="10244" max="10244" width="17.88671875" customWidth="1"/>
    <col min="10497" max="10497" width="3.88671875" customWidth="1"/>
    <col min="10498" max="10498" width="8.33203125" customWidth="1"/>
    <col min="10499" max="10499" width="43.5546875" customWidth="1"/>
    <col min="10500" max="10500" width="17.88671875" customWidth="1"/>
    <col min="10753" max="10753" width="3.88671875" customWidth="1"/>
    <col min="10754" max="10754" width="8.33203125" customWidth="1"/>
    <col min="10755" max="10755" width="43.5546875" customWidth="1"/>
    <col min="10756" max="10756" width="17.88671875" customWidth="1"/>
    <col min="11009" max="11009" width="3.88671875" customWidth="1"/>
    <col min="11010" max="11010" width="8.33203125" customWidth="1"/>
    <col min="11011" max="11011" width="43.5546875" customWidth="1"/>
    <col min="11012" max="11012" width="17.88671875" customWidth="1"/>
    <col min="11265" max="11265" width="3.88671875" customWidth="1"/>
    <col min="11266" max="11266" width="8.33203125" customWidth="1"/>
    <col min="11267" max="11267" width="43.5546875" customWidth="1"/>
    <col min="11268" max="11268" width="17.88671875" customWidth="1"/>
    <col min="11521" max="11521" width="3.88671875" customWidth="1"/>
    <col min="11522" max="11522" width="8.33203125" customWidth="1"/>
    <col min="11523" max="11523" width="43.5546875" customWidth="1"/>
    <col min="11524" max="11524" width="17.88671875" customWidth="1"/>
    <col min="11777" max="11777" width="3.88671875" customWidth="1"/>
    <col min="11778" max="11778" width="8.33203125" customWidth="1"/>
    <col min="11779" max="11779" width="43.5546875" customWidth="1"/>
    <col min="11780" max="11780" width="17.88671875" customWidth="1"/>
    <col min="12033" max="12033" width="3.88671875" customWidth="1"/>
    <col min="12034" max="12034" width="8.33203125" customWidth="1"/>
    <col min="12035" max="12035" width="43.5546875" customWidth="1"/>
    <col min="12036" max="12036" width="17.88671875" customWidth="1"/>
    <col min="12289" max="12289" width="3.88671875" customWidth="1"/>
    <col min="12290" max="12290" width="8.33203125" customWidth="1"/>
    <col min="12291" max="12291" width="43.5546875" customWidth="1"/>
    <col min="12292" max="12292" width="17.88671875" customWidth="1"/>
    <col min="12545" max="12545" width="3.88671875" customWidth="1"/>
    <col min="12546" max="12546" width="8.33203125" customWidth="1"/>
    <col min="12547" max="12547" width="43.5546875" customWidth="1"/>
    <col min="12548" max="12548" width="17.88671875" customWidth="1"/>
    <col min="12801" max="12801" width="3.88671875" customWidth="1"/>
    <col min="12802" max="12802" width="8.33203125" customWidth="1"/>
    <col min="12803" max="12803" width="43.5546875" customWidth="1"/>
    <col min="12804" max="12804" width="17.88671875" customWidth="1"/>
    <col min="13057" max="13057" width="3.88671875" customWidth="1"/>
    <col min="13058" max="13058" width="8.33203125" customWidth="1"/>
    <col min="13059" max="13059" width="43.5546875" customWidth="1"/>
    <col min="13060" max="13060" width="17.88671875" customWidth="1"/>
    <col min="13313" max="13313" width="3.88671875" customWidth="1"/>
    <col min="13314" max="13314" width="8.33203125" customWidth="1"/>
    <col min="13315" max="13315" width="43.5546875" customWidth="1"/>
    <col min="13316" max="13316" width="17.88671875" customWidth="1"/>
    <col min="13569" max="13569" width="3.88671875" customWidth="1"/>
    <col min="13570" max="13570" width="8.33203125" customWidth="1"/>
    <col min="13571" max="13571" width="43.5546875" customWidth="1"/>
    <col min="13572" max="13572" width="17.88671875" customWidth="1"/>
    <col min="13825" max="13825" width="3.88671875" customWidth="1"/>
    <col min="13826" max="13826" width="8.33203125" customWidth="1"/>
    <col min="13827" max="13827" width="43.5546875" customWidth="1"/>
    <col min="13828" max="13828" width="17.88671875" customWidth="1"/>
    <col min="14081" max="14081" width="3.88671875" customWidth="1"/>
    <col min="14082" max="14082" width="8.33203125" customWidth="1"/>
    <col min="14083" max="14083" width="43.5546875" customWidth="1"/>
    <col min="14084" max="14084" width="17.88671875" customWidth="1"/>
    <col min="14337" max="14337" width="3.88671875" customWidth="1"/>
    <col min="14338" max="14338" width="8.33203125" customWidth="1"/>
    <col min="14339" max="14339" width="43.5546875" customWidth="1"/>
    <col min="14340" max="14340" width="17.88671875" customWidth="1"/>
    <col min="14593" max="14593" width="3.88671875" customWidth="1"/>
    <col min="14594" max="14594" width="8.33203125" customWidth="1"/>
    <col min="14595" max="14595" width="43.5546875" customWidth="1"/>
    <col min="14596" max="14596" width="17.88671875" customWidth="1"/>
    <col min="14849" max="14849" width="3.88671875" customWidth="1"/>
    <col min="14850" max="14850" width="8.33203125" customWidth="1"/>
    <col min="14851" max="14851" width="43.5546875" customWidth="1"/>
    <col min="14852" max="14852" width="17.88671875" customWidth="1"/>
    <col min="15105" max="15105" width="3.88671875" customWidth="1"/>
    <col min="15106" max="15106" width="8.33203125" customWidth="1"/>
    <col min="15107" max="15107" width="43.5546875" customWidth="1"/>
    <col min="15108" max="15108" width="17.88671875" customWidth="1"/>
    <col min="15361" max="15361" width="3.88671875" customWidth="1"/>
    <col min="15362" max="15362" width="8.33203125" customWidth="1"/>
    <col min="15363" max="15363" width="43.5546875" customWidth="1"/>
    <col min="15364" max="15364" width="17.88671875" customWidth="1"/>
    <col min="15617" max="15617" width="3.88671875" customWidth="1"/>
    <col min="15618" max="15618" width="8.33203125" customWidth="1"/>
    <col min="15619" max="15619" width="43.5546875" customWidth="1"/>
    <col min="15620" max="15620" width="17.88671875" customWidth="1"/>
    <col min="15873" max="15873" width="3.88671875" customWidth="1"/>
    <col min="15874" max="15874" width="8.33203125" customWidth="1"/>
    <col min="15875" max="15875" width="43.5546875" customWidth="1"/>
    <col min="15876" max="15876" width="17.88671875" customWidth="1"/>
    <col min="16129" max="16129" width="3.88671875" customWidth="1"/>
    <col min="16130" max="16130" width="8.33203125" customWidth="1"/>
    <col min="16131" max="16131" width="43.5546875" customWidth="1"/>
    <col min="16132" max="16132" width="17.88671875" customWidth="1"/>
  </cols>
  <sheetData>
    <row r="1" spans="2:4" ht="16.8" x14ac:dyDescent="0.3">
      <c r="B1" s="89"/>
      <c r="C1" s="324" t="s">
        <v>112</v>
      </c>
      <c r="D1" s="324"/>
    </row>
    <row r="2" spans="2:4" ht="16.8" x14ac:dyDescent="0.3">
      <c r="B2" s="89"/>
      <c r="C2" s="319" t="s">
        <v>113</v>
      </c>
      <c r="D2" s="319"/>
    </row>
    <row r="3" spans="2:4" ht="16.8" x14ac:dyDescent="0.3">
      <c r="B3" s="89"/>
      <c r="C3" s="90"/>
      <c r="D3" s="90"/>
    </row>
    <row r="4" spans="2:4" ht="16.8" x14ac:dyDescent="0.3">
      <c r="B4" s="89"/>
      <c r="C4" s="320" t="s">
        <v>61</v>
      </c>
      <c r="D4" s="320"/>
    </row>
    <row r="5" spans="2:4" ht="16.8" x14ac:dyDescent="0.3">
      <c r="B5" s="89"/>
      <c r="C5" s="16" t="s">
        <v>62</v>
      </c>
      <c r="D5" s="17" t="s">
        <v>114</v>
      </c>
    </row>
    <row r="6" spans="2:4" ht="16.8" x14ac:dyDescent="0.3">
      <c r="B6" s="89"/>
      <c r="C6" s="16" t="s">
        <v>63</v>
      </c>
      <c r="D6" s="160">
        <v>0</v>
      </c>
    </row>
    <row r="7" spans="2:4" ht="16.8" x14ac:dyDescent="0.3">
      <c r="B7" s="89"/>
      <c r="C7" s="16" t="s">
        <v>115</v>
      </c>
      <c r="D7" s="18"/>
    </row>
    <row r="8" spans="2:4" ht="3" customHeight="1" x14ac:dyDescent="0.3">
      <c r="B8" s="89"/>
      <c r="C8" s="89"/>
      <c r="D8" s="89"/>
    </row>
    <row r="9" spans="2:4" ht="16.8" x14ac:dyDescent="0.3">
      <c r="B9" s="321" t="s">
        <v>64</v>
      </c>
      <c r="C9" s="91" t="s">
        <v>65</v>
      </c>
      <c r="D9" s="20">
        <f>+'[1]Cuadro Tarifario'!G39</f>
        <v>237.56</v>
      </c>
    </row>
    <row r="10" spans="2:4" ht="16.8" x14ac:dyDescent="0.3">
      <c r="B10" s="321"/>
      <c r="C10" s="91" t="s">
        <v>116</v>
      </c>
      <c r="D10" s="20">
        <f>+D6*'[1]Cuadro Tarifario'!G40</f>
        <v>0</v>
      </c>
    </row>
    <row r="11" spans="2:4" ht="16.8" x14ac:dyDescent="0.3">
      <c r="B11" s="321"/>
      <c r="C11" s="91" t="s">
        <v>117</v>
      </c>
      <c r="D11" s="20">
        <f>+D7*'[1]Cuadro Tarifario'!G41</f>
        <v>0</v>
      </c>
    </row>
    <row r="12" spans="2:4" ht="16.8" x14ac:dyDescent="0.3">
      <c r="B12" s="321"/>
      <c r="C12" s="16" t="s">
        <v>71</v>
      </c>
      <c r="D12" s="92">
        <f>SUM(D9:D11)</f>
        <v>237.56</v>
      </c>
    </row>
    <row r="13" spans="2:4" ht="8.25" customHeight="1" x14ac:dyDescent="0.3">
      <c r="B13" s="89"/>
      <c r="C13" s="89"/>
      <c r="D13" s="89"/>
    </row>
    <row r="14" spans="2:4" ht="14.25" customHeight="1" x14ac:dyDescent="0.3">
      <c r="B14" s="89"/>
      <c r="C14" s="89"/>
      <c r="D14" s="93" t="s">
        <v>118</v>
      </c>
    </row>
  </sheetData>
  <protectedRanges>
    <protectedRange sqref="D7" name="Rango1"/>
    <protectedRange sqref="D6" name="Range1"/>
  </protectedRanges>
  <mergeCells count="4">
    <mergeCell ref="C1:D1"/>
    <mergeCell ref="C2:D2"/>
    <mergeCell ref="C4:D4"/>
    <mergeCell ref="B9:B12"/>
  </mergeCells>
  <hyperlinks>
    <hyperlink ref="D14" location="Entrada!D3" display="Volver" xr:uid="{B996D48F-855E-4E5C-90C3-D4640601F194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DB83-2857-42F9-86C2-403F21D9D6F6}">
  <sheetPr codeName="Sheet13">
    <tabColor rgb="FFFFFF00"/>
  </sheetPr>
  <dimension ref="B1:D14"/>
  <sheetViews>
    <sheetView workbookViewId="0">
      <selection activeCell="D6" sqref="D6"/>
    </sheetView>
  </sheetViews>
  <sheetFormatPr baseColWidth="10" defaultColWidth="9.109375" defaultRowHeight="14.4" x14ac:dyDescent="0.3"/>
  <cols>
    <col min="1" max="1" width="3.88671875" customWidth="1"/>
    <col min="2" max="2" width="8.33203125" customWidth="1"/>
    <col min="3" max="3" width="43.44140625" customWidth="1"/>
    <col min="4" max="4" width="16.6640625" customWidth="1"/>
    <col min="257" max="257" width="3.88671875" customWidth="1"/>
    <col min="258" max="258" width="8.33203125" customWidth="1"/>
    <col min="259" max="259" width="43.44140625" customWidth="1"/>
    <col min="260" max="260" width="16.6640625" customWidth="1"/>
    <col min="513" max="513" width="3.88671875" customWidth="1"/>
    <col min="514" max="514" width="8.33203125" customWidth="1"/>
    <col min="515" max="515" width="43.44140625" customWidth="1"/>
    <col min="516" max="516" width="16.6640625" customWidth="1"/>
    <col min="769" max="769" width="3.88671875" customWidth="1"/>
    <col min="770" max="770" width="8.33203125" customWidth="1"/>
    <col min="771" max="771" width="43.44140625" customWidth="1"/>
    <col min="772" max="772" width="16.6640625" customWidth="1"/>
    <col min="1025" max="1025" width="3.88671875" customWidth="1"/>
    <col min="1026" max="1026" width="8.33203125" customWidth="1"/>
    <col min="1027" max="1027" width="43.44140625" customWidth="1"/>
    <col min="1028" max="1028" width="16.6640625" customWidth="1"/>
    <col min="1281" max="1281" width="3.88671875" customWidth="1"/>
    <col min="1282" max="1282" width="8.33203125" customWidth="1"/>
    <col min="1283" max="1283" width="43.44140625" customWidth="1"/>
    <col min="1284" max="1284" width="16.6640625" customWidth="1"/>
    <col min="1537" max="1537" width="3.88671875" customWidth="1"/>
    <col min="1538" max="1538" width="8.33203125" customWidth="1"/>
    <col min="1539" max="1539" width="43.44140625" customWidth="1"/>
    <col min="1540" max="1540" width="16.6640625" customWidth="1"/>
    <col min="1793" max="1793" width="3.88671875" customWidth="1"/>
    <col min="1794" max="1794" width="8.33203125" customWidth="1"/>
    <col min="1795" max="1795" width="43.44140625" customWidth="1"/>
    <col min="1796" max="1796" width="16.6640625" customWidth="1"/>
    <col min="2049" max="2049" width="3.88671875" customWidth="1"/>
    <col min="2050" max="2050" width="8.33203125" customWidth="1"/>
    <col min="2051" max="2051" width="43.44140625" customWidth="1"/>
    <col min="2052" max="2052" width="16.6640625" customWidth="1"/>
    <col min="2305" max="2305" width="3.88671875" customWidth="1"/>
    <col min="2306" max="2306" width="8.33203125" customWidth="1"/>
    <col min="2307" max="2307" width="43.44140625" customWidth="1"/>
    <col min="2308" max="2308" width="16.6640625" customWidth="1"/>
    <col min="2561" max="2561" width="3.88671875" customWidth="1"/>
    <col min="2562" max="2562" width="8.33203125" customWidth="1"/>
    <col min="2563" max="2563" width="43.44140625" customWidth="1"/>
    <col min="2564" max="2564" width="16.6640625" customWidth="1"/>
    <col min="2817" max="2817" width="3.88671875" customWidth="1"/>
    <col min="2818" max="2818" width="8.33203125" customWidth="1"/>
    <col min="2819" max="2819" width="43.44140625" customWidth="1"/>
    <col min="2820" max="2820" width="16.6640625" customWidth="1"/>
    <col min="3073" max="3073" width="3.88671875" customWidth="1"/>
    <col min="3074" max="3074" width="8.33203125" customWidth="1"/>
    <col min="3075" max="3075" width="43.44140625" customWidth="1"/>
    <col min="3076" max="3076" width="16.6640625" customWidth="1"/>
    <col min="3329" max="3329" width="3.88671875" customWidth="1"/>
    <col min="3330" max="3330" width="8.33203125" customWidth="1"/>
    <col min="3331" max="3331" width="43.44140625" customWidth="1"/>
    <col min="3332" max="3332" width="16.6640625" customWidth="1"/>
    <col min="3585" max="3585" width="3.88671875" customWidth="1"/>
    <col min="3586" max="3586" width="8.33203125" customWidth="1"/>
    <col min="3587" max="3587" width="43.44140625" customWidth="1"/>
    <col min="3588" max="3588" width="16.6640625" customWidth="1"/>
    <col min="3841" max="3841" width="3.88671875" customWidth="1"/>
    <col min="3842" max="3842" width="8.33203125" customWidth="1"/>
    <col min="3843" max="3843" width="43.44140625" customWidth="1"/>
    <col min="3844" max="3844" width="16.6640625" customWidth="1"/>
    <col min="4097" max="4097" width="3.88671875" customWidth="1"/>
    <col min="4098" max="4098" width="8.33203125" customWidth="1"/>
    <col min="4099" max="4099" width="43.44140625" customWidth="1"/>
    <col min="4100" max="4100" width="16.6640625" customWidth="1"/>
    <col min="4353" max="4353" width="3.88671875" customWidth="1"/>
    <col min="4354" max="4354" width="8.33203125" customWidth="1"/>
    <col min="4355" max="4355" width="43.44140625" customWidth="1"/>
    <col min="4356" max="4356" width="16.6640625" customWidth="1"/>
    <col min="4609" max="4609" width="3.88671875" customWidth="1"/>
    <col min="4610" max="4610" width="8.33203125" customWidth="1"/>
    <col min="4611" max="4611" width="43.44140625" customWidth="1"/>
    <col min="4612" max="4612" width="16.6640625" customWidth="1"/>
    <col min="4865" max="4865" width="3.88671875" customWidth="1"/>
    <col min="4866" max="4866" width="8.33203125" customWidth="1"/>
    <col min="4867" max="4867" width="43.44140625" customWidth="1"/>
    <col min="4868" max="4868" width="16.6640625" customWidth="1"/>
    <col min="5121" max="5121" width="3.88671875" customWidth="1"/>
    <col min="5122" max="5122" width="8.33203125" customWidth="1"/>
    <col min="5123" max="5123" width="43.44140625" customWidth="1"/>
    <col min="5124" max="5124" width="16.6640625" customWidth="1"/>
    <col min="5377" max="5377" width="3.88671875" customWidth="1"/>
    <col min="5378" max="5378" width="8.33203125" customWidth="1"/>
    <col min="5379" max="5379" width="43.44140625" customWidth="1"/>
    <col min="5380" max="5380" width="16.6640625" customWidth="1"/>
    <col min="5633" max="5633" width="3.88671875" customWidth="1"/>
    <col min="5634" max="5634" width="8.33203125" customWidth="1"/>
    <col min="5635" max="5635" width="43.44140625" customWidth="1"/>
    <col min="5636" max="5636" width="16.6640625" customWidth="1"/>
    <col min="5889" max="5889" width="3.88671875" customWidth="1"/>
    <col min="5890" max="5890" width="8.33203125" customWidth="1"/>
    <col min="5891" max="5891" width="43.44140625" customWidth="1"/>
    <col min="5892" max="5892" width="16.6640625" customWidth="1"/>
    <col min="6145" max="6145" width="3.88671875" customWidth="1"/>
    <col min="6146" max="6146" width="8.33203125" customWidth="1"/>
    <col min="6147" max="6147" width="43.44140625" customWidth="1"/>
    <col min="6148" max="6148" width="16.6640625" customWidth="1"/>
    <col min="6401" max="6401" width="3.88671875" customWidth="1"/>
    <col min="6402" max="6402" width="8.33203125" customWidth="1"/>
    <col min="6403" max="6403" width="43.44140625" customWidth="1"/>
    <col min="6404" max="6404" width="16.6640625" customWidth="1"/>
    <col min="6657" max="6657" width="3.88671875" customWidth="1"/>
    <col min="6658" max="6658" width="8.33203125" customWidth="1"/>
    <col min="6659" max="6659" width="43.44140625" customWidth="1"/>
    <col min="6660" max="6660" width="16.6640625" customWidth="1"/>
    <col min="6913" max="6913" width="3.88671875" customWidth="1"/>
    <col min="6914" max="6914" width="8.33203125" customWidth="1"/>
    <col min="6915" max="6915" width="43.44140625" customWidth="1"/>
    <col min="6916" max="6916" width="16.6640625" customWidth="1"/>
    <col min="7169" max="7169" width="3.88671875" customWidth="1"/>
    <col min="7170" max="7170" width="8.33203125" customWidth="1"/>
    <col min="7171" max="7171" width="43.44140625" customWidth="1"/>
    <col min="7172" max="7172" width="16.6640625" customWidth="1"/>
    <col min="7425" max="7425" width="3.88671875" customWidth="1"/>
    <col min="7426" max="7426" width="8.33203125" customWidth="1"/>
    <col min="7427" max="7427" width="43.44140625" customWidth="1"/>
    <col min="7428" max="7428" width="16.6640625" customWidth="1"/>
    <col min="7681" max="7681" width="3.88671875" customWidth="1"/>
    <col min="7682" max="7682" width="8.33203125" customWidth="1"/>
    <col min="7683" max="7683" width="43.44140625" customWidth="1"/>
    <col min="7684" max="7684" width="16.6640625" customWidth="1"/>
    <col min="7937" max="7937" width="3.88671875" customWidth="1"/>
    <col min="7938" max="7938" width="8.33203125" customWidth="1"/>
    <col min="7939" max="7939" width="43.44140625" customWidth="1"/>
    <col min="7940" max="7940" width="16.6640625" customWidth="1"/>
    <col min="8193" max="8193" width="3.88671875" customWidth="1"/>
    <col min="8194" max="8194" width="8.33203125" customWidth="1"/>
    <col min="8195" max="8195" width="43.44140625" customWidth="1"/>
    <col min="8196" max="8196" width="16.6640625" customWidth="1"/>
    <col min="8449" max="8449" width="3.88671875" customWidth="1"/>
    <col min="8450" max="8450" width="8.33203125" customWidth="1"/>
    <col min="8451" max="8451" width="43.44140625" customWidth="1"/>
    <col min="8452" max="8452" width="16.6640625" customWidth="1"/>
    <col min="8705" max="8705" width="3.88671875" customWidth="1"/>
    <col min="8706" max="8706" width="8.33203125" customWidth="1"/>
    <col min="8707" max="8707" width="43.44140625" customWidth="1"/>
    <col min="8708" max="8708" width="16.6640625" customWidth="1"/>
    <col min="8961" max="8961" width="3.88671875" customWidth="1"/>
    <col min="8962" max="8962" width="8.33203125" customWidth="1"/>
    <col min="8963" max="8963" width="43.44140625" customWidth="1"/>
    <col min="8964" max="8964" width="16.6640625" customWidth="1"/>
    <col min="9217" max="9217" width="3.88671875" customWidth="1"/>
    <col min="9218" max="9218" width="8.33203125" customWidth="1"/>
    <col min="9219" max="9219" width="43.44140625" customWidth="1"/>
    <col min="9220" max="9220" width="16.6640625" customWidth="1"/>
    <col min="9473" max="9473" width="3.88671875" customWidth="1"/>
    <col min="9474" max="9474" width="8.33203125" customWidth="1"/>
    <col min="9475" max="9475" width="43.44140625" customWidth="1"/>
    <col min="9476" max="9476" width="16.6640625" customWidth="1"/>
    <col min="9729" max="9729" width="3.88671875" customWidth="1"/>
    <col min="9730" max="9730" width="8.33203125" customWidth="1"/>
    <col min="9731" max="9731" width="43.44140625" customWidth="1"/>
    <col min="9732" max="9732" width="16.6640625" customWidth="1"/>
    <col min="9985" max="9985" width="3.88671875" customWidth="1"/>
    <col min="9986" max="9986" width="8.33203125" customWidth="1"/>
    <col min="9987" max="9987" width="43.44140625" customWidth="1"/>
    <col min="9988" max="9988" width="16.6640625" customWidth="1"/>
    <col min="10241" max="10241" width="3.88671875" customWidth="1"/>
    <col min="10242" max="10242" width="8.33203125" customWidth="1"/>
    <col min="10243" max="10243" width="43.44140625" customWidth="1"/>
    <col min="10244" max="10244" width="16.6640625" customWidth="1"/>
    <col min="10497" max="10497" width="3.88671875" customWidth="1"/>
    <col min="10498" max="10498" width="8.33203125" customWidth="1"/>
    <col min="10499" max="10499" width="43.44140625" customWidth="1"/>
    <col min="10500" max="10500" width="16.6640625" customWidth="1"/>
    <col min="10753" max="10753" width="3.88671875" customWidth="1"/>
    <col min="10754" max="10754" width="8.33203125" customWidth="1"/>
    <col min="10755" max="10755" width="43.44140625" customWidth="1"/>
    <col min="10756" max="10756" width="16.6640625" customWidth="1"/>
    <col min="11009" max="11009" width="3.88671875" customWidth="1"/>
    <col min="11010" max="11010" width="8.33203125" customWidth="1"/>
    <col min="11011" max="11011" width="43.44140625" customWidth="1"/>
    <col min="11012" max="11012" width="16.6640625" customWidth="1"/>
    <col min="11265" max="11265" width="3.88671875" customWidth="1"/>
    <col min="11266" max="11266" width="8.33203125" customWidth="1"/>
    <col min="11267" max="11267" width="43.44140625" customWidth="1"/>
    <col min="11268" max="11268" width="16.6640625" customWidth="1"/>
    <col min="11521" max="11521" width="3.88671875" customWidth="1"/>
    <col min="11522" max="11522" width="8.33203125" customWidth="1"/>
    <col min="11523" max="11523" width="43.44140625" customWidth="1"/>
    <col min="11524" max="11524" width="16.6640625" customWidth="1"/>
    <col min="11777" max="11777" width="3.88671875" customWidth="1"/>
    <col min="11778" max="11778" width="8.33203125" customWidth="1"/>
    <col min="11779" max="11779" width="43.44140625" customWidth="1"/>
    <col min="11780" max="11780" width="16.6640625" customWidth="1"/>
    <col min="12033" max="12033" width="3.88671875" customWidth="1"/>
    <col min="12034" max="12034" width="8.33203125" customWidth="1"/>
    <col min="12035" max="12035" width="43.44140625" customWidth="1"/>
    <col min="12036" max="12036" width="16.6640625" customWidth="1"/>
    <col min="12289" max="12289" width="3.88671875" customWidth="1"/>
    <col min="12290" max="12290" width="8.33203125" customWidth="1"/>
    <col min="12291" max="12291" width="43.44140625" customWidth="1"/>
    <col min="12292" max="12292" width="16.6640625" customWidth="1"/>
    <col min="12545" max="12545" width="3.88671875" customWidth="1"/>
    <col min="12546" max="12546" width="8.33203125" customWidth="1"/>
    <col min="12547" max="12547" width="43.44140625" customWidth="1"/>
    <col min="12548" max="12548" width="16.6640625" customWidth="1"/>
    <col min="12801" max="12801" width="3.88671875" customWidth="1"/>
    <col min="12802" max="12802" width="8.33203125" customWidth="1"/>
    <col min="12803" max="12803" width="43.44140625" customWidth="1"/>
    <col min="12804" max="12804" width="16.6640625" customWidth="1"/>
    <col min="13057" max="13057" width="3.88671875" customWidth="1"/>
    <col min="13058" max="13058" width="8.33203125" customWidth="1"/>
    <col min="13059" max="13059" width="43.44140625" customWidth="1"/>
    <col min="13060" max="13060" width="16.6640625" customWidth="1"/>
    <col min="13313" max="13313" width="3.88671875" customWidth="1"/>
    <col min="13314" max="13314" width="8.33203125" customWidth="1"/>
    <col min="13315" max="13315" width="43.44140625" customWidth="1"/>
    <col min="13316" max="13316" width="16.6640625" customWidth="1"/>
    <col min="13569" max="13569" width="3.88671875" customWidth="1"/>
    <col min="13570" max="13570" width="8.33203125" customWidth="1"/>
    <col min="13571" max="13571" width="43.44140625" customWidth="1"/>
    <col min="13572" max="13572" width="16.6640625" customWidth="1"/>
    <col min="13825" max="13825" width="3.88671875" customWidth="1"/>
    <col min="13826" max="13826" width="8.33203125" customWidth="1"/>
    <col min="13827" max="13827" width="43.44140625" customWidth="1"/>
    <col min="13828" max="13828" width="16.6640625" customWidth="1"/>
    <col min="14081" max="14081" width="3.88671875" customWidth="1"/>
    <col min="14082" max="14082" width="8.33203125" customWidth="1"/>
    <col min="14083" max="14083" width="43.44140625" customWidth="1"/>
    <col min="14084" max="14084" width="16.6640625" customWidth="1"/>
    <col min="14337" max="14337" width="3.88671875" customWidth="1"/>
    <col min="14338" max="14338" width="8.33203125" customWidth="1"/>
    <col min="14339" max="14339" width="43.44140625" customWidth="1"/>
    <col min="14340" max="14340" width="16.6640625" customWidth="1"/>
    <col min="14593" max="14593" width="3.88671875" customWidth="1"/>
    <col min="14594" max="14594" width="8.33203125" customWidth="1"/>
    <col min="14595" max="14595" width="43.44140625" customWidth="1"/>
    <col min="14596" max="14596" width="16.6640625" customWidth="1"/>
    <col min="14849" max="14849" width="3.88671875" customWidth="1"/>
    <col min="14850" max="14850" width="8.33203125" customWidth="1"/>
    <col min="14851" max="14851" width="43.44140625" customWidth="1"/>
    <col min="14852" max="14852" width="16.6640625" customWidth="1"/>
    <col min="15105" max="15105" width="3.88671875" customWidth="1"/>
    <col min="15106" max="15106" width="8.33203125" customWidth="1"/>
    <col min="15107" max="15107" width="43.44140625" customWidth="1"/>
    <col min="15108" max="15108" width="16.6640625" customWidth="1"/>
    <col min="15361" max="15361" width="3.88671875" customWidth="1"/>
    <col min="15362" max="15362" width="8.33203125" customWidth="1"/>
    <col min="15363" max="15363" width="43.44140625" customWidth="1"/>
    <col min="15364" max="15364" width="16.6640625" customWidth="1"/>
    <col min="15617" max="15617" width="3.88671875" customWidth="1"/>
    <col min="15618" max="15618" width="8.33203125" customWidth="1"/>
    <col min="15619" max="15619" width="43.44140625" customWidth="1"/>
    <col min="15620" max="15620" width="16.6640625" customWidth="1"/>
    <col min="15873" max="15873" width="3.88671875" customWidth="1"/>
    <col min="15874" max="15874" width="8.33203125" customWidth="1"/>
    <col min="15875" max="15875" width="43.44140625" customWidth="1"/>
    <col min="15876" max="15876" width="16.6640625" customWidth="1"/>
    <col min="16129" max="16129" width="3.88671875" customWidth="1"/>
    <col min="16130" max="16130" width="8.33203125" customWidth="1"/>
    <col min="16131" max="16131" width="43.44140625" customWidth="1"/>
    <col min="16132" max="16132" width="16.6640625" customWidth="1"/>
  </cols>
  <sheetData>
    <row r="1" spans="2:4" ht="16.8" x14ac:dyDescent="0.3">
      <c r="B1" s="89"/>
      <c r="C1" s="324" t="s">
        <v>112</v>
      </c>
      <c r="D1" s="324"/>
    </row>
    <row r="2" spans="2:4" ht="16.8" x14ac:dyDescent="0.3">
      <c r="B2" s="89"/>
      <c r="C2" s="319" t="s">
        <v>113</v>
      </c>
      <c r="D2" s="319"/>
    </row>
    <row r="3" spans="2:4" ht="16.8" x14ac:dyDescent="0.3">
      <c r="B3" s="89"/>
      <c r="C3" s="90"/>
      <c r="D3" s="90"/>
    </row>
    <row r="4" spans="2:4" ht="16.8" x14ac:dyDescent="0.3">
      <c r="B4" s="89"/>
      <c r="C4" s="322" t="s">
        <v>61</v>
      </c>
      <c r="D4" s="323"/>
    </row>
    <row r="5" spans="2:4" ht="16.8" x14ac:dyDescent="0.3">
      <c r="B5" s="89"/>
      <c r="C5" s="16" t="s">
        <v>62</v>
      </c>
      <c r="D5" s="17" t="s">
        <v>125</v>
      </c>
    </row>
    <row r="6" spans="2:4" ht="16.8" x14ac:dyDescent="0.3">
      <c r="B6" s="89"/>
      <c r="C6" s="16" t="s">
        <v>63</v>
      </c>
      <c r="D6" s="160">
        <v>0</v>
      </c>
    </row>
    <row r="7" spans="2:4" ht="16.8" x14ac:dyDescent="0.3">
      <c r="B7" s="89"/>
      <c r="C7" s="16" t="s">
        <v>115</v>
      </c>
      <c r="D7" s="18"/>
    </row>
    <row r="8" spans="2:4" ht="3.75" customHeight="1" x14ac:dyDescent="0.3">
      <c r="B8" s="89"/>
      <c r="C8" s="89"/>
      <c r="D8" s="89"/>
    </row>
    <row r="9" spans="2:4" ht="16.8" x14ac:dyDescent="0.3">
      <c r="B9" s="321" t="s">
        <v>64</v>
      </c>
      <c r="C9" s="91" t="s">
        <v>65</v>
      </c>
      <c r="D9" s="20">
        <f>+'[1]Cuadro Tarifario'!G43</f>
        <v>224.42</v>
      </c>
    </row>
    <row r="10" spans="2:4" ht="16.8" x14ac:dyDescent="0.3">
      <c r="B10" s="321"/>
      <c r="C10" s="91" t="s">
        <v>116</v>
      </c>
      <c r="D10" s="20">
        <f>+D6*'[1]Cuadro Tarifario'!G44</f>
        <v>0</v>
      </c>
    </row>
    <row r="11" spans="2:4" ht="16.8" x14ac:dyDescent="0.3">
      <c r="B11" s="321"/>
      <c r="C11" s="91" t="s">
        <v>117</v>
      </c>
      <c r="D11" s="20">
        <f>+D7*'[1]Cuadro Tarifario'!G45</f>
        <v>0</v>
      </c>
    </row>
    <row r="12" spans="2:4" ht="16.8" x14ac:dyDescent="0.3">
      <c r="B12" s="321"/>
      <c r="C12" s="16" t="s">
        <v>71</v>
      </c>
      <c r="D12" s="92">
        <f>SUM(D9:D11)</f>
        <v>224.42</v>
      </c>
    </row>
    <row r="14" spans="2:4" x14ac:dyDescent="0.3">
      <c r="D14" s="112" t="s">
        <v>118</v>
      </c>
    </row>
  </sheetData>
  <protectedRanges>
    <protectedRange sqref="D7" name="Rango1"/>
    <protectedRange sqref="D6" name="Range1"/>
  </protectedRanges>
  <mergeCells count="4">
    <mergeCell ref="C1:D1"/>
    <mergeCell ref="C2:D2"/>
    <mergeCell ref="C4:D4"/>
    <mergeCell ref="B9:B12"/>
  </mergeCells>
  <hyperlinks>
    <hyperlink ref="D14" location="Entrada!D3" display="Volver" xr:uid="{ADD6919E-E776-4CC6-BA74-E18F162ABD3E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5F1A-A43D-46CF-859F-2B2801005C92}">
  <sheetPr codeName="Sheet14">
    <tabColor rgb="FFFFFF00"/>
  </sheetPr>
  <dimension ref="B1:D16"/>
  <sheetViews>
    <sheetView workbookViewId="0">
      <selection activeCell="Q32" sqref="Q32"/>
    </sheetView>
  </sheetViews>
  <sheetFormatPr baseColWidth="10" defaultColWidth="9.109375" defaultRowHeight="14.4" x14ac:dyDescent="0.3"/>
  <cols>
    <col min="1" max="1" width="3.5546875" customWidth="1"/>
    <col min="2" max="2" width="8.33203125" customWidth="1"/>
    <col min="3" max="3" width="43.6640625" customWidth="1"/>
    <col min="4" max="4" width="14.33203125" customWidth="1"/>
    <col min="257" max="257" width="3.5546875" customWidth="1"/>
    <col min="258" max="258" width="8.33203125" customWidth="1"/>
    <col min="259" max="259" width="43.6640625" customWidth="1"/>
    <col min="260" max="260" width="14.33203125" customWidth="1"/>
    <col min="513" max="513" width="3.5546875" customWidth="1"/>
    <col min="514" max="514" width="8.33203125" customWidth="1"/>
    <col min="515" max="515" width="43.6640625" customWidth="1"/>
    <col min="516" max="516" width="14.33203125" customWidth="1"/>
    <col min="769" max="769" width="3.5546875" customWidth="1"/>
    <col min="770" max="770" width="8.33203125" customWidth="1"/>
    <col min="771" max="771" width="43.6640625" customWidth="1"/>
    <col min="772" max="772" width="14.33203125" customWidth="1"/>
    <col min="1025" max="1025" width="3.5546875" customWidth="1"/>
    <col min="1026" max="1026" width="8.33203125" customWidth="1"/>
    <col min="1027" max="1027" width="43.6640625" customWidth="1"/>
    <col min="1028" max="1028" width="14.33203125" customWidth="1"/>
    <col min="1281" max="1281" width="3.5546875" customWidth="1"/>
    <col min="1282" max="1282" width="8.33203125" customWidth="1"/>
    <col min="1283" max="1283" width="43.6640625" customWidth="1"/>
    <col min="1284" max="1284" width="14.33203125" customWidth="1"/>
    <col min="1537" max="1537" width="3.5546875" customWidth="1"/>
    <col min="1538" max="1538" width="8.33203125" customWidth="1"/>
    <col min="1539" max="1539" width="43.6640625" customWidth="1"/>
    <col min="1540" max="1540" width="14.33203125" customWidth="1"/>
    <col min="1793" max="1793" width="3.5546875" customWidth="1"/>
    <col min="1794" max="1794" width="8.33203125" customWidth="1"/>
    <col min="1795" max="1795" width="43.6640625" customWidth="1"/>
    <col min="1796" max="1796" width="14.33203125" customWidth="1"/>
    <col min="2049" max="2049" width="3.5546875" customWidth="1"/>
    <col min="2050" max="2050" width="8.33203125" customWidth="1"/>
    <col min="2051" max="2051" width="43.6640625" customWidth="1"/>
    <col min="2052" max="2052" width="14.33203125" customWidth="1"/>
    <col min="2305" max="2305" width="3.5546875" customWidth="1"/>
    <col min="2306" max="2306" width="8.33203125" customWidth="1"/>
    <col min="2307" max="2307" width="43.6640625" customWidth="1"/>
    <col min="2308" max="2308" width="14.33203125" customWidth="1"/>
    <col min="2561" max="2561" width="3.5546875" customWidth="1"/>
    <col min="2562" max="2562" width="8.33203125" customWidth="1"/>
    <col min="2563" max="2563" width="43.6640625" customWidth="1"/>
    <col min="2564" max="2564" width="14.33203125" customWidth="1"/>
    <col min="2817" max="2817" width="3.5546875" customWidth="1"/>
    <col min="2818" max="2818" width="8.33203125" customWidth="1"/>
    <col min="2819" max="2819" width="43.6640625" customWidth="1"/>
    <col min="2820" max="2820" width="14.33203125" customWidth="1"/>
    <col min="3073" max="3073" width="3.5546875" customWidth="1"/>
    <col min="3074" max="3074" width="8.33203125" customWidth="1"/>
    <col min="3075" max="3075" width="43.6640625" customWidth="1"/>
    <col min="3076" max="3076" width="14.33203125" customWidth="1"/>
    <col min="3329" max="3329" width="3.5546875" customWidth="1"/>
    <col min="3330" max="3330" width="8.33203125" customWidth="1"/>
    <col min="3331" max="3331" width="43.6640625" customWidth="1"/>
    <col min="3332" max="3332" width="14.33203125" customWidth="1"/>
    <col min="3585" max="3585" width="3.5546875" customWidth="1"/>
    <col min="3586" max="3586" width="8.33203125" customWidth="1"/>
    <col min="3587" max="3587" width="43.6640625" customWidth="1"/>
    <col min="3588" max="3588" width="14.33203125" customWidth="1"/>
    <col min="3841" max="3841" width="3.5546875" customWidth="1"/>
    <col min="3842" max="3842" width="8.33203125" customWidth="1"/>
    <col min="3843" max="3843" width="43.6640625" customWidth="1"/>
    <col min="3844" max="3844" width="14.33203125" customWidth="1"/>
    <col min="4097" max="4097" width="3.5546875" customWidth="1"/>
    <col min="4098" max="4098" width="8.33203125" customWidth="1"/>
    <col min="4099" max="4099" width="43.6640625" customWidth="1"/>
    <col min="4100" max="4100" width="14.33203125" customWidth="1"/>
    <col min="4353" max="4353" width="3.5546875" customWidth="1"/>
    <col min="4354" max="4354" width="8.33203125" customWidth="1"/>
    <col min="4355" max="4355" width="43.6640625" customWidth="1"/>
    <col min="4356" max="4356" width="14.33203125" customWidth="1"/>
    <col min="4609" max="4609" width="3.5546875" customWidth="1"/>
    <col min="4610" max="4610" width="8.33203125" customWidth="1"/>
    <col min="4611" max="4611" width="43.6640625" customWidth="1"/>
    <col min="4612" max="4612" width="14.33203125" customWidth="1"/>
    <col min="4865" max="4865" width="3.5546875" customWidth="1"/>
    <col min="4866" max="4866" width="8.33203125" customWidth="1"/>
    <col min="4867" max="4867" width="43.6640625" customWidth="1"/>
    <col min="4868" max="4868" width="14.33203125" customWidth="1"/>
    <col min="5121" max="5121" width="3.5546875" customWidth="1"/>
    <col min="5122" max="5122" width="8.33203125" customWidth="1"/>
    <col min="5123" max="5123" width="43.6640625" customWidth="1"/>
    <col min="5124" max="5124" width="14.33203125" customWidth="1"/>
    <col min="5377" max="5377" width="3.5546875" customWidth="1"/>
    <col min="5378" max="5378" width="8.33203125" customWidth="1"/>
    <col min="5379" max="5379" width="43.6640625" customWidth="1"/>
    <col min="5380" max="5380" width="14.33203125" customWidth="1"/>
    <col min="5633" max="5633" width="3.5546875" customWidth="1"/>
    <col min="5634" max="5634" width="8.33203125" customWidth="1"/>
    <col min="5635" max="5635" width="43.6640625" customWidth="1"/>
    <col min="5636" max="5636" width="14.33203125" customWidth="1"/>
    <col min="5889" max="5889" width="3.5546875" customWidth="1"/>
    <col min="5890" max="5890" width="8.33203125" customWidth="1"/>
    <col min="5891" max="5891" width="43.6640625" customWidth="1"/>
    <col min="5892" max="5892" width="14.33203125" customWidth="1"/>
    <col min="6145" max="6145" width="3.5546875" customWidth="1"/>
    <col min="6146" max="6146" width="8.33203125" customWidth="1"/>
    <col min="6147" max="6147" width="43.6640625" customWidth="1"/>
    <col min="6148" max="6148" width="14.33203125" customWidth="1"/>
    <col min="6401" max="6401" width="3.5546875" customWidth="1"/>
    <col min="6402" max="6402" width="8.33203125" customWidth="1"/>
    <col min="6403" max="6403" width="43.6640625" customWidth="1"/>
    <col min="6404" max="6404" width="14.33203125" customWidth="1"/>
    <col min="6657" max="6657" width="3.5546875" customWidth="1"/>
    <col min="6658" max="6658" width="8.33203125" customWidth="1"/>
    <col min="6659" max="6659" width="43.6640625" customWidth="1"/>
    <col min="6660" max="6660" width="14.33203125" customWidth="1"/>
    <col min="6913" max="6913" width="3.5546875" customWidth="1"/>
    <col min="6914" max="6914" width="8.33203125" customWidth="1"/>
    <col min="6915" max="6915" width="43.6640625" customWidth="1"/>
    <col min="6916" max="6916" width="14.33203125" customWidth="1"/>
    <col min="7169" max="7169" width="3.5546875" customWidth="1"/>
    <col min="7170" max="7170" width="8.33203125" customWidth="1"/>
    <col min="7171" max="7171" width="43.6640625" customWidth="1"/>
    <col min="7172" max="7172" width="14.33203125" customWidth="1"/>
    <col min="7425" max="7425" width="3.5546875" customWidth="1"/>
    <col min="7426" max="7426" width="8.33203125" customWidth="1"/>
    <col min="7427" max="7427" width="43.6640625" customWidth="1"/>
    <col min="7428" max="7428" width="14.33203125" customWidth="1"/>
    <col min="7681" max="7681" width="3.5546875" customWidth="1"/>
    <col min="7682" max="7682" width="8.33203125" customWidth="1"/>
    <col min="7683" max="7683" width="43.6640625" customWidth="1"/>
    <col min="7684" max="7684" width="14.33203125" customWidth="1"/>
    <col min="7937" max="7937" width="3.5546875" customWidth="1"/>
    <col min="7938" max="7938" width="8.33203125" customWidth="1"/>
    <col min="7939" max="7939" width="43.6640625" customWidth="1"/>
    <col min="7940" max="7940" width="14.33203125" customWidth="1"/>
    <col min="8193" max="8193" width="3.5546875" customWidth="1"/>
    <col min="8194" max="8194" width="8.33203125" customWidth="1"/>
    <col min="8195" max="8195" width="43.6640625" customWidth="1"/>
    <col min="8196" max="8196" width="14.33203125" customWidth="1"/>
    <col min="8449" max="8449" width="3.5546875" customWidth="1"/>
    <col min="8450" max="8450" width="8.33203125" customWidth="1"/>
    <col min="8451" max="8451" width="43.6640625" customWidth="1"/>
    <col min="8452" max="8452" width="14.33203125" customWidth="1"/>
    <col min="8705" max="8705" width="3.5546875" customWidth="1"/>
    <col min="8706" max="8706" width="8.33203125" customWidth="1"/>
    <col min="8707" max="8707" width="43.6640625" customWidth="1"/>
    <col min="8708" max="8708" width="14.33203125" customWidth="1"/>
    <col min="8961" max="8961" width="3.5546875" customWidth="1"/>
    <col min="8962" max="8962" width="8.33203125" customWidth="1"/>
    <col min="8963" max="8963" width="43.6640625" customWidth="1"/>
    <col min="8964" max="8964" width="14.33203125" customWidth="1"/>
    <col min="9217" max="9217" width="3.5546875" customWidth="1"/>
    <col min="9218" max="9218" width="8.33203125" customWidth="1"/>
    <col min="9219" max="9219" width="43.6640625" customWidth="1"/>
    <col min="9220" max="9220" width="14.33203125" customWidth="1"/>
    <col min="9473" max="9473" width="3.5546875" customWidth="1"/>
    <col min="9474" max="9474" width="8.33203125" customWidth="1"/>
    <col min="9475" max="9475" width="43.6640625" customWidth="1"/>
    <col min="9476" max="9476" width="14.33203125" customWidth="1"/>
    <col min="9729" max="9729" width="3.5546875" customWidth="1"/>
    <col min="9730" max="9730" width="8.33203125" customWidth="1"/>
    <col min="9731" max="9731" width="43.6640625" customWidth="1"/>
    <col min="9732" max="9732" width="14.33203125" customWidth="1"/>
    <col min="9985" max="9985" width="3.5546875" customWidth="1"/>
    <col min="9986" max="9986" width="8.33203125" customWidth="1"/>
    <col min="9987" max="9987" width="43.6640625" customWidth="1"/>
    <col min="9988" max="9988" width="14.33203125" customWidth="1"/>
    <col min="10241" max="10241" width="3.5546875" customWidth="1"/>
    <col min="10242" max="10242" width="8.33203125" customWidth="1"/>
    <col min="10243" max="10243" width="43.6640625" customWidth="1"/>
    <col min="10244" max="10244" width="14.33203125" customWidth="1"/>
    <col min="10497" max="10497" width="3.5546875" customWidth="1"/>
    <col min="10498" max="10498" width="8.33203125" customWidth="1"/>
    <col min="10499" max="10499" width="43.6640625" customWidth="1"/>
    <col min="10500" max="10500" width="14.33203125" customWidth="1"/>
    <col min="10753" max="10753" width="3.5546875" customWidth="1"/>
    <col min="10754" max="10754" width="8.33203125" customWidth="1"/>
    <col min="10755" max="10755" width="43.6640625" customWidth="1"/>
    <col min="10756" max="10756" width="14.33203125" customWidth="1"/>
    <col min="11009" max="11009" width="3.5546875" customWidth="1"/>
    <col min="11010" max="11010" width="8.33203125" customWidth="1"/>
    <col min="11011" max="11011" width="43.6640625" customWidth="1"/>
    <col min="11012" max="11012" width="14.33203125" customWidth="1"/>
    <col min="11265" max="11265" width="3.5546875" customWidth="1"/>
    <col min="11266" max="11266" width="8.33203125" customWidth="1"/>
    <col min="11267" max="11267" width="43.6640625" customWidth="1"/>
    <col min="11268" max="11268" width="14.33203125" customWidth="1"/>
    <col min="11521" max="11521" width="3.5546875" customWidth="1"/>
    <col min="11522" max="11522" width="8.33203125" customWidth="1"/>
    <col min="11523" max="11523" width="43.6640625" customWidth="1"/>
    <col min="11524" max="11524" width="14.33203125" customWidth="1"/>
    <col min="11777" max="11777" width="3.5546875" customWidth="1"/>
    <col min="11778" max="11778" width="8.33203125" customWidth="1"/>
    <col min="11779" max="11779" width="43.6640625" customWidth="1"/>
    <col min="11780" max="11780" width="14.33203125" customWidth="1"/>
    <col min="12033" max="12033" width="3.5546875" customWidth="1"/>
    <col min="12034" max="12034" width="8.33203125" customWidth="1"/>
    <col min="12035" max="12035" width="43.6640625" customWidth="1"/>
    <col min="12036" max="12036" width="14.33203125" customWidth="1"/>
    <col min="12289" max="12289" width="3.5546875" customWidth="1"/>
    <col min="12290" max="12290" width="8.33203125" customWidth="1"/>
    <col min="12291" max="12291" width="43.6640625" customWidth="1"/>
    <col min="12292" max="12292" width="14.33203125" customWidth="1"/>
    <col min="12545" max="12545" width="3.5546875" customWidth="1"/>
    <col min="12546" max="12546" width="8.33203125" customWidth="1"/>
    <col min="12547" max="12547" width="43.6640625" customWidth="1"/>
    <col min="12548" max="12548" width="14.33203125" customWidth="1"/>
    <col min="12801" max="12801" width="3.5546875" customWidth="1"/>
    <col min="12802" max="12802" width="8.33203125" customWidth="1"/>
    <col min="12803" max="12803" width="43.6640625" customWidth="1"/>
    <col min="12804" max="12804" width="14.33203125" customWidth="1"/>
    <col min="13057" max="13057" width="3.5546875" customWidth="1"/>
    <col min="13058" max="13058" width="8.33203125" customWidth="1"/>
    <col min="13059" max="13059" width="43.6640625" customWidth="1"/>
    <col min="13060" max="13060" width="14.33203125" customWidth="1"/>
    <col min="13313" max="13313" width="3.5546875" customWidth="1"/>
    <col min="13314" max="13314" width="8.33203125" customWidth="1"/>
    <col min="13315" max="13315" width="43.6640625" customWidth="1"/>
    <col min="13316" max="13316" width="14.33203125" customWidth="1"/>
    <col min="13569" max="13569" width="3.5546875" customWidth="1"/>
    <col min="13570" max="13570" width="8.33203125" customWidth="1"/>
    <col min="13571" max="13571" width="43.6640625" customWidth="1"/>
    <col min="13572" max="13572" width="14.33203125" customWidth="1"/>
    <col min="13825" max="13825" width="3.5546875" customWidth="1"/>
    <col min="13826" max="13826" width="8.33203125" customWidth="1"/>
    <col min="13827" max="13827" width="43.6640625" customWidth="1"/>
    <col min="13828" max="13828" width="14.33203125" customWidth="1"/>
    <col min="14081" max="14081" width="3.5546875" customWidth="1"/>
    <col min="14082" max="14082" width="8.33203125" customWidth="1"/>
    <col min="14083" max="14083" width="43.6640625" customWidth="1"/>
    <col min="14084" max="14084" width="14.33203125" customWidth="1"/>
    <col min="14337" max="14337" width="3.5546875" customWidth="1"/>
    <col min="14338" max="14338" width="8.33203125" customWidth="1"/>
    <col min="14339" max="14339" width="43.6640625" customWidth="1"/>
    <col min="14340" max="14340" width="14.33203125" customWidth="1"/>
    <col min="14593" max="14593" width="3.5546875" customWidth="1"/>
    <col min="14594" max="14594" width="8.33203125" customWidth="1"/>
    <col min="14595" max="14595" width="43.6640625" customWidth="1"/>
    <col min="14596" max="14596" width="14.33203125" customWidth="1"/>
    <col min="14849" max="14849" width="3.5546875" customWidth="1"/>
    <col min="14850" max="14850" width="8.33203125" customWidth="1"/>
    <col min="14851" max="14851" width="43.6640625" customWidth="1"/>
    <col min="14852" max="14852" width="14.33203125" customWidth="1"/>
    <col min="15105" max="15105" width="3.5546875" customWidth="1"/>
    <col min="15106" max="15106" width="8.33203125" customWidth="1"/>
    <col min="15107" max="15107" width="43.6640625" customWidth="1"/>
    <col min="15108" max="15108" width="14.33203125" customWidth="1"/>
    <col min="15361" max="15361" width="3.5546875" customWidth="1"/>
    <col min="15362" max="15362" width="8.33203125" customWidth="1"/>
    <col min="15363" max="15363" width="43.6640625" customWidth="1"/>
    <col min="15364" max="15364" width="14.33203125" customWidth="1"/>
    <col min="15617" max="15617" width="3.5546875" customWidth="1"/>
    <col min="15618" max="15618" width="8.33203125" customWidth="1"/>
    <col min="15619" max="15619" width="43.6640625" customWidth="1"/>
    <col min="15620" max="15620" width="14.33203125" customWidth="1"/>
    <col min="15873" max="15873" width="3.5546875" customWidth="1"/>
    <col min="15874" max="15874" width="8.33203125" customWidth="1"/>
    <col min="15875" max="15875" width="43.6640625" customWidth="1"/>
    <col min="15876" max="15876" width="14.33203125" customWidth="1"/>
    <col min="16129" max="16129" width="3.5546875" customWidth="1"/>
    <col min="16130" max="16130" width="8.33203125" customWidth="1"/>
    <col min="16131" max="16131" width="43.6640625" customWidth="1"/>
    <col min="16132" max="16132" width="14.33203125" customWidth="1"/>
  </cols>
  <sheetData>
    <row r="1" spans="2:4" ht="16.8" x14ac:dyDescent="0.3">
      <c r="B1" s="89"/>
      <c r="C1" s="324" t="s">
        <v>112</v>
      </c>
      <c r="D1" s="324"/>
    </row>
    <row r="2" spans="2:4" ht="16.8" x14ac:dyDescent="0.3">
      <c r="B2" s="89"/>
      <c r="C2" s="319" t="s">
        <v>113</v>
      </c>
      <c r="D2" s="319"/>
    </row>
    <row r="3" spans="2:4" ht="16.8" x14ac:dyDescent="0.3">
      <c r="B3" s="89"/>
      <c r="C3" s="90"/>
      <c r="D3" s="90"/>
    </row>
    <row r="4" spans="2:4" ht="16.8" x14ac:dyDescent="0.3">
      <c r="B4" s="89"/>
      <c r="C4" s="320" t="s">
        <v>61</v>
      </c>
      <c r="D4" s="320"/>
    </row>
    <row r="5" spans="2:4" ht="16.8" x14ac:dyDescent="0.3">
      <c r="B5" s="89"/>
      <c r="C5" s="16" t="s">
        <v>62</v>
      </c>
      <c r="D5" s="17" t="s">
        <v>128</v>
      </c>
    </row>
    <row r="6" spans="2:4" ht="16.8" x14ac:dyDescent="0.3">
      <c r="B6" s="89"/>
      <c r="C6" s="16" t="s">
        <v>63</v>
      </c>
      <c r="D6" s="160">
        <v>0</v>
      </c>
    </row>
    <row r="7" spans="2:4" ht="16.8" x14ac:dyDescent="0.3">
      <c r="B7" s="89"/>
      <c r="C7" s="16" t="s">
        <v>131</v>
      </c>
      <c r="D7" s="18"/>
    </row>
    <row r="8" spans="2:4" ht="16.8" x14ac:dyDescent="0.3">
      <c r="B8" s="89"/>
      <c r="C8" s="16" t="s">
        <v>132</v>
      </c>
      <c r="D8" s="18"/>
    </row>
    <row r="9" spans="2:4" ht="3" customHeight="1" x14ac:dyDescent="0.3">
      <c r="B9" s="89"/>
      <c r="C9" s="89"/>
      <c r="D9" s="89"/>
    </row>
    <row r="10" spans="2:4" ht="16.8" x14ac:dyDescent="0.3">
      <c r="B10" s="321" t="s">
        <v>64</v>
      </c>
      <c r="C10" s="91" t="s">
        <v>65</v>
      </c>
      <c r="D10" s="20">
        <f>+'[1]Cuadro Tarifario'!G47</f>
        <v>164.32</v>
      </c>
    </row>
    <row r="11" spans="2:4" ht="16.8" x14ac:dyDescent="0.3">
      <c r="B11" s="321"/>
      <c r="C11" s="91" t="s">
        <v>116</v>
      </c>
      <c r="D11" s="20">
        <f>+D6*'[1]Cuadro Tarifario'!G48</f>
        <v>0</v>
      </c>
    </row>
    <row r="12" spans="2:4" ht="16.8" x14ac:dyDescent="0.3">
      <c r="B12" s="321"/>
      <c r="C12" s="91" t="s">
        <v>117</v>
      </c>
      <c r="D12" s="20">
        <f>+D7*'[1]Cuadro Tarifario'!G49</f>
        <v>0</v>
      </c>
    </row>
    <row r="13" spans="2:4" ht="16.8" x14ac:dyDescent="0.3">
      <c r="B13" s="321"/>
      <c r="C13" s="91" t="s">
        <v>133</v>
      </c>
      <c r="D13" s="20">
        <f>+D8*'[1]Cuadro Tarifario'!G50</f>
        <v>0</v>
      </c>
    </row>
    <row r="14" spans="2:4" ht="16.8" x14ac:dyDescent="0.3">
      <c r="B14" s="321"/>
      <c r="C14" s="16" t="s">
        <v>71</v>
      </c>
      <c r="D14" s="92">
        <f>SUM(D10:D13)</f>
        <v>164.32</v>
      </c>
    </row>
    <row r="16" spans="2:4" x14ac:dyDescent="0.3">
      <c r="D16" s="113" t="s">
        <v>118</v>
      </c>
    </row>
  </sheetData>
  <protectedRanges>
    <protectedRange sqref="D7:D8" name="Rango1"/>
    <protectedRange sqref="D6" name="Range1"/>
  </protectedRanges>
  <mergeCells count="4">
    <mergeCell ref="C1:D1"/>
    <mergeCell ref="C2:D2"/>
    <mergeCell ref="C4:D4"/>
    <mergeCell ref="B10:B14"/>
  </mergeCells>
  <hyperlinks>
    <hyperlink ref="D16" location="Entrada!D3" display="Volver" xr:uid="{8810F205-87C7-4BFC-A511-2148E396BDF7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37B57-2E42-42FF-B30F-DD710582712A}">
  <sheetPr codeName="Sheet15">
    <tabColor rgb="FFFFFF00"/>
  </sheetPr>
  <dimension ref="B3:AI50"/>
  <sheetViews>
    <sheetView topLeftCell="A30" workbookViewId="0">
      <selection activeCell="G44" sqref="G44"/>
    </sheetView>
  </sheetViews>
  <sheetFormatPr baseColWidth="10" defaultColWidth="9.109375" defaultRowHeight="14.4" x14ac:dyDescent="0.3"/>
  <cols>
    <col min="1" max="1" width="11.5546875" customWidth="1"/>
    <col min="2" max="2" width="5.6640625" customWidth="1"/>
    <col min="3" max="3" width="11.5546875" customWidth="1"/>
    <col min="4" max="4" width="41.109375" bestFit="1" customWidth="1"/>
    <col min="5" max="5" width="12.6640625" customWidth="1"/>
    <col min="6" max="6" width="0.6640625" customWidth="1"/>
    <col min="7" max="7" width="14.5546875" bestFit="1" customWidth="1"/>
    <col min="8" max="8" width="1.5546875" customWidth="1"/>
    <col min="9" max="257" width="11.5546875" customWidth="1"/>
    <col min="258" max="258" width="5.6640625" customWidth="1"/>
    <col min="259" max="259" width="11.5546875" customWidth="1"/>
    <col min="260" max="260" width="41.109375" bestFit="1" customWidth="1"/>
    <col min="261" max="261" width="12.6640625" customWidth="1"/>
    <col min="262" max="262" width="0.6640625" customWidth="1"/>
    <col min="263" max="263" width="14.5546875" bestFit="1" customWidth="1"/>
    <col min="264" max="264" width="1.5546875" customWidth="1"/>
    <col min="265" max="513" width="11.5546875" customWidth="1"/>
    <col min="514" max="514" width="5.6640625" customWidth="1"/>
    <col min="515" max="515" width="11.5546875" customWidth="1"/>
    <col min="516" max="516" width="41.109375" bestFit="1" customWidth="1"/>
    <col min="517" max="517" width="12.6640625" customWidth="1"/>
    <col min="518" max="518" width="0.6640625" customWidth="1"/>
    <col min="519" max="519" width="14.5546875" bestFit="1" customWidth="1"/>
    <col min="520" max="520" width="1.5546875" customWidth="1"/>
    <col min="521" max="769" width="11.5546875" customWidth="1"/>
    <col min="770" max="770" width="5.6640625" customWidth="1"/>
    <col min="771" max="771" width="11.5546875" customWidth="1"/>
    <col min="772" max="772" width="41.109375" bestFit="1" customWidth="1"/>
    <col min="773" max="773" width="12.6640625" customWidth="1"/>
    <col min="774" max="774" width="0.6640625" customWidth="1"/>
    <col min="775" max="775" width="14.5546875" bestFit="1" customWidth="1"/>
    <col min="776" max="776" width="1.5546875" customWidth="1"/>
    <col min="777" max="1025" width="11.5546875" customWidth="1"/>
    <col min="1026" max="1026" width="5.6640625" customWidth="1"/>
    <col min="1027" max="1027" width="11.5546875" customWidth="1"/>
    <col min="1028" max="1028" width="41.109375" bestFit="1" customWidth="1"/>
    <col min="1029" max="1029" width="12.6640625" customWidth="1"/>
    <col min="1030" max="1030" width="0.6640625" customWidth="1"/>
    <col min="1031" max="1031" width="14.5546875" bestFit="1" customWidth="1"/>
    <col min="1032" max="1032" width="1.5546875" customWidth="1"/>
    <col min="1033" max="1281" width="11.5546875" customWidth="1"/>
    <col min="1282" max="1282" width="5.6640625" customWidth="1"/>
    <col min="1283" max="1283" width="11.5546875" customWidth="1"/>
    <col min="1284" max="1284" width="41.109375" bestFit="1" customWidth="1"/>
    <col min="1285" max="1285" width="12.6640625" customWidth="1"/>
    <col min="1286" max="1286" width="0.6640625" customWidth="1"/>
    <col min="1287" max="1287" width="14.5546875" bestFit="1" customWidth="1"/>
    <col min="1288" max="1288" width="1.5546875" customWidth="1"/>
    <col min="1289" max="1537" width="11.5546875" customWidth="1"/>
    <col min="1538" max="1538" width="5.6640625" customWidth="1"/>
    <col min="1539" max="1539" width="11.5546875" customWidth="1"/>
    <col min="1540" max="1540" width="41.109375" bestFit="1" customWidth="1"/>
    <col min="1541" max="1541" width="12.6640625" customWidth="1"/>
    <col min="1542" max="1542" width="0.6640625" customWidth="1"/>
    <col min="1543" max="1543" width="14.5546875" bestFit="1" customWidth="1"/>
    <col min="1544" max="1544" width="1.5546875" customWidth="1"/>
    <col min="1545" max="1793" width="11.5546875" customWidth="1"/>
    <col min="1794" max="1794" width="5.6640625" customWidth="1"/>
    <col min="1795" max="1795" width="11.5546875" customWidth="1"/>
    <col min="1796" max="1796" width="41.109375" bestFit="1" customWidth="1"/>
    <col min="1797" max="1797" width="12.6640625" customWidth="1"/>
    <col min="1798" max="1798" width="0.6640625" customWidth="1"/>
    <col min="1799" max="1799" width="14.5546875" bestFit="1" customWidth="1"/>
    <col min="1800" max="1800" width="1.5546875" customWidth="1"/>
    <col min="1801" max="2049" width="11.5546875" customWidth="1"/>
    <col min="2050" max="2050" width="5.6640625" customWidth="1"/>
    <col min="2051" max="2051" width="11.5546875" customWidth="1"/>
    <col min="2052" max="2052" width="41.109375" bestFit="1" customWidth="1"/>
    <col min="2053" max="2053" width="12.6640625" customWidth="1"/>
    <col min="2054" max="2054" width="0.6640625" customWidth="1"/>
    <col min="2055" max="2055" width="14.5546875" bestFit="1" customWidth="1"/>
    <col min="2056" max="2056" width="1.5546875" customWidth="1"/>
    <col min="2057" max="2305" width="11.5546875" customWidth="1"/>
    <col min="2306" max="2306" width="5.6640625" customWidth="1"/>
    <col min="2307" max="2307" width="11.5546875" customWidth="1"/>
    <col min="2308" max="2308" width="41.109375" bestFit="1" customWidth="1"/>
    <col min="2309" max="2309" width="12.6640625" customWidth="1"/>
    <col min="2310" max="2310" width="0.6640625" customWidth="1"/>
    <col min="2311" max="2311" width="14.5546875" bestFit="1" customWidth="1"/>
    <col min="2312" max="2312" width="1.5546875" customWidth="1"/>
    <col min="2313" max="2561" width="11.5546875" customWidth="1"/>
    <col min="2562" max="2562" width="5.6640625" customWidth="1"/>
    <col min="2563" max="2563" width="11.5546875" customWidth="1"/>
    <col min="2564" max="2564" width="41.109375" bestFit="1" customWidth="1"/>
    <col min="2565" max="2565" width="12.6640625" customWidth="1"/>
    <col min="2566" max="2566" width="0.6640625" customWidth="1"/>
    <col min="2567" max="2567" width="14.5546875" bestFit="1" customWidth="1"/>
    <col min="2568" max="2568" width="1.5546875" customWidth="1"/>
    <col min="2569" max="2817" width="11.5546875" customWidth="1"/>
    <col min="2818" max="2818" width="5.6640625" customWidth="1"/>
    <col min="2819" max="2819" width="11.5546875" customWidth="1"/>
    <col min="2820" max="2820" width="41.109375" bestFit="1" customWidth="1"/>
    <col min="2821" max="2821" width="12.6640625" customWidth="1"/>
    <col min="2822" max="2822" width="0.6640625" customWidth="1"/>
    <col min="2823" max="2823" width="14.5546875" bestFit="1" customWidth="1"/>
    <col min="2824" max="2824" width="1.5546875" customWidth="1"/>
    <col min="2825" max="3073" width="11.5546875" customWidth="1"/>
    <col min="3074" max="3074" width="5.6640625" customWidth="1"/>
    <col min="3075" max="3075" width="11.5546875" customWidth="1"/>
    <col min="3076" max="3076" width="41.109375" bestFit="1" customWidth="1"/>
    <col min="3077" max="3077" width="12.6640625" customWidth="1"/>
    <col min="3078" max="3078" width="0.6640625" customWidth="1"/>
    <col min="3079" max="3079" width="14.5546875" bestFit="1" customWidth="1"/>
    <col min="3080" max="3080" width="1.5546875" customWidth="1"/>
    <col min="3081" max="3329" width="11.5546875" customWidth="1"/>
    <col min="3330" max="3330" width="5.6640625" customWidth="1"/>
    <col min="3331" max="3331" width="11.5546875" customWidth="1"/>
    <col min="3332" max="3332" width="41.109375" bestFit="1" customWidth="1"/>
    <col min="3333" max="3333" width="12.6640625" customWidth="1"/>
    <col min="3334" max="3334" width="0.6640625" customWidth="1"/>
    <col min="3335" max="3335" width="14.5546875" bestFit="1" customWidth="1"/>
    <col min="3336" max="3336" width="1.5546875" customWidth="1"/>
    <col min="3337" max="3585" width="11.5546875" customWidth="1"/>
    <col min="3586" max="3586" width="5.6640625" customWidth="1"/>
    <col min="3587" max="3587" width="11.5546875" customWidth="1"/>
    <col min="3588" max="3588" width="41.109375" bestFit="1" customWidth="1"/>
    <col min="3589" max="3589" width="12.6640625" customWidth="1"/>
    <col min="3590" max="3590" width="0.6640625" customWidth="1"/>
    <col min="3591" max="3591" width="14.5546875" bestFit="1" customWidth="1"/>
    <col min="3592" max="3592" width="1.5546875" customWidth="1"/>
    <col min="3593" max="3841" width="11.5546875" customWidth="1"/>
    <col min="3842" max="3842" width="5.6640625" customWidth="1"/>
    <col min="3843" max="3843" width="11.5546875" customWidth="1"/>
    <col min="3844" max="3844" width="41.109375" bestFit="1" customWidth="1"/>
    <col min="3845" max="3845" width="12.6640625" customWidth="1"/>
    <col min="3846" max="3846" width="0.6640625" customWidth="1"/>
    <col min="3847" max="3847" width="14.5546875" bestFit="1" customWidth="1"/>
    <col min="3848" max="3848" width="1.5546875" customWidth="1"/>
    <col min="3849" max="4097" width="11.5546875" customWidth="1"/>
    <col min="4098" max="4098" width="5.6640625" customWidth="1"/>
    <col min="4099" max="4099" width="11.5546875" customWidth="1"/>
    <col min="4100" max="4100" width="41.109375" bestFit="1" customWidth="1"/>
    <col min="4101" max="4101" width="12.6640625" customWidth="1"/>
    <col min="4102" max="4102" width="0.6640625" customWidth="1"/>
    <col min="4103" max="4103" width="14.5546875" bestFit="1" customWidth="1"/>
    <col min="4104" max="4104" width="1.5546875" customWidth="1"/>
    <col min="4105" max="4353" width="11.5546875" customWidth="1"/>
    <col min="4354" max="4354" width="5.6640625" customWidth="1"/>
    <col min="4355" max="4355" width="11.5546875" customWidth="1"/>
    <col min="4356" max="4356" width="41.109375" bestFit="1" customWidth="1"/>
    <col min="4357" max="4357" width="12.6640625" customWidth="1"/>
    <col min="4358" max="4358" width="0.6640625" customWidth="1"/>
    <col min="4359" max="4359" width="14.5546875" bestFit="1" customWidth="1"/>
    <col min="4360" max="4360" width="1.5546875" customWidth="1"/>
    <col min="4361" max="4609" width="11.5546875" customWidth="1"/>
    <col min="4610" max="4610" width="5.6640625" customWidth="1"/>
    <col min="4611" max="4611" width="11.5546875" customWidth="1"/>
    <col min="4612" max="4612" width="41.109375" bestFit="1" customWidth="1"/>
    <col min="4613" max="4613" width="12.6640625" customWidth="1"/>
    <col min="4614" max="4614" width="0.6640625" customWidth="1"/>
    <col min="4615" max="4615" width="14.5546875" bestFit="1" customWidth="1"/>
    <col min="4616" max="4616" width="1.5546875" customWidth="1"/>
    <col min="4617" max="4865" width="11.5546875" customWidth="1"/>
    <col min="4866" max="4866" width="5.6640625" customWidth="1"/>
    <col min="4867" max="4867" width="11.5546875" customWidth="1"/>
    <col min="4868" max="4868" width="41.109375" bestFit="1" customWidth="1"/>
    <col min="4869" max="4869" width="12.6640625" customWidth="1"/>
    <col min="4870" max="4870" width="0.6640625" customWidth="1"/>
    <col min="4871" max="4871" width="14.5546875" bestFit="1" customWidth="1"/>
    <col min="4872" max="4872" width="1.5546875" customWidth="1"/>
    <col min="4873" max="5121" width="11.5546875" customWidth="1"/>
    <col min="5122" max="5122" width="5.6640625" customWidth="1"/>
    <col min="5123" max="5123" width="11.5546875" customWidth="1"/>
    <col min="5124" max="5124" width="41.109375" bestFit="1" customWidth="1"/>
    <col min="5125" max="5125" width="12.6640625" customWidth="1"/>
    <col min="5126" max="5126" width="0.6640625" customWidth="1"/>
    <col min="5127" max="5127" width="14.5546875" bestFit="1" customWidth="1"/>
    <col min="5128" max="5128" width="1.5546875" customWidth="1"/>
    <col min="5129" max="5377" width="11.5546875" customWidth="1"/>
    <col min="5378" max="5378" width="5.6640625" customWidth="1"/>
    <col min="5379" max="5379" width="11.5546875" customWidth="1"/>
    <col min="5380" max="5380" width="41.109375" bestFit="1" customWidth="1"/>
    <col min="5381" max="5381" width="12.6640625" customWidth="1"/>
    <col min="5382" max="5382" width="0.6640625" customWidth="1"/>
    <col min="5383" max="5383" width="14.5546875" bestFit="1" customWidth="1"/>
    <col min="5384" max="5384" width="1.5546875" customWidth="1"/>
    <col min="5385" max="5633" width="11.5546875" customWidth="1"/>
    <col min="5634" max="5634" width="5.6640625" customWidth="1"/>
    <col min="5635" max="5635" width="11.5546875" customWidth="1"/>
    <col min="5636" max="5636" width="41.109375" bestFit="1" customWidth="1"/>
    <col min="5637" max="5637" width="12.6640625" customWidth="1"/>
    <col min="5638" max="5638" width="0.6640625" customWidth="1"/>
    <col min="5639" max="5639" width="14.5546875" bestFit="1" customWidth="1"/>
    <col min="5640" max="5640" width="1.5546875" customWidth="1"/>
    <col min="5641" max="5889" width="11.5546875" customWidth="1"/>
    <col min="5890" max="5890" width="5.6640625" customWidth="1"/>
    <col min="5891" max="5891" width="11.5546875" customWidth="1"/>
    <col min="5892" max="5892" width="41.109375" bestFit="1" customWidth="1"/>
    <col min="5893" max="5893" width="12.6640625" customWidth="1"/>
    <col min="5894" max="5894" width="0.6640625" customWidth="1"/>
    <col min="5895" max="5895" width="14.5546875" bestFit="1" customWidth="1"/>
    <col min="5896" max="5896" width="1.5546875" customWidth="1"/>
    <col min="5897" max="6145" width="11.5546875" customWidth="1"/>
    <col min="6146" max="6146" width="5.6640625" customWidth="1"/>
    <col min="6147" max="6147" width="11.5546875" customWidth="1"/>
    <col min="6148" max="6148" width="41.109375" bestFit="1" customWidth="1"/>
    <col min="6149" max="6149" width="12.6640625" customWidth="1"/>
    <col min="6150" max="6150" width="0.6640625" customWidth="1"/>
    <col min="6151" max="6151" width="14.5546875" bestFit="1" customWidth="1"/>
    <col min="6152" max="6152" width="1.5546875" customWidth="1"/>
    <col min="6153" max="6401" width="11.5546875" customWidth="1"/>
    <col min="6402" max="6402" width="5.6640625" customWidth="1"/>
    <col min="6403" max="6403" width="11.5546875" customWidth="1"/>
    <col min="6404" max="6404" width="41.109375" bestFit="1" customWidth="1"/>
    <col min="6405" max="6405" width="12.6640625" customWidth="1"/>
    <col min="6406" max="6406" width="0.6640625" customWidth="1"/>
    <col min="6407" max="6407" width="14.5546875" bestFit="1" customWidth="1"/>
    <col min="6408" max="6408" width="1.5546875" customWidth="1"/>
    <col min="6409" max="6657" width="11.5546875" customWidth="1"/>
    <col min="6658" max="6658" width="5.6640625" customWidth="1"/>
    <col min="6659" max="6659" width="11.5546875" customWidth="1"/>
    <col min="6660" max="6660" width="41.109375" bestFit="1" customWidth="1"/>
    <col min="6661" max="6661" width="12.6640625" customWidth="1"/>
    <col min="6662" max="6662" width="0.6640625" customWidth="1"/>
    <col min="6663" max="6663" width="14.5546875" bestFit="1" customWidth="1"/>
    <col min="6664" max="6664" width="1.5546875" customWidth="1"/>
    <col min="6665" max="6913" width="11.5546875" customWidth="1"/>
    <col min="6914" max="6914" width="5.6640625" customWidth="1"/>
    <col min="6915" max="6915" width="11.5546875" customWidth="1"/>
    <col min="6916" max="6916" width="41.109375" bestFit="1" customWidth="1"/>
    <col min="6917" max="6917" width="12.6640625" customWidth="1"/>
    <col min="6918" max="6918" width="0.6640625" customWidth="1"/>
    <col min="6919" max="6919" width="14.5546875" bestFit="1" customWidth="1"/>
    <col min="6920" max="6920" width="1.5546875" customWidth="1"/>
    <col min="6921" max="7169" width="11.5546875" customWidth="1"/>
    <col min="7170" max="7170" width="5.6640625" customWidth="1"/>
    <col min="7171" max="7171" width="11.5546875" customWidth="1"/>
    <col min="7172" max="7172" width="41.109375" bestFit="1" customWidth="1"/>
    <col min="7173" max="7173" width="12.6640625" customWidth="1"/>
    <col min="7174" max="7174" width="0.6640625" customWidth="1"/>
    <col min="7175" max="7175" width="14.5546875" bestFit="1" customWidth="1"/>
    <col min="7176" max="7176" width="1.5546875" customWidth="1"/>
    <col min="7177" max="7425" width="11.5546875" customWidth="1"/>
    <col min="7426" max="7426" width="5.6640625" customWidth="1"/>
    <col min="7427" max="7427" width="11.5546875" customWidth="1"/>
    <col min="7428" max="7428" width="41.109375" bestFit="1" customWidth="1"/>
    <col min="7429" max="7429" width="12.6640625" customWidth="1"/>
    <col min="7430" max="7430" width="0.6640625" customWidth="1"/>
    <col min="7431" max="7431" width="14.5546875" bestFit="1" customWidth="1"/>
    <col min="7432" max="7432" width="1.5546875" customWidth="1"/>
    <col min="7433" max="7681" width="11.5546875" customWidth="1"/>
    <col min="7682" max="7682" width="5.6640625" customWidth="1"/>
    <col min="7683" max="7683" width="11.5546875" customWidth="1"/>
    <col min="7684" max="7684" width="41.109375" bestFit="1" customWidth="1"/>
    <col min="7685" max="7685" width="12.6640625" customWidth="1"/>
    <col min="7686" max="7686" width="0.6640625" customWidth="1"/>
    <col min="7687" max="7687" width="14.5546875" bestFit="1" customWidth="1"/>
    <col min="7688" max="7688" width="1.5546875" customWidth="1"/>
    <col min="7689" max="7937" width="11.5546875" customWidth="1"/>
    <col min="7938" max="7938" width="5.6640625" customWidth="1"/>
    <col min="7939" max="7939" width="11.5546875" customWidth="1"/>
    <col min="7940" max="7940" width="41.109375" bestFit="1" customWidth="1"/>
    <col min="7941" max="7941" width="12.6640625" customWidth="1"/>
    <col min="7942" max="7942" width="0.6640625" customWidth="1"/>
    <col min="7943" max="7943" width="14.5546875" bestFit="1" customWidth="1"/>
    <col min="7944" max="7944" width="1.5546875" customWidth="1"/>
    <col min="7945" max="8193" width="11.5546875" customWidth="1"/>
    <col min="8194" max="8194" width="5.6640625" customWidth="1"/>
    <col min="8195" max="8195" width="11.5546875" customWidth="1"/>
    <col min="8196" max="8196" width="41.109375" bestFit="1" customWidth="1"/>
    <col min="8197" max="8197" width="12.6640625" customWidth="1"/>
    <col min="8198" max="8198" width="0.6640625" customWidth="1"/>
    <col min="8199" max="8199" width="14.5546875" bestFit="1" customWidth="1"/>
    <col min="8200" max="8200" width="1.5546875" customWidth="1"/>
    <col min="8201" max="8449" width="11.5546875" customWidth="1"/>
    <col min="8450" max="8450" width="5.6640625" customWidth="1"/>
    <col min="8451" max="8451" width="11.5546875" customWidth="1"/>
    <col min="8452" max="8452" width="41.109375" bestFit="1" customWidth="1"/>
    <col min="8453" max="8453" width="12.6640625" customWidth="1"/>
    <col min="8454" max="8454" width="0.6640625" customWidth="1"/>
    <col min="8455" max="8455" width="14.5546875" bestFit="1" customWidth="1"/>
    <col min="8456" max="8456" width="1.5546875" customWidth="1"/>
    <col min="8457" max="8705" width="11.5546875" customWidth="1"/>
    <col min="8706" max="8706" width="5.6640625" customWidth="1"/>
    <col min="8707" max="8707" width="11.5546875" customWidth="1"/>
    <col min="8708" max="8708" width="41.109375" bestFit="1" customWidth="1"/>
    <col min="8709" max="8709" width="12.6640625" customWidth="1"/>
    <col min="8710" max="8710" width="0.6640625" customWidth="1"/>
    <col min="8711" max="8711" width="14.5546875" bestFit="1" customWidth="1"/>
    <col min="8712" max="8712" width="1.5546875" customWidth="1"/>
    <col min="8713" max="8961" width="11.5546875" customWidth="1"/>
    <col min="8962" max="8962" width="5.6640625" customWidth="1"/>
    <col min="8963" max="8963" width="11.5546875" customWidth="1"/>
    <col min="8964" max="8964" width="41.109375" bestFit="1" customWidth="1"/>
    <col min="8965" max="8965" width="12.6640625" customWidth="1"/>
    <col min="8966" max="8966" width="0.6640625" customWidth="1"/>
    <col min="8967" max="8967" width="14.5546875" bestFit="1" customWidth="1"/>
    <col min="8968" max="8968" width="1.5546875" customWidth="1"/>
    <col min="8969" max="9217" width="11.5546875" customWidth="1"/>
    <col min="9218" max="9218" width="5.6640625" customWidth="1"/>
    <col min="9219" max="9219" width="11.5546875" customWidth="1"/>
    <col min="9220" max="9220" width="41.109375" bestFit="1" customWidth="1"/>
    <col min="9221" max="9221" width="12.6640625" customWidth="1"/>
    <col min="9222" max="9222" width="0.6640625" customWidth="1"/>
    <col min="9223" max="9223" width="14.5546875" bestFit="1" customWidth="1"/>
    <col min="9224" max="9224" width="1.5546875" customWidth="1"/>
    <col min="9225" max="9473" width="11.5546875" customWidth="1"/>
    <col min="9474" max="9474" width="5.6640625" customWidth="1"/>
    <col min="9475" max="9475" width="11.5546875" customWidth="1"/>
    <col min="9476" max="9476" width="41.109375" bestFit="1" customWidth="1"/>
    <col min="9477" max="9477" width="12.6640625" customWidth="1"/>
    <col min="9478" max="9478" width="0.6640625" customWidth="1"/>
    <col min="9479" max="9479" width="14.5546875" bestFit="1" customWidth="1"/>
    <col min="9480" max="9480" width="1.5546875" customWidth="1"/>
    <col min="9481" max="9729" width="11.5546875" customWidth="1"/>
    <col min="9730" max="9730" width="5.6640625" customWidth="1"/>
    <col min="9731" max="9731" width="11.5546875" customWidth="1"/>
    <col min="9732" max="9732" width="41.109375" bestFit="1" customWidth="1"/>
    <col min="9733" max="9733" width="12.6640625" customWidth="1"/>
    <col min="9734" max="9734" width="0.6640625" customWidth="1"/>
    <col min="9735" max="9735" width="14.5546875" bestFit="1" customWidth="1"/>
    <col min="9736" max="9736" width="1.5546875" customWidth="1"/>
    <col min="9737" max="9985" width="11.5546875" customWidth="1"/>
    <col min="9986" max="9986" width="5.6640625" customWidth="1"/>
    <col min="9987" max="9987" width="11.5546875" customWidth="1"/>
    <col min="9988" max="9988" width="41.109375" bestFit="1" customWidth="1"/>
    <col min="9989" max="9989" width="12.6640625" customWidth="1"/>
    <col min="9990" max="9990" width="0.6640625" customWidth="1"/>
    <col min="9991" max="9991" width="14.5546875" bestFit="1" customWidth="1"/>
    <col min="9992" max="9992" width="1.5546875" customWidth="1"/>
    <col min="9993" max="10241" width="11.5546875" customWidth="1"/>
    <col min="10242" max="10242" width="5.6640625" customWidth="1"/>
    <col min="10243" max="10243" width="11.5546875" customWidth="1"/>
    <col min="10244" max="10244" width="41.109375" bestFit="1" customWidth="1"/>
    <col min="10245" max="10245" width="12.6640625" customWidth="1"/>
    <col min="10246" max="10246" width="0.6640625" customWidth="1"/>
    <col min="10247" max="10247" width="14.5546875" bestFit="1" customWidth="1"/>
    <col min="10248" max="10248" width="1.5546875" customWidth="1"/>
    <col min="10249" max="10497" width="11.5546875" customWidth="1"/>
    <col min="10498" max="10498" width="5.6640625" customWidth="1"/>
    <col min="10499" max="10499" width="11.5546875" customWidth="1"/>
    <col min="10500" max="10500" width="41.109375" bestFit="1" customWidth="1"/>
    <col min="10501" max="10501" width="12.6640625" customWidth="1"/>
    <col min="10502" max="10502" width="0.6640625" customWidth="1"/>
    <col min="10503" max="10503" width="14.5546875" bestFit="1" customWidth="1"/>
    <col min="10504" max="10504" width="1.5546875" customWidth="1"/>
    <col min="10505" max="10753" width="11.5546875" customWidth="1"/>
    <col min="10754" max="10754" width="5.6640625" customWidth="1"/>
    <col min="10755" max="10755" width="11.5546875" customWidth="1"/>
    <col min="10756" max="10756" width="41.109375" bestFit="1" customWidth="1"/>
    <col min="10757" max="10757" width="12.6640625" customWidth="1"/>
    <col min="10758" max="10758" width="0.6640625" customWidth="1"/>
    <col min="10759" max="10759" width="14.5546875" bestFit="1" customWidth="1"/>
    <col min="10760" max="10760" width="1.5546875" customWidth="1"/>
    <col min="10761" max="11009" width="11.5546875" customWidth="1"/>
    <col min="11010" max="11010" width="5.6640625" customWidth="1"/>
    <col min="11011" max="11011" width="11.5546875" customWidth="1"/>
    <col min="11012" max="11012" width="41.109375" bestFit="1" customWidth="1"/>
    <col min="11013" max="11013" width="12.6640625" customWidth="1"/>
    <col min="11014" max="11014" width="0.6640625" customWidth="1"/>
    <col min="11015" max="11015" width="14.5546875" bestFit="1" customWidth="1"/>
    <col min="11016" max="11016" width="1.5546875" customWidth="1"/>
    <col min="11017" max="11265" width="11.5546875" customWidth="1"/>
    <col min="11266" max="11266" width="5.6640625" customWidth="1"/>
    <col min="11267" max="11267" width="11.5546875" customWidth="1"/>
    <col min="11268" max="11268" width="41.109375" bestFit="1" customWidth="1"/>
    <col min="11269" max="11269" width="12.6640625" customWidth="1"/>
    <col min="11270" max="11270" width="0.6640625" customWidth="1"/>
    <col min="11271" max="11271" width="14.5546875" bestFit="1" customWidth="1"/>
    <col min="11272" max="11272" width="1.5546875" customWidth="1"/>
    <col min="11273" max="11521" width="11.5546875" customWidth="1"/>
    <col min="11522" max="11522" width="5.6640625" customWidth="1"/>
    <col min="11523" max="11523" width="11.5546875" customWidth="1"/>
    <col min="11524" max="11524" width="41.109375" bestFit="1" customWidth="1"/>
    <col min="11525" max="11525" width="12.6640625" customWidth="1"/>
    <col min="11526" max="11526" width="0.6640625" customWidth="1"/>
    <col min="11527" max="11527" width="14.5546875" bestFit="1" customWidth="1"/>
    <col min="11528" max="11528" width="1.5546875" customWidth="1"/>
    <col min="11529" max="11777" width="11.5546875" customWidth="1"/>
    <col min="11778" max="11778" width="5.6640625" customWidth="1"/>
    <col min="11779" max="11779" width="11.5546875" customWidth="1"/>
    <col min="11780" max="11780" width="41.109375" bestFit="1" customWidth="1"/>
    <col min="11781" max="11781" width="12.6640625" customWidth="1"/>
    <col min="11782" max="11782" width="0.6640625" customWidth="1"/>
    <col min="11783" max="11783" width="14.5546875" bestFit="1" customWidth="1"/>
    <col min="11784" max="11784" width="1.5546875" customWidth="1"/>
    <col min="11785" max="12033" width="11.5546875" customWidth="1"/>
    <col min="12034" max="12034" width="5.6640625" customWidth="1"/>
    <col min="12035" max="12035" width="11.5546875" customWidth="1"/>
    <col min="12036" max="12036" width="41.109375" bestFit="1" customWidth="1"/>
    <col min="12037" max="12037" width="12.6640625" customWidth="1"/>
    <col min="12038" max="12038" width="0.6640625" customWidth="1"/>
    <col min="12039" max="12039" width="14.5546875" bestFit="1" customWidth="1"/>
    <col min="12040" max="12040" width="1.5546875" customWidth="1"/>
    <col min="12041" max="12289" width="11.5546875" customWidth="1"/>
    <col min="12290" max="12290" width="5.6640625" customWidth="1"/>
    <col min="12291" max="12291" width="11.5546875" customWidth="1"/>
    <col min="12292" max="12292" width="41.109375" bestFit="1" customWidth="1"/>
    <col min="12293" max="12293" width="12.6640625" customWidth="1"/>
    <col min="12294" max="12294" width="0.6640625" customWidth="1"/>
    <col min="12295" max="12295" width="14.5546875" bestFit="1" customWidth="1"/>
    <col min="12296" max="12296" width="1.5546875" customWidth="1"/>
    <col min="12297" max="12545" width="11.5546875" customWidth="1"/>
    <col min="12546" max="12546" width="5.6640625" customWidth="1"/>
    <col min="12547" max="12547" width="11.5546875" customWidth="1"/>
    <col min="12548" max="12548" width="41.109375" bestFit="1" customWidth="1"/>
    <col min="12549" max="12549" width="12.6640625" customWidth="1"/>
    <col min="12550" max="12550" width="0.6640625" customWidth="1"/>
    <col min="12551" max="12551" width="14.5546875" bestFit="1" customWidth="1"/>
    <col min="12552" max="12552" width="1.5546875" customWidth="1"/>
    <col min="12553" max="12801" width="11.5546875" customWidth="1"/>
    <col min="12802" max="12802" width="5.6640625" customWidth="1"/>
    <col min="12803" max="12803" width="11.5546875" customWidth="1"/>
    <col min="12804" max="12804" width="41.109375" bestFit="1" customWidth="1"/>
    <col min="12805" max="12805" width="12.6640625" customWidth="1"/>
    <col min="12806" max="12806" width="0.6640625" customWidth="1"/>
    <col min="12807" max="12807" width="14.5546875" bestFit="1" customWidth="1"/>
    <col min="12808" max="12808" width="1.5546875" customWidth="1"/>
    <col min="12809" max="13057" width="11.5546875" customWidth="1"/>
    <col min="13058" max="13058" width="5.6640625" customWidth="1"/>
    <col min="13059" max="13059" width="11.5546875" customWidth="1"/>
    <col min="13060" max="13060" width="41.109375" bestFit="1" customWidth="1"/>
    <col min="13061" max="13061" width="12.6640625" customWidth="1"/>
    <col min="13062" max="13062" width="0.6640625" customWidth="1"/>
    <col min="13063" max="13063" width="14.5546875" bestFit="1" customWidth="1"/>
    <col min="13064" max="13064" width="1.5546875" customWidth="1"/>
    <col min="13065" max="13313" width="11.5546875" customWidth="1"/>
    <col min="13314" max="13314" width="5.6640625" customWidth="1"/>
    <col min="13315" max="13315" width="11.5546875" customWidth="1"/>
    <col min="13316" max="13316" width="41.109375" bestFit="1" customWidth="1"/>
    <col min="13317" max="13317" width="12.6640625" customWidth="1"/>
    <col min="13318" max="13318" width="0.6640625" customWidth="1"/>
    <col min="13319" max="13319" width="14.5546875" bestFit="1" customWidth="1"/>
    <col min="13320" max="13320" width="1.5546875" customWidth="1"/>
    <col min="13321" max="13569" width="11.5546875" customWidth="1"/>
    <col min="13570" max="13570" width="5.6640625" customWidth="1"/>
    <col min="13571" max="13571" width="11.5546875" customWidth="1"/>
    <col min="13572" max="13572" width="41.109375" bestFit="1" customWidth="1"/>
    <col min="13573" max="13573" width="12.6640625" customWidth="1"/>
    <col min="13574" max="13574" width="0.6640625" customWidth="1"/>
    <col min="13575" max="13575" width="14.5546875" bestFit="1" customWidth="1"/>
    <col min="13576" max="13576" width="1.5546875" customWidth="1"/>
    <col min="13577" max="13825" width="11.5546875" customWidth="1"/>
    <col min="13826" max="13826" width="5.6640625" customWidth="1"/>
    <col min="13827" max="13827" width="11.5546875" customWidth="1"/>
    <col min="13828" max="13828" width="41.109375" bestFit="1" customWidth="1"/>
    <col min="13829" max="13829" width="12.6640625" customWidth="1"/>
    <col min="13830" max="13830" width="0.6640625" customWidth="1"/>
    <col min="13831" max="13831" width="14.5546875" bestFit="1" customWidth="1"/>
    <col min="13832" max="13832" width="1.5546875" customWidth="1"/>
    <col min="13833" max="14081" width="11.5546875" customWidth="1"/>
    <col min="14082" max="14082" width="5.6640625" customWidth="1"/>
    <col min="14083" max="14083" width="11.5546875" customWidth="1"/>
    <col min="14084" max="14084" width="41.109375" bestFit="1" customWidth="1"/>
    <col min="14085" max="14085" width="12.6640625" customWidth="1"/>
    <col min="14086" max="14086" width="0.6640625" customWidth="1"/>
    <col min="14087" max="14087" width="14.5546875" bestFit="1" customWidth="1"/>
    <col min="14088" max="14088" width="1.5546875" customWidth="1"/>
    <col min="14089" max="14337" width="11.5546875" customWidth="1"/>
    <col min="14338" max="14338" width="5.6640625" customWidth="1"/>
    <col min="14339" max="14339" width="11.5546875" customWidth="1"/>
    <col min="14340" max="14340" width="41.109375" bestFit="1" customWidth="1"/>
    <col min="14341" max="14341" width="12.6640625" customWidth="1"/>
    <col min="14342" max="14342" width="0.6640625" customWidth="1"/>
    <col min="14343" max="14343" width="14.5546875" bestFit="1" customWidth="1"/>
    <col min="14344" max="14344" width="1.5546875" customWidth="1"/>
    <col min="14345" max="14593" width="11.5546875" customWidth="1"/>
    <col min="14594" max="14594" width="5.6640625" customWidth="1"/>
    <col min="14595" max="14595" width="11.5546875" customWidth="1"/>
    <col min="14596" max="14596" width="41.109375" bestFit="1" customWidth="1"/>
    <col min="14597" max="14597" width="12.6640625" customWidth="1"/>
    <col min="14598" max="14598" width="0.6640625" customWidth="1"/>
    <col min="14599" max="14599" width="14.5546875" bestFit="1" customWidth="1"/>
    <col min="14600" max="14600" width="1.5546875" customWidth="1"/>
    <col min="14601" max="14849" width="11.5546875" customWidth="1"/>
    <col min="14850" max="14850" width="5.6640625" customWidth="1"/>
    <col min="14851" max="14851" width="11.5546875" customWidth="1"/>
    <col min="14852" max="14852" width="41.109375" bestFit="1" customWidth="1"/>
    <col min="14853" max="14853" width="12.6640625" customWidth="1"/>
    <col min="14854" max="14854" width="0.6640625" customWidth="1"/>
    <col min="14855" max="14855" width="14.5546875" bestFit="1" customWidth="1"/>
    <col min="14856" max="14856" width="1.5546875" customWidth="1"/>
    <col min="14857" max="15105" width="11.5546875" customWidth="1"/>
    <col min="15106" max="15106" width="5.6640625" customWidth="1"/>
    <col min="15107" max="15107" width="11.5546875" customWidth="1"/>
    <col min="15108" max="15108" width="41.109375" bestFit="1" customWidth="1"/>
    <col min="15109" max="15109" width="12.6640625" customWidth="1"/>
    <col min="15110" max="15110" width="0.6640625" customWidth="1"/>
    <col min="15111" max="15111" width="14.5546875" bestFit="1" customWidth="1"/>
    <col min="15112" max="15112" width="1.5546875" customWidth="1"/>
    <col min="15113" max="15361" width="11.5546875" customWidth="1"/>
    <col min="15362" max="15362" width="5.6640625" customWidth="1"/>
    <col min="15363" max="15363" width="11.5546875" customWidth="1"/>
    <col min="15364" max="15364" width="41.109375" bestFit="1" customWidth="1"/>
    <col min="15365" max="15365" width="12.6640625" customWidth="1"/>
    <col min="15366" max="15366" width="0.6640625" customWidth="1"/>
    <col min="15367" max="15367" width="14.5546875" bestFit="1" customWidth="1"/>
    <col min="15368" max="15368" width="1.5546875" customWidth="1"/>
    <col min="15369" max="15617" width="11.5546875" customWidth="1"/>
    <col min="15618" max="15618" width="5.6640625" customWidth="1"/>
    <col min="15619" max="15619" width="11.5546875" customWidth="1"/>
    <col min="15620" max="15620" width="41.109375" bestFit="1" customWidth="1"/>
    <col min="15621" max="15621" width="12.6640625" customWidth="1"/>
    <col min="15622" max="15622" width="0.6640625" customWidth="1"/>
    <col min="15623" max="15623" width="14.5546875" bestFit="1" customWidth="1"/>
    <col min="15624" max="15624" width="1.5546875" customWidth="1"/>
    <col min="15625" max="15873" width="11.5546875" customWidth="1"/>
    <col min="15874" max="15874" width="5.6640625" customWidth="1"/>
    <col min="15875" max="15875" width="11.5546875" customWidth="1"/>
    <col min="15876" max="15876" width="41.109375" bestFit="1" customWidth="1"/>
    <col min="15877" max="15877" width="12.6640625" customWidth="1"/>
    <col min="15878" max="15878" width="0.6640625" customWidth="1"/>
    <col min="15879" max="15879" width="14.5546875" bestFit="1" customWidth="1"/>
    <col min="15880" max="15880" width="1.5546875" customWidth="1"/>
    <col min="15881" max="16129" width="11.5546875" customWidth="1"/>
    <col min="16130" max="16130" width="5.6640625" customWidth="1"/>
    <col min="16131" max="16131" width="11.5546875" customWidth="1"/>
    <col min="16132" max="16132" width="41.109375" bestFit="1" customWidth="1"/>
    <col min="16133" max="16133" width="12.6640625" customWidth="1"/>
    <col min="16134" max="16134" width="0.6640625" customWidth="1"/>
    <col min="16135" max="16135" width="14.5546875" bestFit="1" customWidth="1"/>
    <col min="16136" max="16136" width="1.5546875" customWidth="1"/>
    <col min="16137" max="16384" width="11.5546875" customWidth="1"/>
  </cols>
  <sheetData>
    <row r="3" spans="2:35" x14ac:dyDescent="0.3">
      <c r="B3" s="331" t="s">
        <v>134</v>
      </c>
      <c r="C3" s="331"/>
      <c r="D3" s="331"/>
      <c r="E3" s="331"/>
      <c r="F3" s="331"/>
      <c r="G3" s="331"/>
      <c r="H3" s="331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</row>
    <row r="4" spans="2:35" x14ac:dyDescent="0.3">
      <c r="B4" s="331" t="s">
        <v>135</v>
      </c>
      <c r="C4" s="331"/>
      <c r="D4" s="331"/>
      <c r="E4" s="331"/>
      <c r="F4" s="331"/>
      <c r="G4" s="331"/>
      <c r="H4" s="331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</row>
    <row r="5" spans="2:35" x14ac:dyDescent="0.3">
      <c r="B5" s="95"/>
      <c r="C5" s="95"/>
      <c r="D5" s="95"/>
      <c r="E5" s="95"/>
      <c r="F5" s="114"/>
      <c r="G5" s="115" t="s">
        <v>136</v>
      </c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</row>
    <row r="6" spans="2:35" x14ac:dyDescent="0.3">
      <c r="B6" s="328" t="s">
        <v>137</v>
      </c>
      <c r="C6" s="328" t="s">
        <v>138</v>
      </c>
      <c r="D6" s="328" t="s">
        <v>139</v>
      </c>
      <c r="E6" s="328" t="s">
        <v>140</v>
      </c>
      <c r="F6" s="114"/>
      <c r="G6" s="116" t="s">
        <v>141</v>
      </c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</row>
    <row r="7" spans="2:35" x14ac:dyDescent="0.3">
      <c r="B7" s="330"/>
      <c r="C7" s="330"/>
      <c r="D7" s="330"/>
      <c r="E7" s="332"/>
      <c r="F7" s="117"/>
      <c r="G7" s="118" t="s">
        <v>142</v>
      </c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</row>
    <row r="8" spans="2:35" x14ac:dyDescent="0.3"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</row>
    <row r="9" spans="2:35" x14ac:dyDescent="0.3">
      <c r="B9" s="325">
        <v>1</v>
      </c>
      <c r="C9" s="328" t="s">
        <v>130</v>
      </c>
      <c r="D9" s="119" t="s">
        <v>65</v>
      </c>
      <c r="E9" s="333" t="s">
        <v>143</v>
      </c>
      <c r="F9" s="95"/>
      <c r="G9" s="120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</row>
    <row r="10" spans="2:35" x14ac:dyDescent="0.3">
      <c r="B10" s="326"/>
      <c r="C10" s="329"/>
      <c r="D10" s="119" t="s">
        <v>144</v>
      </c>
      <c r="E10" s="334"/>
      <c r="F10" s="121"/>
      <c r="G10" s="120">
        <v>18.239999999999998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</row>
    <row r="11" spans="2:35" ht="12.75" customHeight="1" x14ac:dyDescent="0.3">
      <c r="B11" s="326"/>
      <c r="C11" s="329"/>
      <c r="D11" s="119" t="s">
        <v>145</v>
      </c>
      <c r="E11" s="334"/>
      <c r="F11" s="121"/>
      <c r="G11" s="120">
        <v>42.97</v>
      </c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</row>
    <row r="12" spans="2:35" ht="12.75" customHeight="1" x14ac:dyDescent="0.3">
      <c r="B12" s="326"/>
      <c r="C12" s="329"/>
      <c r="D12" s="119" t="s">
        <v>146</v>
      </c>
      <c r="E12" s="334"/>
      <c r="F12" s="121"/>
      <c r="G12" s="120">
        <v>65.92</v>
      </c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</row>
    <row r="13" spans="2:35" ht="12.75" customHeight="1" x14ac:dyDescent="0.3">
      <c r="B13" s="326"/>
      <c r="C13" s="329"/>
      <c r="D13" s="119" t="s">
        <v>147</v>
      </c>
      <c r="E13" s="334"/>
      <c r="F13" s="121"/>
      <c r="G13" s="120">
        <v>88.75</v>
      </c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</row>
    <row r="14" spans="2:35" ht="12.75" customHeight="1" x14ac:dyDescent="0.3">
      <c r="B14" s="326"/>
      <c r="C14" s="329"/>
      <c r="D14" s="119" t="s">
        <v>148</v>
      </c>
      <c r="E14" s="334"/>
      <c r="F14" s="121"/>
      <c r="G14" s="120">
        <v>111.56</v>
      </c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</row>
    <row r="15" spans="2:35" x14ac:dyDescent="0.3">
      <c r="B15" s="326"/>
      <c r="C15" s="329"/>
      <c r="D15" s="119" t="s">
        <v>149</v>
      </c>
      <c r="E15" s="334"/>
      <c r="F15" s="121"/>
      <c r="G15" s="120">
        <v>134.4</v>
      </c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</row>
    <row r="16" spans="2:35" ht="12.75" customHeight="1" x14ac:dyDescent="0.3">
      <c r="B16" s="326"/>
      <c r="C16" s="329"/>
      <c r="D16" s="119" t="s">
        <v>150</v>
      </c>
      <c r="E16" s="335"/>
      <c r="F16" s="121"/>
      <c r="G16" s="120">
        <v>144.56</v>
      </c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</row>
    <row r="17" spans="2:35" x14ac:dyDescent="0.3">
      <c r="B17" s="326"/>
      <c r="C17" s="329"/>
      <c r="D17" s="119" t="s">
        <v>151</v>
      </c>
      <c r="E17" s="122" t="s">
        <v>152</v>
      </c>
      <c r="F17" s="121"/>
      <c r="G17" s="120">
        <v>4.4400000000000004</v>
      </c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</row>
    <row r="18" spans="2:35" x14ac:dyDescent="0.3">
      <c r="B18" s="326"/>
      <c r="C18" s="329"/>
      <c r="D18" s="119" t="s">
        <v>153</v>
      </c>
      <c r="E18" s="122" t="s">
        <v>154</v>
      </c>
      <c r="F18" s="121"/>
      <c r="G18" s="120">
        <v>6.97</v>
      </c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</row>
    <row r="19" spans="2:35" x14ac:dyDescent="0.3">
      <c r="B19" s="326"/>
      <c r="C19" s="329"/>
      <c r="D19" s="119" t="s">
        <v>155</v>
      </c>
      <c r="E19" s="122" t="s">
        <v>156</v>
      </c>
      <c r="F19" s="121"/>
      <c r="G19" s="120">
        <v>10.86</v>
      </c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</row>
    <row r="20" spans="2:35" ht="12.75" customHeight="1" x14ac:dyDescent="0.3">
      <c r="B20" s="326"/>
      <c r="C20" s="329"/>
      <c r="D20" s="119" t="s">
        <v>157</v>
      </c>
      <c r="E20" s="122" t="s">
        <v>158</v>
      </c>
      <c r="F20" s="121"/>
      <c r="G20" s="120">
        <v>11.1</v>
      </c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</row>
    <row r="21" spans="2:35" ht="12.75" customHeight="1" x14ac:dyDescent="0.3">
      <c r="B21" s="327"/>
      <c r="C21" s="330"/>
      <c r="D21" s="119" t="s">
        <v>159</v>
      </c>
      <c r="E21" s="122" t="s">
        <v>158</v>
      </c>
      <c r="F21" s="121"/>
      <c r="G21" s="120">
        <v>11.1</v>
      </c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</row>
    <row r="22" spans="2:35" ht="12.75" customHeight="1" x14ac:dyDescent="0.3">
      <c r="B22" s="123"/>
      <c r="C22" s="95"/>
      <c r="D22" s="95"/>
      <c r="E22" s="123"/>
      <c r="F22" s="95"/>
      <c r="G22" s="121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</row>
    <row r="23" spans="2:35" ht="12.75" customHeight="1" x14ac:dyDescent="0.3">
      <c r="B23" s="325">
        <v>2</v>
      </c>
      <c r="C23" s="328" t="s">
        <v>107</v>
      </c>
      <c r="D23" s="119" t="s">
        <v>65</v>
      </c>
      <c r="E23" s="122" t="s">
        <v>160</v>
      </c>
      <c r="F23" s="121"/>
      <c r="G23" s="120">
        <v>137.66999999999999</v>
      </c>
      <c r="H23" s="95"/>
      <c r="I23" s="121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</row>
    <row r="24" spans="2:35" x14ac:dyDescent="0.3">
      <c r="B24" s="326"/>
      <c r="C24" s="329"/>
      <c r="D24" s="119" t="s">
        <v>151</v>
      </c>
      <c r="E24" s="122" t="s">
        <v>161</v>
      </c>
      <c r="F24" s="121"/>
      <c r="G24" s="120">
        <v>5.97</v>
      </c>
      <c r="H24" s="124"/>
      <c r="I24" s="121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</row>
    <row r="25" spans="2:35" x14ac:dyDescent="0.3">
      <c r="B25" s="326"/>
      <c r="C25" s="329"/>
      <c r="D25" s="119" t="s">
        <v>153</v>
      </c>
      <c r="E25" s="122" t="s">
        <v>162</v>
      </c>
      <c r="F25" s="121"/>
      <c r="G25" s="120">
        <v>8.6199999999999992</v>
      </c>
      <c r="H25" s="124"/>
      <c r="I25" s="121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</row>
    <row r="26" spans="2:35" x14ac:dyDescent="0.3">
      <c r="B26" s="326"/>
      <c r="C26" s="329"/>
      <c r="D26" s="119" t="s">
        <v>155</v>
      </c>
      <c r="E26" s="122" t="s">
        <v>163</v>
      </c>
      <c r="F26" s="121"/>
      <c r="G26" s="120">
        <v>11.3</v>
      </c>
      <c r="H26" s="124"/>
      <c r="I26" s="121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</row>
    <row r="27" spans="2:35" ht="12.75" customHeight="1" x14ac:dyDescent="0.3">
      <c r="B27" s="326"/>
      <c r="C27" s="329"/>
      <c r="D27" s="119" t="s">
        <v>157</v>
      </c>
      <c r="E27" s="122" t="s">
        <v>164</v>
      </c>
      <c r="F27" s="121"/>
      <c r="G27" s="120">
        <v>11.3</v>
      </c>
      <c r="H27" s="95"/>
      <c r="I27" s="121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</row>
    <row r="28" spans="2:35" ht="12.75" customHeight="1" x14ac:dyDescent="0.3">
      <c r="B28" s="327"/>
      <c r="C28" s="330"/>
      <c r="D28" s="119" t="s">
        <v>159</v>
      </c>
      <c r="E28" s="122" t="s">
        <v>158</v>
      </c>
      <c r="F28" s="121"/>
      <c r="G28" s="120">
        <v>11.53</v>
      </c>
      <c r="H28" s="95"/>
      <c r="I28" s="121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</row>
    <row r="29" spans="2:35" x14ac:dyDescent="0.3">
      <c r="B29" s="123"/>
      <c r="C29" s="95"/>
      <c r="D29" s="95"/>
      <c r="E29" s="123"/>
      <c r="F29" s="95"/>
      <c r="G29" s="121"/>
      <c r="H29" s="95"/>
      <c r="I29" s="121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</row>
    <row r="30" spans="2:35" x14ac:dyDescent="0.3">
      <c r="B30" s="325">
        <v>3</v>
      </c>
      <c r="C30" s="328" t="s">
        <v>126</v>
      </c>
      <c r="D30" s="119" t="s">
        <v>65</v>
      </c>
      <c r="E30" s="122" t="s">
        <v>165</v>
      </c>
      <c r="F30" s="121"/>
      <c r="G30" s="120">
        <v>215.48</v>
      </c>
      <c r="H30" s="95"/>
      <c r="I30" s="121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</row>
    <row r="31" spans="2:35" x14ac:dyDescent="0.3">
      <c r="B31" s="326"/>
      <c r="C31" s="329"/>
      <c r="D31" s="119" t="s">
        <v>166</v>
      </c>
      <c r="E31" s="122" t="s">
        <v>167</v>
      </c>
      <c r="F31" s="121"/>
      <c r="G31" s="120">
        <v>7.37</v>
      </c>
      <c r="H31" s="95"/>
      <c r="I31" s="121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</row>
    <row r="32" spans="2:35" x14ac:dyDescent="0.3">
      <c r="B32" s="327"/>
      <c r="C32" s="330"/>
      <c r="D32" s="119" t="s">
        <v>168</v>
      </c>
      <c r="E32" s="122" t="s">
        <v>169</v>
      </c>
      <c r="F32" s="121"/>
      <c r="G32" s="120">
        <v>983.99</v>
      </c>
      <c r="H32" s="95"/>
      <c r="I32" s="121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</row>
    <row r="33" spans="2:35" x14ac:dyDescent="0.3">
      <c r="B33" s="123"/>
      <c r="C33" s="95"/>
      <c r="D33" s="95"/>
      <c r="E33" s="123"/>
      <c r="F33" s="95"/>
      <c r="G33" s="121"/>
      <c r="H33" s="95"/>
      <c r="I33" s="121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</row>
    <row r="34" spans="2:35" x14ac:dyDescent="0.3">
      <c r="B34" s="325">
        <v>4</v>
      </c>
      <c r="C34" s="328" t="s">
        <v>128</v>
      </c>
      <c r="D34" s="119" t="s">
        <v>65</v>
      </c>
      <c r="E34" s="122" t="s">
        <v>170</v>
      </c>
      <c r="F34" s="121"/>
      <c r="G34" s="120">
        <v>164.32</v>
      </c>
      <c r="H34" s="95"/>
      <c r="I34" s="121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</row>
    <row r="35" spans="2:35" x14ac:dyDescent="0.3">
      <c r="B35" s="326"/>
      <c r="C35" s="329"/>
      <c r="D35" s="119" t="s">
        <v>166</v>
      </c>
      <c r="E35" s="122" t="s">
        <v>171</v>
      </c>
      <c r="F35" s="121"/>
      <c r="G35" s="120">
        <v>7.26</v>
      </c>
      <c r="H35" s="95"/>
      <c r="I35" s="121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</row>
    <row r="36" spans="2:35" x14ac:dyDescent="0.3">
      <c r="B36" s="326"/>
      <c r="C36" s="329"/>
      <c r="D36" s="119" t="s">
        <v>172</v>
      </c>
      <c r="E36" s="122" t="s">
        <v>173</v>
      </c>
      <c r="F36" s="121"/>
      <c r="G36" s="120">
        <v>253.35</v>
      </c>
      <c r="H36" s="95"/>
      <c r="I36" s="121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</row>
    <row r="37" spans="2:35" x14ac:dyDescent="0.3">
      <c r="B37" s="327"/>
      <c r="C37" s="330"/>
      <c r="D37" s="119" t="s">
        <v>174</v>
      </c>
      <c r="E37" s="122" t="s">
        <v>175</v>
      </c>
      <c r="F37" s="121"/>
      <c r="G37" s="120">
        <v>1412.74</v>
      </c>
      <c r="H37" s="95"/>
      <c r="I37" s="121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</row>
    <row r="38" spans="2:35" x14ac:dyDescent="0.3">
      <c r="B38" s="123"/>
      <c r="C38" s="95"/>
      <c r="D38" s="95"/>
      <c r="E38" s="123"/>
      <c r="F38" s="95"/>
      <c r="G38" s="121"/>
      <c r="H38" s="95"/>
      <c r="I38" s="121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</row>
    <row r="39" spans="2:35" x14ac:dyDescent="0.3">
      <c r="B39" s="325">
        <v>5</v>
      </c>
      <c r="C39" s="328" t="s">
        <v>110</v>
      </c>
      <c r="D39" s="119" t="s">
        <v>65</v>
      </c>
      <c r="E39" s="122" t="s">
        <v>176</v>
      </c>
      <c r="F39" s="121"/>
      <c r="G39" s="120">
        <v>224.53</v>
      </c>
      <c r="H39" s="95"/>
      <c r="I39" s="121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</row>
    <row r="40" spans="2:35" x14ac:dyDescent="0.3">
      <c r="B40" s="326"/>
      <c r="C40" s="329"/>
      <c r="D40" s="119" t="s">
        <v>166</v>
      </c>
      <c r="E40" s="122" t="s">
        <v>177</v>
      </c>
      <c r="F40" s="121"/>
      <c r="G40" s="120">
        <v>7.81</v>
      </c>
      <c r="H40" s="95"/>
      <c r="I40" s="121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</row>
    <row r="41" spans="2:35" x14ac:dyDescent="0.3">
      <c r="B41" s="327"/>
      <c r="C41" s="330"/>
      <c r="D41" s="119" t="s">
        <v>168</v>
      </c>
      <c r="E41" s="122" t="s">
        <v>178</v>
      </c>
      <c r="F41" s="121"/>
      <c r="G41" s="120">
        <v>485.98</v>
      </c>
      <c r="H41" s="95"/>
      <c r="I41" s="121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</row>
    <row r="42" spans="2:35" x14ac:dyDescent="0.3">
      <c r="B42" s="123"/>
      <c r="C42" s="95"/>
      <c r="D42" s="95"/>
      <c r="E42" s="123"/>
      <c r="F42" s="95"/>
      <c r="G42" s="121"/>
      <c r="H42" s="95"/>
      <c r="I42" s="121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</row>
    <row r="43" spans="2:35" x14ac:dyDescent="0.3">
      <c r="B43" s="325">
        <v>6</v>
      </c>
      <c r="C43" s="328" t="s">
        <v>179</v>
      </c>
      <c r="D43" s="119" t="s">
        <v>65</v>
      </c>
      <c r="E43" s="122" t="s">
        <v>180</v>
      </c>
      <c r="F43" s="121"/>
      <c r="G43" s="120">
        <v>224.42</v>
      </c>
      <c r="H43" s="95"/>
      <c r="I43" s="121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</row>
    <row r="44" spans="2:35" x14ac:dyDescent="0.3">
      <c r="B44" s="326"/>
      <c r="C44" s="329"/>
      <c r="D44" s="119" t="s">
        <v>166</v>
      </c>
      <c r="E44" s="122" t="s">
        <v>181</v>
      </c>
      <c r="F44" s="121"/>
      <c r="G44" s="120">
        <v>7.38</v>
      </c>
      <c r="H44" s="95"/>
      <c r="I44" s="121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</row>
    <row r="45" spans="2:35" x14ac:dyDescent="0.3">
      <c r="B45" s="327"/>
      <c r="C45" s="330"/>
      <c r="D45" s="119" t="s">
        <v>168</v>
      </c>
      <c r="E45" s="122" t="s">
        <v>182</v>
      </c>
      <c r="F45" s="121"/>
      <c r="G45" s="120">
        <v>340.39</v>
      </c>
      <c r="H45" s="95"/>
      <c r="I45" s="121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</row>
    <row r="46" spans="2:35" x14ac:dyDescent="0.3">
      <c r="B46" s="125"/>
      <c r="C46" s="125"/>
      <c r="D46" s="95"/>
      <c r="E46" s="123"/>
      <c r="F46" s="95"/>
      <c r="G46" s="121"/>
      <c r="H46" s="95"/>
      <c r="I46" s="121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</row>
    <row r="47" spans="2:35" x14ac:dyDescent="0.3">
      <c r="B47" s="325">
        <v>7</v>
      </c>
      <c r="C47" s="328" t="s">
        <v>127</v>
      </c>
      <c r="D47" s="119" t="s">
        <v>65</v>
      </c>
      <c r="E47" s="122" t="s">
        <v>183</v>
      </c>
      <c r="F47" s="121"/>
      <c r="G47" s="120">
        <v>164.32</v>
      </c>
      <c r="H47" s="95"/>
      <c r="I47" s="121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/>
    </row>
    <row r="48" spans="2:35" x14ac:dyDescent="0.3">
      <c r="B48" s="326"/>
      <c r="C48" s="329"/>
      <c r="D48" s="119" t="s">
        <v>166</v>
      </c>
      <c r="E48" s="122" t="s">
        <v>184</v>
      </c>
      <c r="F48" s="121"/>
      <c r="G48" s="120">
        <v>7.26</v>
      </c>
      <c r="H48" s="95"/>
      <c r="I48" s="121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</row>
    <row r="49" spans="2:35" x14ac:dyDescent="0.3">
      <c r="B49" s="326"/>
      <c r="C49" s="329"/>
      <c r="D49" s="119" t="s">
        <v>172</v>
      </c>
      <c r="E49" s="122" t="s">
        <v>185</v>
      </c>
      <c r="F49" s="121"/>
      <c r="G49" s="120">
        <v>97.33</v>
      </c>
      <c r="H49" s="95"/>
      <c r="I49" s="121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</row>
    <row r="50" spans="2:35" x14ac:dyDescent="0.3">
      <c r="B50" s="327"/>
      <c r="C50" s="330"/>
      <c r="D50" s="119" t="s">
        <v>174</v>
      </c>
      <c r="E50" s="122" t="s">
        <v>186</v>
      </c>
      <c r="F50" s="121"/>
      <c r="G50" s="120">
        <v>985.26</v>
      </c>
      <c r="H50" s="95"/>
      <c r="I50" s="121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95"/>
      <c r="AI50" s="95"/>
    </row>
  </sheetData>
  <protectedRanges>
    <protectedRange sqref="B2:H7" name="Rango2"/>
    <protectedRange sqref="G5:G7" name="Rango1"/>
  </protectedRanges>
  <mergeCells count="21">
    <mergeCell ref="B30:B32"/>
    <mergeCell ref="C30:C32"/>
    <mergeCell ref="B3:H3"/>
    <mergeCell ref="B4:H4"/>
    <mergeCell ref="B6:B7"/>
    <mergeCell ref="C6:C7"/>
    <mergeCell ref="D6:D7"/>
    <mergeCell ref="E6:E7"/>
    <mergeCell ref="B9:B21"/>
    <mergeCell ref="C9:C21"/>
    <mergeCell ref="E9:E16"/>
    <mergeCell ref="B23:B28"/>
    <mergeCell ref="C23:C28"/>
    <mergeCell ref="B47:B50"/>
    <mergeCell ref="C47:C50"/>
    <mergeCell ref="B34:B37"/>
    <mergeCell ref="C34:C37"/>
    <mergeCell ref="B39:B41"/>
    <mergeCell ref="C39:C41"/>
    <mergeCell ref="B43:B45"/>
    <mergeCell ref="C43:C4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D4900-6D74-48CE-A6FE-9A571505D97B}">
  <sheetPr codeName="Sheet17"/>
  <dimension ref="B1:B33"/>
  <sheetViews>
    <sheetView workbookViewId="0">
      <selection activeCell="H17" sqref="H17"/>
    </sheetView>
  </sheetViews>
  <sheetFormatPr baseColWidth="10" defaultColWidth="9.109375" defaultRowHeight="14.4" x14ac:dyDescent="0.3"/>
  <cols>
    <col min="2" max="2" width="48.6640625" customWidth="1"/>
  </cols>
  <sheetData>
    <row r="1" spans="2:2" x14ac:dyDescent="0.3">
      <c r="B1" t="s">
        <v>272</v>
      </c>
    </row>
    <row r="2" spans="2:2" ht="14.4" customHeight="1" x14ac:dyDescent="0.3">
      <c r="B2" s="154" t="s">
        <v>277</v>
      </c>
    </row>
    <row r="3" spans="2:2" ht="14.4" customHeight="1" x14ac:dyDescent="0.3">
      <c r="B3" s="154" t="s">
        <v>276</v>
      </c>
    </row>
    <row r="4" spans="2:2" ht="14.4" customHeight="1" x14ac:dyDescent="0.3">
      <c r="B4" s="154" t="s">
        <v>278</v>
      </c>
    </row>
    <row r="5" spans="2:2" ht="14.4" customHeight="1" x14ac:dyDescent="0.3">
      <c r="B5" s="154" t="s">
        <v>279</v>
      </c>
    </row>
    <row r="6" spans="2:2" ht="14.4" customHeight="1" x14ac:dyDescent="0.3">
      <c r="B6" s="154" t="s">
        <v>280</v>
      </c>
    </row>
    <row r="7" spans="2:2" ht="14.4" customHeight="1" x14ac:dyDescent="0.3">
      <c r="B7" s="154" t="s">
        <v>281</v>
      </c>
    </row>
    <row r="8" spans="2:2" ht="14.4" customHeight="1" x14ac:dyDescent="0.3">
      <c r="B8" s="154" t="s">
        <v>282</v>
      </c>
    </row>
    <row r="9" spans="2:2" ht="14.4" customHeight="1" x14ac:dyDescent="0.3">
      <c r="B9" s="154" t="s">
        <v>283</v>
      </c>
    </row>
    <row r="10" spans="2:2" ht="14.4" customHeight="1" x14ac:dyDescent="0.3">
      <c r="B10" s="154" t="s">
        <v>284</v>
      </c>
    </row>
    <row r="11" spans="2:2" ht="14.4" customHeight="1" x14ac:dyDescent="0.3">
      <c r="B11" s="154" t="s">
        <v>285</v>
      </c>
    </row>
    <row r="12" spans="2:2" ht="14.4" customHeight="1" x14ac:dyDescent="0.3">
      <c r="B12" s="154" t="s">
        <v>286</v>
      </c>
    </row>
    <row r="13" spans="2:2" ht="14.4" customHeight="1" x14ac:dyDescent="0.3">
      <c r="B13" s="154" t="s">
        <v>287</v>
      </c>
    </row>
    <row r="14" spans="2:2" ht="14.4" customHeight="1" x14ac:dyDescent="0.3">
      <c r="B14" s="154" t="s">
        <v>288</v>
      </c>
    </row>
    <row r="15" spans="2:2" ht="14.4" customHeight="1" x14ac:dyDescent="0.3">
      <c r="B15" s="154" t="s">
        <v>289</v>
      </c>
    </row>
    <row r="16" spans="2:2" ht="14.4" customHeight="1" x14ac:dyDescent="0.3">
      <c r="B16" s="154" t="s">
        <v>290</v>
      </c>
    </row>
    <row r="17" spans="2:2" ht="14.4" customHeight="1" x14ac:dyDescent="0.3">
      <c r="B17" s="154" t="s">
        <v>291</v>
      </c>
    </row>
    <row r="18" spans="2:2" ht="14.4" customHeight="1" x14ac:dyDescent="0.3">
      <c r="B18" s="154" t="s">
        <v>292</v>
      </c>
    </row>
    <row r="19" spans="2:2" ht="14.4" customHeight="1" x14ac:dyDescent="0.3">
      <c r="B19" s="154" t="s">
        <v>293</v>
      </c>
    </row>
    <row r="20" spans="2:2" ht="14.4" customHeight="1" x14ac:dyDescent="0.3">
      <c r="B20" s="154" t="s">
        <v>294</v>
      </c>
    </row>
    <row r="21" spans="2:2" ht="14.4" customHeight="1" x14ac:dyDescent="0.3">
      <c r="B21" s="154" t="s">
        <v>295</v>
      </c>
    </row>
    <row r="22" spans="2:2" ht="14.4" customHeight="1" x14ac:dyDescent="0.3">
      <c r="B22" s="154" t="s">
        <v>296</v>
      </c>
    </row>
    <row r="23" spans="2:2" ht="14.4" customHeight="1" x14ac:dyDescent="0.3">
      <c r="B23" s="154" t="s">
        <v>297</v>
      </c>
    </row>
    <row r="24" spans="2:2" ht="14.4" customHeight="1" x14ac:dyDescent="0.3">
      <c r="B24" s="154" t="s">
        <v>298</v>
      </c>
    </row>
    <row r="25" spans="2:2" ht="14.4" customHeight="1" x14ac:dyDescent="0.3">
      <c r="B25" s="154" t="s">
        <v>299</v>
      </c>
    </row>
    <row r="26" spans="2:2" ht="14.4" customHeight="1" x14ac:dyDescent="0.3">
      <c r="B26" s="154" t="s">
        <v>300</v>
      </c>
    </row>
    <row r="27" spans="2:2" ht="14.4" customHeight="1" x14ac:dyDescent="0.3">
      <c r="B27" s="154" t="s">
        <v>301</v>
      </c>
    </row>
    <row r="28" spans="2:2" ht="14.4" customHeight="1" x14ac:dyDescent="0.3">
      <c r="B28" s="154" t="s">
        <v>302</v>
      </c>
    </row>
    <row r="29" spans="2:2" ht="14.4" customHeight="1" x14ac:dyDescent="0.3">
      <c r="B29" s="154" t="s">
        <v>303</v>
      </c>
    </row>
    <row r="30" spans="2:2" ht="14.4" customHeight="1" x14ac:dyDescent="0.3">
      <c r="B30" s="154" t="s">
        <v>304</v>
      </c>
    </row>
    <row r="31" spans="2:2" ht="14.4" customHeight="1" x14ac:dyDescent="0.3">
      <c r="B31" s="154" t="s">
        <v>305</v>
      </c>
    </row>
    <row r="32" spans="2:2" ht="14.4" customHeight="1" x14ac:dyDescent="0.3">
      <c r="B32" s="154" t="s">
        <v>306</v>
      </c>
    </row>
    <row r="33" spans="2:2" ht="14.4" customHeight="1" x14ac:dyDescent="0.3">
      <c r="B33" s="154" t="s">
        <v>307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rgb="FF00B050"/>
  </sheetPr>
  <dimension ref="A1:N31"/>
  <sheetViews>
    <sheetView zoomScale="90" zoomScaleNormal="90" workbookViewId="0">
      <selection activeCell="F2" sqref="F2:K11"/>
    </sheetView>
  </sheetViews>
  <sheetFormatPr baseColWidth="10" defaultColWidth="11.5546875" defaultRowHeight="14.4" x14ac:dyDescent="0.3"/>
  <cols>
    <col min="1" max="1" width="28" style="4" customWidth="1"/>
    <col min="2" max="2" width="13.109375" style="4" customWidth="1"/>
    <col min="3" max="3" width="11.5546875" style="4" customWidth="1"/>
    <col min="4" max="4" width="15.109375" style="4" customWidth="1"/>
    <col min="5" max="5" width="13.109375" style="4" customWidth="1"/>
    <col min="6" max="6" width="15.33203125" style="4" customWidth="1"/>
    <col min="7" max="7" width="14.109375" style="4" customWidth="1"/>
    <col min="8" max="8" width="15.88671875" style="4" bestFit="1" customWidth="1"/>
    <col min="9" max="9" width="24.6640625" style="4" customWidth="1"/>
    <col min="10" max="10" width="13.88671875" style="4" customWidth="1"/>
    <col min="11" max="11" width="18" style="4" customWidth="1"/>
    <col min="12" max="12" width="15.44140625" style="4" customWidth="1"/>
    <col min="13" max="16384" width="11.5546875" style="4"/>
  </cols>
  <sheetData>
    <row r="1" spans="1:14" ht="15" thickBot="1" x14ac:dyDescent="0.35"/>
    <row r="2" spans="1:14" ht="18" x14ac:dyDescent="0.3">
      <c r="A2" s="36" t="s">
        <v>197</v>
      </c>
      <c r="B2" s="33" t="s">
        <v>198</v>
      </c>
      <c r="C2" s="33" t="s">
        <v>16</v>
      </c>
      <c r="D2" s="216" t="s">
        <v>199</v>
      </c>
      <c r="F2" s="233" t="s">
        <v>354</v>
      </c>
      <c r="K2" s="276"/>
    </row>
    <row r="3" spans="1:14" x14ac:dyDescent="0.3">
      <c r="A3" s="224" t="s">
        <v>246</v>
      </c>
      <c r="B3" s="224">
        <f>C3*D3</f>
        <v>3850</v>
      </c>
      <c r="C3" s="225">
        <f>'INTRO PV'!C11</f>
        <v>20</v>
      </c>
      <c r="D3" s="224">
        <f>VLOOKUP('INTRO PV'!$C$13,'LiSTA PRECIO'!$A$3:$H$45,7,0)</f>
        <v>192.5</v>
      </c>
      <c r="J3" s="276"/>
    </row>
    <row r="4" spans="1:14" ht="15" thickBot="1" x14ac:dyDescent="0.35">
      <c r="A4" s="224" t="s">
        <v>101</v>
      </c>
      <c r="B4" s="224">
        <f>C4*D4</f>
        <v>1732.86</v>
      </c>
      <c r="C4" s="225">
        <f>'INTRO PV'!C15</f>
        <v>1</v>
      </c>
      <c r="D4" s="224">
        <f>VLOOKUP('INTRO PV'!$C$14,'LiSTA PRECIO'!$A$3:$H$45,7,0)</f>
        <v>1732.86</v>
      </c>
    </row>
    <row r="5" spans="1:14" ht="21" thickBot="1" x14ac:dyDescent="0.35">
      <c r="A5" s="224" t="s">
        <v>102</v>
      </c>
      <c r="B5" s="224">
        <f>D5*C5</f>
        <v>0</v>
      </c>
      <c r="C5" s="225">
        <f>'INTRO PV'!C17</f>
        <v>0</v>
      </c>
      <c r="D5" s="224">
        <f>IF('INTRO PV'!C16="",0,VLOOKUP('INTRO PV'!$C$16,'LiSTA PRECIO'!$A$3:$H$45,7,0))</f>
        <v>2191.31</v>
      </c>
      <c r="F5" s="234" t="s">
        <v>373</v>
      </c>
      <c r="G5" s="235"/>
      <c r="H5" s="235"/>
      <c r="I5" s="235"/>
      <c r="J5" s="235" t="s">
        <v>351</v>
      </c>
      <c r="K5" s="236">
        <f>COSTOS!B25</f>
        <v>13348.32</v>
      </c>
      <c r="L5" s="276"/>
      <c r="N5" s="276"/>
    </row>
    <row r="6" spans="1:14" x14ac:dyDescent="0.3">
      <c r="A6" s="224" t="s">
        <v>0</v>
      </c>
      <c r="B6" s="224">
        <f t="shared" ref="B6:B21" si="0">C6*D6</f>
        <v>100</v>
      </c>
      <c r="C6" s="225">
        <v>2</v>
      </c>
      <c r="D6" s="224">
        <v>50</v>
      </c>
    </row>
    <row r="7" spans="1:14" ht="20.399999999999999" x14ac:dyDescent="0.55000000000000004">
      <c r="A7" s="224" t="s">
        <v>13</v>
      </c>
      <c r="B7" s="224">
        <f t="shared" si="0"/>
        <v>1430</v>
      </c>
      <c r="C7" s="225">
        <f>B31/1000</f>
        <v>11</v>
      </c>
      <c r="D7" s="224">
        <v>130</v>
      </c>
      <c r="F7" s="237" t="s">
        <v>387</v>
      </c>
      <c r="G7" s="238"/>
      <c r="H7" s="238"/>
      <c r="I7" s="239"/>
      <c r="J7" s="238" t="s">
        <v>352</v>
      </c>
      <c r="K7" s="240">
        <f>B29</f>
        <v>1213.4836363636364</v>
      </c>
    </row>
    <row r="8" spans="1:14" ht="20.399999999999999" x14ac:dyDescent="0.55000000000000004">
      <c r="A8" s="224" t="s">
        <v>250</v>
      </c>
      <c r="B8" s="224">
        <f t="shared" si="0"/>
        <v>289.10000000000002</v>
      </c>
      <c r="C8" s="225">
        <v>1</v>
      </c>
      <c r="D8" s="224">
        <f>'LiSTA PRECIO'!G40</f>
        <v>289.10000000000002</v>
      </c>
      <c r="F8" s="241" t="s">
        <v>372</v>
      </c>
      <c r="G8" s="242"/>
      <c r="H8" s="242"/>
      <c r="I8" s="242"/>
      <c r="J8" s="243" t="s">
        <v>351</v>
      </c>
      <c r="K8" s="244">
        <f>(19*B31)/1000</f>
        <v>209</v>
      </c>
    </row>
    <row r="9" spans="1:14" ht="20.399999999999999" x14ac:dyDescent="0.55000000000000004">
      <c r="A9" s="224" t="s">
        <v>251</v>
      </c>
      <c r="B9" s="224">
        <f t="shared" si="0"/>
        <v>100.29999999999998</v>
      </c>
      <c r="C9" s="225">
        <v>100</v>
      </c>
      <c r="D9" s="224">
        <f>'LiSTA PRECIO'!G45</f>
        <v>1.0029999999999999</v>
      </c>
      <c r="F9" s="245" t="s">
        <v>353</v>
      </c>
      <c r="G9" s="239"/>
      <c r="H9" s="239"/>
      <c r="I9" s="239"/>
      <c r="J9" s="238" t="s">
        <v>351</v>
      </c>
      <c r="K9" s="246">
        <v>560</v>
      </c>
    </row>
    <row r="10" spans="1:14" ht="16.2" x14ac:dyDescent="0.45">
      <c r="A10" s="224" t="s">
        <v>252</v>
      </c>
      <c r="B10" s="224">
        <f t="shared" si="0"/>
        <v>200</v>
      </c>
      <c r="C10" s="225">
        <v>1</v>
      </c>
      <c r="D10" s="224">
        <v>200</v>
      </c>
      <c r="F10" s="247" t="s">
        <v>374</v>
      </c>
      <c r="G10" s="248"/>
      <c r="H10" s="248"/>
      <c r="I10" s="248"/>
      <c r="J10" s="248"/>
      <c r="K10" s="249"/>
    </row>
    <row r="11" spans="1:14" ht="18" thickBot="1" x14ac:dyDescent="0.5">
      <c r="A11" s="224" t="s">
        <v>109</v>
      </c>
      <c r="B11" s="224">
        <f t="shared" si="0"/>
        <v>200</v>
      </c>
      <c r="C11" s="225">
        <v>1</v>
      </c>
      <c r="D11" s="224">
        <v>200</v>
      </c>
      <c r="F11" s="250" t="s">
        <v>336</v>
      </c>
      <c r="G11" s="251"/>
      <c r="H11" s="251"/>
      <c r="I11" s="251"/>
      <c r="J11" s="252" t="s">
        <v>351</v>
      </c>
      <c r="K11" s="253">
        <f>K14*0.18</f>
        <v>360.40463999999997</v>
      </c>
    </row>
    <row r="12" spans="1:14" x14ac:dyDescent="0.3">
      <c r="A12" s="224" t="s">
        <v>103</v>
      </c>
      <c r="B12" s="224">
        <f t="shared" si="0"/>
        <v>1100</v>
      </c>
      <c r="C12" s="225">
        <f>B31</f>
        <v>11000</v>
      </c>
      <c r="D12" s="224">
        <v>0.1</v>
      </c>
    </row>
    <row r="13" spans="1:14" x14ac:dyDescent="0.3">
      <c r="A13" s="224" t="s">
        <v>261</v>
      </c>
      <c r="B13" s="224">
        <f t="shared" si="0"/>
        <v>374.06</v>
      </c>
      <c r="C13" s="225">
        <v>1</v>
      </c>
      <c r="D13" s="224">
        <f>'LiSTA PRECIO'!G39</f>
        <v>374.06</v>
      </c>
    </row>
    <row r="14" spans="1:14" x14ac:dyDescent="0.3">
      <c r="A14" s="224" t="s">
        <v>262</v>
      </c>
      <c r="B14" s="224">
        <f t="shared" si="0"/>
        <v>140</v>
      </c>
      <c r="C14" s="225">
        <v>2</v>
      </c>
      <c r="D14" s="224">
        <v>70</v>
      </c>
      <c r="K14" s="42">
        <f>K5*0.15</f>
        <v>2002.2479999999998</v>
      </c>
      <c r="L14" s="4" t="s">
        <v>376</v>
      </c>
    </row>
    <row r="15" spans="1:14" x14ac:dyDescent="0.3">
      <c r="A15" s="224" t="s">
        <v>12</v>
      </c>
      <c r="B15" s="224">
        <f t="shared" si="0"/>
        <v>3190</v>
      </c>
      <c r="C15" s="225">
        <f>B31</f>
        <v>11000</v>
      </c>
      <c r="D15" s="224">
        <v>0.28999999999999998</v>
      </c>
      <c r="F15" s="273">
        <f>B15*58</f>
        <v>185020</v>
      </c>
    </row>
    <row r="16" spans="1:14" x14ac:dyDescent="0.3">
      <c r="A16" s="224" t="s">
        <v>254</v>
      </c>
      <c r="B16" s="224">
        <f t="shared" si="0"/>
        <v>300</v>
      </c>
      <c r="C16" s="225">
        <v>1</v>
      </c>
      <c r="D16" s="224">
        <v>300</v>
      </c>
      <c r="L16" s="273"/>
    </row>
    <row r="17" spans="1:14" x14ac:dyDescent="0.3">
      <c r="A17" s="224" t="s">
        <v>255</v>
      </c>
      <c r="B17" s="224">
        <f>C17*D17</f>
        <v>50</v>
      </c>
      <c r="C17" s="225">
        <v>1</v>
      </c>
      <c r="D17" s="224">
        <v>50</v>
      </c>
    </row>
    <row r="18" spans="1:14" x14ac:dyDescent="0.3">
      <c r="A18" s="224" t="s">
        <v>256</v>
      </c>
      <c r="B18" s="224">
        <f t="shared" si="0"/>
        <v>80</v>
      </c>
      <c r="C18" s="225">
        <v>1</v>
      </c>
      <c r="D18" s="226">
        <v>80</v>
      </c>
      <c r="E18" s="219"/>
    </row>
    <row r="19" spans="1:14" x14ac:dyDescent="0.3">
      <c r="A19" s="224" t="s">
        <v>308</v>
      </c>
      <c r="B19" s="224">
        <f t="shared" si="0"/>
        <v>0</v>
      </c>
      <c r="C19" s="225">
        <v>0</v>
      </c>
      <c r="D19" s="226">
        <v>4000</v>
      </c>
      <c r="E19" s="219"/>
      <c r="L19" s="34" t="s">
        <v>409</v>
      </c>
    </row>
    <row r="20" spans="1:14" x14ac:dyDescent="0.3">
      <c r="A20" s="224" t="s">
        <v>257</v>
      </c>
      <c r="B20" s="224">
        <f t="shared" si="0"/>
        <v>12</v>
      </c>
      <c r="C20" s="225">
        <v>2</v>
      </c>
      <c r="D20" s="227">
        <v>6</v>
      </c>
      <c r="E20" s="220"/>
      <c r="L20" s="291" t="s">
        <v>349</v>
      </c>
      <c r="M20" s="292" t="s">
        <v>319</v>
      </c>
      <c r="N20" s="292" t="s">
        <v>351</v>
      </c>
    </row>
    <row r="21" spans="1:14" x14ac:dyDescent="0.3">
      <c r="A21" s="224" t="s">
        <v>258</v>
      </c>
      <c r="B21" s="224">
        <f t="shared" si="0"/>
        <v>200</v>
      </c>
      <c r="C21" s="228">
        <v>1</v>
      </c>
      <c r="D21" s="224">
        <v>200</v>
      </c>
      <c r="F21" s="229" t="s">
        <v>385</v>
      </c>
      <c r="G21" s="229"/>
      <c r="H21" s="229"/>
      <c r="I21" s="229"/>
      <c r="J21" s="274"/>
      <c r="L21" s="224" t="s">
        <v>407</v>
      </c>
      <c r="M21" s="287">
        <v>0.04</v>
      </c>
      <c r="N21" s="288">
        <f>K5*0.04</f>
        <v>533.93280000000004</v>
      </c>
    </row>
    <row r="22" spans="1:14" x14ac:dyDescent="0.3">
      <c r="D22" s="45"/>
      <c r="F22" s="229" t="s">
        <v>309</v>
      </c>
      <c r="G22" s="229" t="s">
        <v>310</v>
      </c>
      <c r="H22" s="229" t="s">
        <v>311</v>
      </c>
      <c r="I22" s="230" t="s">
        <v>312</v>
      </c>
      <c r="J22" s="275" t="s">
        <v>377</v>
      </c>
      <c r="L22" s="224" t="s">
        <v>406</v>
      </c>
      <c r="M22" s="287">
        <v>0.4</v>
      </c>
      <c r="N22" s="288">
        <f>L5*0.4</f>
        <v>0</v>
      </c>
    </row>
    <row r="23" spans="1:14" ht="28.8" x14ac:dyDescent="0.3">
      <c r="F23" s="222">
        <f>B31</f>
        <v>11000</v>
      </c>
      <c r="G23" s="222">
        <f>F23*0.04*58.2</f>
        <v>25608</v>
      </c>
      <c r="H23" s="222">
        <f>G23*0.1</f>
        <v>2560.8000000000002</v>
      </c>
      <c r="I23" s="222">
        <f>G23-H23</f>
        <v>23047.200000000001</v>
      </c>
      <c r="K23" s="219"/>
      <c r="L23" s="290" t="s">
        <v>408</v>
      </c>
      <c r="M23" s="224"/>
      <c r="N23" s="289">
        <f>(K5-N22)/5</f>
        <v>2669.6639999999998</v>
      </c>
    </row>
    <row r="24" spans="1:14" x14ac:dyDescent="0.3">
      <c r="I24" s="279" t="s">
        <v>1</v>
      </c>
      <c r="J24" s="280">
        <f>I23-J23</f>
        <v>23047.200000000001</v>
      </c>
      <c r="K24" s="219"/>
      <c r="L24" s="273"/>
    </row>
    <row r="25" spans="1:14" ht="21" customHeight="1" x14ac:dyDescent="0.3">
      <c r="A25" s="4" t="s">
        <v>1</v>
      </c>
      <c r="B25" s="221">
        <f>SUM(B3:B21)</f>
        <v>13348.32</v>
      </c>
      <c r="K25" s="219"/>
      <c r="L25" s="273"/>
    </row>
    <row r="26" spans="1:14" ht="21" customHeight="1" x14ac:dyDescent="0.3">
      <c r="A26" s="4" t="s">
        <v>2</v>
      </c>
      <c r="B26" s="221">
        <f>SUM(B3:B4)*0.4</f>
        <v>2233.1439999999998</v>
      </c>
      <c r="I26" s="45"/>
      <c r="N26" s="45"/>
    </row>
    <row r="27" spans="1:14" ht="21" customHeight="1" x14ac:dyDescent="0.3">
      <c r="A27" s="4" t="s">
        <v>9</v>
      </c>
      <c r="B27" s="45">
        <f>B25-B26</f>
        <v>11115.175999999999</v>
      </c>
    </row>
    <row r="28" spans="1:14" ht="21" customHeight="1" x14ac:dyDescent="0.3">
      <c r="A28" s="4" t="s">
        <v>10</v>
      </c>
      <c r="B28" s="221">
        <f>B26/3</f>
        <v>744.38133333333326</v>
      </c>
      <c r="C28" s="223"/>
    </row>
    <row r="29" spans="1:14" ht="21" customHeight="1" x14ac:dyDescent="0.3">
      <c r="A29" s="4" t="s">
        <v>275</v>
      </c>
      <c r="B29" s="221">
        <f>(B25/B31)*1000</f>
        <v>1213.4836363636364</v>
      </c>
    </row>
    <row r="30" spans="1:14" x14ac:dyDescent="0.3">
      <c r="A30" s="4" t="s">
        <v>104</v>
      </c>
      <c r="B30" s="221">
        <f>(B27/B31)*1000</f>
        <v>1010.4705454545455</v>
      </c>
    </row>
    <row r="31" spans="1:14" x14ac:dyDescent="0.3">
      <c r="A31" s="4" t="s">
        <v>14</v>
      </c>
      <c r="B31" s="4">
        <f>'DISTRIBUCION PANELES'!D29</f>
        <v>11000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00B050"/>
  </sheetPr>
  <dimension ref="A1:W40"/>
  <sheetViews>
    <sheetView topLeftCell="A17" workbookViewId="0">
      <selection activeCell="F33" sqref="B19:F33"/>
    </sheetView>
  </sheetViews>
  <sheetFormatPr baseColWidth="10" defaultColWidth="11.5546875" defaultRowHeight="14.4" x14ac:dyDescent="0.3"/>
  <cols>
    <col min="1" max="1" width="4.33203125" customWidth="1"/>
    <col min="3" max="3" width="17.6640625" customWidth="1"/>
    <col min="4" max="4" width="16.109375" bestFit="1" customWidth="1"/>
    <col min="5" max="5" width="16.33203125" customWidth="1"/>
    <col min="6" max="6" width="13.33203125" customWidth="1"/>
    <col min="7" max="7" width="9.6640625" customWidth="1"/>
    <col min="8" max="14" width="10.5546875" bestFit="1" customWidth="1"/>
    <col min="20" max="20" width="13.109375" bestFit="1" customWidth="1"/>
    <col min="23" max="23" width="13.5546875" bestFit="1" customWidth="1"/>
  </cols>
  <sheetData>
    <row r="1" spans="2:23" ht="15" thickBot="1" x14ac:dyDescent="0.35">
      <c r="R1" s="4"/>
      <c r="S1" s="4"/>
      <c r="T1" s="4"/>
      <c r="U1" s="4"/>
      <c r="V1" s="4"/>
      <c r="W1" s="4"/>
    </row>
    <row r="2" spans="2:23" ht="15" thickBot="1" x14ac:dyDescent="0.35">
      <c r="B2" s="297" t="s">
        <v>35</v>
      </c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1"/>
      <c r="R2" s="164"/>
      <c r="S2" s="164"/>
      <c r="T2" s="164"/>
      <c r="U2" s="164"/>
      <c r="V2" s="164"/>
      <c r="W2" s="164"/>
    </row>
    <row r="3" spans="2:23" x14ac:dyDescent="0.3">
      <c r="B3" s="13" t="s">
        <v>34</v>
      </c>
      <c r="C3" s="9" t="s">
        <v>22</v>
      </c>
      <c r="D3" s="10" t="s">
        <v>23</v>
      </c>
      <c r="E3" s="10" t="s">
        <v>24</v>
      </c>
      <c r="F3" s="10" t="s">
        <v>25</v>
      </c>
      <c r="G3" s="10" t="s">
        <v>26</v>
      </c>
      <c r="H3" s="10" t="s">
        <v>27</v>
      </c>
      <c r="I3" s="10" t="s">
        <v>28</v>
      </c>
      <c r="J3" s="10" t="s">
        <v>29</v>
      </c>
      <c r="K3" s="10" t="s">
        <v>30</v>
      </c>
      <c r="L3" s="10" t="s">
        <v>31</v>
      </c>
      <c r="M3" s="10" t="s">
        <v>32</v>
      </c>
      <c r="N3" s="11" t="s">
        <v>33</v>
      </c>
      <c r="R3" s="4"/>
      <c r="S3" s="4"/>
      <c r="T3" s="165"/>
      <c r="U3" s="4"/>
      <c r="V3" s="4"/>
      <c r="W3" s="4"/>
    </row>
    <row r="4" spans="2:23" x14ac:dyDescent="0.3">
      <c r="B4" s="14" t="s">
        <v>17</v>
      </c>
      <c r="C4" s="7">
        <v>4.21</v>
      </c>
      <c r="D4" s="1">
        <v>4.82</v>
      </c>
      <c r="E4" s="1">
        <v>5.32</v>
      </c>
      <c r="F4" s="1">
        <v>5.52</v>
      </c>
      <c r="G4" s="1">
        <v>5.47</v>
      </c>
      <c r="H4" s="1">
        <v>5.82</v>
      </c>
      <c r="I4" s="1">
        <v>5.93</v>
      </c>
      <c r="J4" s="1">
        <v>5.72</v>
      </c>
      <c r="K4" s="1">
        <v>5.33</v>
      </c>
      <c r="L4" s="1">
        <v>4.84</v>
      </c>
      <c r="M4" s="1">
        <v>4.18</v>
      </c>
      <c r="N4" s="8">
        <v>4</v>
      </c>
      <c r="R4" s="4"/>
      <c r="S4" s="4"/>
      <c r="T4" s="165"/>
      <c r="U4" s="4"/>
      <c r="V4" s="4"/>
      <c r="W4" s="4"/>
    </row>
    <row r="5" spans="2:23" ht="15" thickBot="1" x14ac:dyDescent="0.35">
      <c r="B5" s="12" t="s">
        <v>8</v>
      </c>
      <c r="C5" s="51">
        <f>((C4*'DISTRIBUCION PANELES'!$D$29*360/12)/1000)*0.79</f>
        <v>1097.547</v>
      </c>
      <c r="D5" s="51">
        <f>((D4*'DISTRIBUCION PANELES'!$D$29*360/12)/1000)*0.79</f>
        <v>1256.5740000000001</v>
      </c>
      <c r="E5" s="51">
        <f>((E4*'DISTRIBUCION PANELES'!$D$29*360/12)/1000)*0.79</f>
        <v>1386.924</v>
      </c>
      <c r="F5" s="51">
        <f>((F4*'DISTRIBUCION PANELES'!$D$29*360/12)/1000)*0.79</f>
        <v>1439.0639999999999</v>
      </c>
      <c r="G5" s="51">
        <f>((G4*'DISTRIBUCION PANELES'!$D$29*360/12)/1000)*0.79</f>
        <v>1426.029</v>
      </c>
      <c r="H5" s="51">
        <f>((H4*'DISTRIBUCION PANELES'!$D$29*360/12)/1000)*0.79</f>
        <v>1517.2739999999999</v>
      </c>
      <c r="I5" s="51">
        <f>((I4*'DISTRIBUCION PANELES'!$D$29*360/12)/1000)*0.79</f>
        <v>1545.9510000000002</v>
      </c>
      <c r="J5" s="51">
        <f>((J4*'DISTRIBUCION PANELES'!$D$29*360/12)/1000)*0.79</f>
        <v>1491.204</v>
      </c>
      <c r="K5" s="51">
        <f>((K4*'DISTRIBUCION PANELES'!$D$29*360/12)/1000)*0.79</f>
        <v>1389.5310000000002</v>
      </c>
      <c r="L5" s="51">
        <f>((L4*'DISTRIBUCION PANELES'!$D$29*360/12)/1000)*0.79</f>
        <v>1261.788</v>
      </c>
      <c r="M5" s="51">
        <f>((M4*'DISTRIBUCION PANELES'!$D$29*360/12)/1000)*0.79</f>
        <v>1089.7260000000001</v>
      </c>
      <c r="N5" s="51">
        <f>((N4*'DISTRIBUCION PANELES'!$D$29*360/12)/1000)*0.79</f>
        <v>1042.8</v>
      </c>
      <c r="P5" s="277">
        <f>SUM(C5:O5)</f>
        <v>15944.412000000002</v>
      </c>
      <c r="R5" s="4"/>
      <c r="S5" s="4"/>
      <c r="T5" s="165"/>
      <c r="U5" s="4"/>
      <c r="V5" s="4"/>
      <c r="W5" s="4"/>
    </row>
    <row r="6" spans="2:23" ht="15" thickBot="1" x14ac:dyDescent="0.35">
      <c r="R6" s="4"/>
      <c r="S6" s="4"/>
      <c r="T6" s="165"/>
      <c r="U6" s="4"/>
      <c r="V6" s="4"/>
      <c r="W6" s="4"/>
    </row>
    <row r="7" spans="2:23" ht="15" thickBot="1" x14ac:dyDescent="0.35">
      <c r="B7" s="297" t="s">
        <v>36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9"/>
      <c r="O7" s="302" t="s">
        <v>1</v>
      </c>
      <c r="R7" s="4"/>
      <c r="S7" s="4"/>
      <c r="T7" s="165"/>
      <c r="U7" s="4"/>
      <c r="V7" s="4"/>
      <c r="W7" s="4"/>
    </row>
    <row r="8" spans="2:23" ht="15" thickBot="1" x14ac:dyDescent="0.35">
      <c r="B8" s="5" t="s">
        <v>34</v>
      </c>
      <c r="C8" s="9" t="s">
        <v>22</v>
      </c>
      <c r="D8" s="10" t="s">
        <v>23</v>
      </c>
      <c r="E8" s="10" t="s">
        <v>24</v>
      </c>
      <c r="F8" s="10" t="s">
        <v>25</v>
      </c>
      <c r="G8" s="10" t="s">
        <v>26</v>
      </c>
      <c r="H8" s="10" t="s">
        <v>27</v>
      </c>
      <c r="I8" s="10" t="s">
        <v>28</v>
      </c>
      <c r="J8" s="10" t="s">
        <v>29</v>
      </c>
      <c r="K8" s="10" t="s">
        <v>30</v>
      </c>
      <c r="L8" s="10" t="s">
        <v>31</v>
      </c>
      <c r="M8" s="10" t="s">
        <v>32</v>
      </c>
      <c r="N8" s="11" t="s">
        <v>33</v>
      </c>
      <c r="O8" s="303"/>
      <c r="R8" s="4"/>
      <c r="S8" s="4"/>
      <c r="T8" s="165"/>
      <c r="U8" s="4"/>
      <c r="V8" s="4"/>
      <c r="W8" s="4"/>
    </row>
    <row r="9" spans="2:23" x14ac:dyDescent="0.3">
      <c r="B9" s="14" t="s">
        <v>38</v>
      </c>
      <c r="C9" s="54">
        <f>C5*0.166</f>
        <v>182.192802</v>
      </c>
      <c r="D9" s="55">
        <f t="shared" ref="D9:N9" si="0">D5*0.166</f>
        <v>208.59128400000003</v>
      </c>
      <c r="E9" s="55">
        <f t="shared" si="0"/>
        <v>230.22938400000001</v>
      </c>
      <c r="F9" s="55">
        <f t="shared" si="0"/>
        <v>238.88462399999997</v>
      </c>
      <c r="G9" s="55">
        <f t="shared" si="0"/>
        <v>236.72081400000002</v>
      </c>
      <c r="H9" s="55">
        <f t="shared" si="0"/>
        <v>251.86748399999999</v>
      </c>
      <c r="I9" s="55">
        <f t="shared" si="0"/>
        <v>256.62786600000004</v>
      </c>
      <c r="J9" s="55">
        <f t="shared" si="0"/>
        <v>247.53986399999999</v>
      </c>
      <c r="K9" s="55">
        <f t="shared" si="0"/>
        <v>230.66214600000004</v>
      </c>
      <c r="L9" s="55">
        <f t="shared" si="0"/>
        <v>209.45680800000002</v>
      </c>
      <c r="M9" s="55">
        <f t="shared" si="0"/>
        <v>180.89451600000004</v>
      </c>
      <c r="N9" s="56">
        <f t="shared" si="0"/>
        <v>173.10480000000001</v>
      </c>
      <c r="O9" s="28">
        <f>SUM(C9:N9)</f>
        <v>2646.7723919999999</v>
      </c>
      <c r="R9" s="4"/>
      <c r="S9" s="4"/>
      <c r="T9" s="165"/>
      <c r="U9" s="4"/>
      <c r="V9" s="4"/>
      <c r="W9" s="4"/>
    </row>
    <row r="10" spans="2:23" ht="15" thickBot="1" x14ac:dyDescent="0.35">
      <c r="B10" s="12" t="s">
        <v>39</v>
      </c>
      <c r="C10" s="51">
        <f>C5*0.254</f>
        <v>278.77693800000003</v>
      </c>
      <c r="D10" s="52">
        <f t="shared" ref="D10:M10" si="1">D5*0.254</f>
        <v>319.16979600000002</v>
      </c>
      <c r="E10" s="52">
        <f t="shared" si="1"/>
        <v>352.27869600000002</v>
      </c>
      <c r="F10" s="52">
        <f t="shared" si="1"/>
        <v>365.52225599999997</v>
      </c>
      <c r="G10" s="52">
        <f t="shared" si="1"/>
        <v>362.211366</v>
      </c>
      <c r="H10" s="52">
        <f t="shared" si="1"/>
        <v>385.38759599999997</v>
      </c>
      <c r="I10" s="52">
        <f t="shared" si="1"/>
        <v>392.67155400000007</v>
      </c>
      <c r="J10" s="52">
        <f t="shared" si="1"/>
        <v>378.76581599999997</v>
      </c>
      <c r="K10" s="52">
        <f t="shared" si="1"/>
        <v>352.94087400000006</v>
      </c>
      <c r="L10" s="52">
        <f t="shared" si="1"/>
        <v>320.49415199999999</v>
      </c>
      <c r="M10" s="52">
        <f t="shared" si="1"/>
        <v>276.79040400000002</v>
      </c>
      <c r="N10" s="53">
        <f>N5*0.254</f>
        <v>264.87119999999999</v>
      </c>
      <c r="O10" s="57">
        <f>SUM(C10:N10)</f>
        <v>4049.8806480000003</v>
      </c>
      <c r="R10" s="4"/>
      <c r="S10" s="4"/>
      <c r="T10" s="165"/>
      <c r="U10" s="4"/>
      <c r="V10" s="4"/>
      <c r="W10" s="4"/>
    </row>
    <row r="11" spans="2:23" x14ac:dyDescent="0.3">
      <c r="R11" s="4"/>
      <c r="S11" s="4"/>
      <c r="T11" s="165"/>
      <c r="U11" s="4"/>
      <c r="V11" s="4"/>
      <c r="W11" s="4"/>
    </row>
    <row r="12" spans="2:23" ht="15" thickBot="1" x14ac:dyDescent="0.35">
      <c r="C12" s="180" t="s">
        <v>22</v>
      </c>
      <c r="D12" s="180" t="s">
        <v>23</v>
      </c>
      <c r="E12" s="180" t="s">
        <v>24</v>
      </c>
      <c r="F12" s="180" t="s">
        <v>25</v>
      </c>
      <c r="G12" s="180" t="s">
        <v>26</v>
      </c>
      <c r="H12" s="180" t="s">
        <v>27</v>
      </c>
      <c r="I12" s="180" t="s">
        <v>28</v>
      </c>
      <c r="J12" s="180" t="s">
        <v>29</v>
      </c>
      <c r="K12" s="180" t="s">
        <v>30</v>
      </c>
      <c r="L12" s="180" t="s">
        <v>31</v>
      </c>
      <c r="M12" s="180" t="s">
        <v>32</v>
      </c>
      <c r="N12" s="180" t="s">
        <v>33</v>
      </c>
      <c r="R12" s="4"/>
      <c r="S12" s="4"/>
      <c r="T12" s="165"/>
      <c r="U12" s="4"/>
      <c r="V12" s="4"/>
      <c r="W12" s="4"/>
    </row>
    <row r="13" spans="2:23" x14ac:dyDescent="0.3">
      <c r="B13" s="86" t="s">
        <v>105</v>
      </c>
      <c r="C13" s="87">
        <f>'INTRO PV'!G10</f>
        <v>1329</v>
      </c>
      <c r="D13" s="88">
        <f>'INTRO PV'!G11</f>
        <v>1329</v>
      </c>
      <c r="E13" s="88">
        <f>'INTRO PV'!G12</f>
        <v>1329</v>
      </c>
      <c r="F13" s="88">
        <f>'INTRO PV'!G13</f>
        <v>1329</v>
      </c>
      <c r="G13" s="88">
        <f>'INTRO PV'!G14</f>
        <v>1329</v>
      </c>
      <c r="H13" s="88">
        <f>'INTRO PV'!G15</f>
        <v>1329</v>
      </c>
      <c r="I13" s="88">
        <f>'INTRO PV'!G16</f>
        <v>1329</v>
      </c>
      <c r="J13" s="88">
        <f>'INTRO PV'!G17</f>
        <v>1329</v>
      </c>
      <c r="K13" s="88">
        <f>'INTRO PV'!G18</f>
        <v>1329</v>
      </c>
      <c r="L13" s="88">
        <f>'INTRO PV'!G19</f>
        <v>1329</v>
      </c>
      <c r="M13" s="88">
        <f>'INTRO PV'!G20</f>
        <v>1329</v>
      </c>
      <c r="N13" s="88">
        <f>'INTRO PV'!G21</f>
        <v>1329</v>
      </c>
      <c r="R13" s="4"/>
      <c r="S13" s="4"/>
      <c r="T13" s="4"/>
      <c r="U13" s="4"/>
      <c r="V13" s="4"/>
      <c r="W13" s="4"/>
    </row>
    <row r="14" spans="2:23" x14ac:dyDescent="0.3">
      <c r="B14" s="37" t="s">
        <v>11</v>
      </c>
      <c r="C14" s="62">
        <f>'DIMENSION PLANTA SOLAR'!C5</f>
        <v>1097.547</v>
      </c>
      <c r="D14" s="63">
        <f>'DIMENSION PLANTA SOLAR'!D5</f>
        <v>1256.5740000000001</v>
      </c>
      <c r="E14" s="63">
        <f>'DIMENSION PLANTA SOLAR'!E5</f>
        <v>1386.924</v>
      </c>
      <c r="F14" s="63">
        <f>'DIMENSION PLANTA SOLAR'!F5</f>
        <v>1439.0639999999999</v>
      </c>
      <c r="G14" s="63">
        <f>'DIMENSION PLANTA SOLAR'!G5</f>
        <v>1426.029</v>
      </c>
      <c r="H14" s="63">
        <f>'DIMENSION PLANTA SOLAR'!H5</f>
        <v>1517.2739999999999</v>
      </c>
      <c r="I14" s="63">
        <f>'DIMENSION PLANTA SOLAR'!I5</f>
        <v>1545.9510000000002</v>
      </c>
      <c r="J14" s="63">
        <f>'DIMENSION PLANTA SOLAR'!J5</f>
        <v>1491.204</v>
      </c>
      <c r="K14" s="63">
        <f>'DIMENSION PLANTA SOLAR'!K5</f>
        <v>1389.5310000000002</v>
      </c>
      <c r="L14" s="63">
        <f>'DIMENSION PLANTA SOLAR'!L5</f>
        <v>1261.788</v>
      </c>
      <c r="M14" s="63">
        <f>'DIMENSION PLANTA SOLAR'!M5</f>
        <v>1089.7260000000001</v>
      </c>
      <c r="N14" s="64">
        <f>'DIMENSION PLANTA SOLAR'!N5</f>
        <v>1042.8</v>
      </c>
    </row>
    <row r="15" spans="2:23" x14ac:dyDescent="0.3">
      <c r="B15" s="37" t="s">
        <v>73</v>
      </c>
      <c r="C15" s="62">
        <f t="shared" ref="C15:N15" si="2">C13-C14</f>
        <v>231.45299999999997</v>
      </c>
      <c r="D15" s="63">
        <f t="shared" si="2"/>
        <v>72.425999999999931</v>
      </c>
      <c r="E15" s="63">
        <f t="shared" si="2"/>
        <v>-57.923999999999978</v>
      </c>
      <c r="F15" s="63">
        <f t="shared" si="2"/>
        <v>-110.06399999999985</v>
      </c>
      <c r="G15" s="63">
        <f t="shared" si="2"/>
        <v>-97.028999999999996</v>
      </c>
      <c r="H15" s="63">
        <f t="shared" si="2"/>
        <v>-188.27399999999989</v>
      </c>
      <c r="I15" s="63">
        <f t="shared" si="2"/>
        <v>-216.95100000000025</v>
      </c>
      <c r="J15" s="63">
        <f t="shared" si="2"/>
        <v>-162.20399999999995</v>
      </c>
      <c r="K15" s="63">
        <f t="shared" si="2"/>
        <v>-60.531000000000176</v>
      </c>
      <c r="L15" s="63">
        <f t="shared" si="2"/>
        <v>67.211999999999989</v>
      </c>
      <c r="M15" s="63">
        <f t="shared" si="2"/>
        <v>239.27399999999989</v>
      </c>
      <c r="N15" s="64">
        <f t="shared" si="2"/>
        <v>286.20000000000005</v>
      </c>
    </row>
    <row r="16" spans="2:23" ht="15" thickBot="1" x14ac:dyDescent="0.35">
      <c r="B16" s="23" t="s">
        <v>317</v>
      </c>
      <c r="C16" s="25">
        <f t="shared" ref="C16:N16" si="3">((C14*100)/C13)/100</f>
        <v>0.82584424379232502</v>
      </c>
      <c r="D16" s="26">
        <f t="shared" si="3"/>
        <v>0.94550338600451467</v>
      </c>
      <c r="E16" s="26">
        <f t="shared" si="3"/>
        <v>1.0435846501128667</v>
      </c>
      <c r="F16" s="26">
        <f t="shared" si="3"/>
        <v>1.0828171557562076</v>
      </c>
      <c r="G16" s="26">
        <f t="shared" si="3"/>
        <v>1.0730090293453725</v>
      </c>
      <c r="H16" s="26">
        <f t="shared" si="3"/>
        <v>1.1416659142212189</v>
      </c>
      <c r="I16" s="26">
        <f t="shared" si="3"/>
        <v>1.1632437923250567</v>
      </c>
      <c r="J16" s="26">
        <f t="shared" si="3"/>
        <v>1.1220496613995485</v>
      </c>
      <c r="K16" s="26">
        <f t="shared" si="3"/>
        <v>1.0455462753950338</v>
      </c>
      <c r="L16" s="26">
        <f t="shared" si="3"/>
        <v>0.94942663656884874</v>
      </c>
      <c r="M16" s="26">
        <f t="shared" si="3"/>
        <v>0.81995936794582391</v>
      </c>
      <c r="N16" s="27">
        <f t="shared" si="3"/>
        <v>0.78465011286681718</v>
      </c>
    </row>
    <row r="17" spans="1:6" ht="15" thickBot="1" x14ac:dyDescent="0.35">
      <c r="B17" s="58" t="s">
        <v>100</v>
      </c>
      <c r="C17" s="61">
        <f>AVERAGE(C16:N16)</f>
        <v>0.99977501881113628</v>
      </c>
    </row>
    <row r="18" spans="1:6" ht="15" thickBot="1" x14ac:dyDescent="0.35"/>
    <row r="19" spans="1:6" ht="15" thickBot="1" x14ac:dyDescent="0.35">
      <c r="A19" s="4"/>
      <c r="B19" s="4"/>
      <c r="C19" s="255" t="s">
        <v>318</v>
      </c>
      <c r="D19" s="256" t="s">
        <v>318</v>
      </c>
      <c r="E19" s="256" t="s">
        <v>318</v>
      </c>
      <c r="F19" s="257" t="s">
        <v>319</v>
      </c>
    </row>
    <row r="20" spans="1:6" ht="32.25" customHeight="1" thickBot="1" x14ac:dyDescent="0.35">
      <c r="A20" s="4"/>
      <c r="B20" s="181" t="s">
        <v>34</v>
      </c>
      <c r="C20" s="182" t="s">
        <v>321</v>
      </c>
      <c r="D20" s="182" t="s">
        <v>320</v>
      </c>
      <c r="E20" s="181" t="s">
        <v>73</v>
      </c>
      <c r="F20" s="183" t="s">
        <v>317</v>
      </c>
    </row>
    <row r="21" spans="1:6" x14ac:dyDescent="0.3">
      <c r="A21" s="4"/>
      <c r="B21" s="258" t="s">
        <v>74</v>
      </c>
      <c r="C21" s="259">
        <f>$C13</f>
        <v>1329</v>
      </c>
      <c r="D21" s="260">
        <f>C14</f>
        <v>1097.547</v>
      </c>
      <c r="E21" s="261">
        <f>C15</f>
        <v>231.45299999999997</v>
      </c>
      <c r="F21" s="262">
        <f>C16</f>
        <v>0.82584424379232502</v>
      </c>
    </row>
    <row r="22" spans="1:6" x14ac:dyDescent="0.3">
      <c r="A22" s="4"/>
      <c r="B22" s="263" t="s">
        <v>75</v>
      </c>
      <c r="C22" s="264">
        <f>D13</f>
        <v>1329</v>
      </c>
      <c r="D22" s="265">
        <f>D14</f>
        <v>1256.5740000000001</v>
      </c>
      <c r="E22" s="266">
        <f>D15</f>
        <v>72.425999999999931</v>
      </c>
      <c r="F22" s="267">
        <f>D16</f>
        <v>0.94550338600451467</v>
      </c>
    </row>
    <row r="23" spans="1:6" x14ac:dyDescent="0.3">
      <c r="A23" s="4"/>
      <c r="B23" s="263" t="s">
        <v>76</v>
      </c>
      <c r="C23" s="264">
        <f>E13</f>
        <v>1329</v>
      </c>
      <c r="D23" s="265">
        <f>E14</f>
        <v>1386.924</v>
      </c>
      <c r="E23" s="266">
        <f>E15</f>
        <v>-57.923999999999978</v>
      </c>
      <c r="F23" s="267">
        <f>E16</f>
        <v>1.0435846501128667</v>
      </c>
    </row>
    <row r="24" spans="1:6" x14ac:dyDescent="0.3">
      <c r="A24" s="4"/>
      <c r="B24" s="263" t="s">
        <v>77</v>
      </c>
      <c r="C24" s="264">
        <f>F13</f>
        <v>1329</v>
      </c>
      <c r="D24" s="265">
        <f>F14</f>
        <v>1439.0639999999999</v>
      </c>
      <c r="E24" s="266">
        <f>F15</f>
        <v>-110.06399999999985</v>
      </c>
      <c r="F24" s="267">
        <f>F16</f>
        <v>1.0828171557562076</v>
      </c>
    </row>
    <row r="25" spans="1:6" x14ac:dyDescent="0.3">
      <c r="A25" s="4"/>
      <c r="B25" s="263" t="s">
        <v>78</v>
      </c>
      <c r="C25" s="264">
        <f>G13</f>
        <v>1329</v>
      </c>
      <c r="D25" s="265">
        <f>G14</f>
        <v>1426.029</v>
      </c>
      <c r="E25" s="266">
        <f>G15</f>
        <v>-97.028999999999996</v>
      </c>
      <c r="F25" s="267">
        <f>G16</f>
        <v>1.0730090293453725</v>
      </c>
    </row>
    <row r="26" spans="1:6" x14ac:dyDescent="0.3">
      <c r="A26" s="4"/>
      <c r="B26" s="263" t="s">
        <v>79</v>
      </c>
      <c r="C26" s="264">
        <f>H13</f>
        <v>1329</v>
      </c>
      <c r="D26" s="265">
        <f>H14</f>
        <v>1517.2739999999999</v>
      </c>
      <c r="E26" s="266">
        <f>H15</f>
        <v>-188.27399999999989</v>
      </c>
      <c r="F26" s="267">
        <f>H16</f>
        <v>1.1416659142212189</v>
      </c>
    </row>
    <row r="27" spans="1:6" x14ac:dyDescent="0.3">
      <c r="A27" s="4"/>
      <c r="B27" s="263" t="s">
        <v>80</v>
      </c>
      <c r="C27" s="264">
        <f>I13</f>
        <v>1329</v>
      </c>
      <c r="D27" s="265">
        <f>I14</f>
        <v>1545.9510000000002</v>
      </c>
      <c r="E27" s="266">
        <f>I15</f>
        <v>-216.95100000000025</v>
      </c>
      <c r="F27" s="267">
        <f>I16</f>
        <v>1.1632437923250567</v>
      </c>
    </row>
    <row r="28" spans="1:6" x14ac:dyDescent="0.3">
      <c r="A28" s="4"/>
      <c r="B28" s="263" t="s">
        <v>81</v>
      </c>
      <c r="C28" s="264">
        <f>J13</f>
        <v>1329</v>
      </c>
      <c r="D28" s="265">
        <f>J14</f>
        <v>1491.204</v>
      </c>
      <c r="E28" s="266">
        <f>J15</f>
        <v>-162.20399999999995</v>
      </c>
      <c r="F28" s="267">
        <f>J16</f>
        <v>1.1220496613995485</v>
      </c>
    </row>
    <row r="29" spans="1:6" x14ac:dyDescent="0.3">
      <c r="A29" s="4"/>
      <c r="B29" s="263" t="s">
        <v>82</v>
      </c>
      <c r="C29" s="264">
        <f>K13</f>
        <v>1329</v>
      </c>
      <c r="D29" s="265">
        <f>K14</f>
        <v>1389.5310000000002</v>
      </c>
      <c r="E29" s="266">
        <f>K15</f>
        <v>-60.531000000000176</v>
      </c>
      <c r="F29" s="267">
        <f>K16</f>
        <v>1.0455462753950338</v>
      </c>
    </row>
    <row r="30" spans="1:6" x14ac:dyDescent="0.3">
      <c r="A30" s="4"/>
      <c r="B30" s="263" t="s">
        <v>83</v>
      </c>
      <c r="C30" s="264">
        <f>L13</f>
        <v>1329</v>
      </c>
      <c r="D30" s="265">
        <f>L14</f>
        <v>1261.788</v>
      </c>
      <c r="E30" s="266">
        <f>L15</f>
        <v>67.211999999999989</v>
      </c>
      <c r="F30" s="267">
        <f>L16</f>
        <v>0.94942663656884874</v>
      </c>
    </row>
    <row r="31" spans="1:6" x14ac:dyDescent="0.3">
      <c r="A31" s="4"/>
      <c r="B31" s="263" t="s">
        <v>84</v>
      </c>
      <c r="C31" s="264">
        <f>M13</f>
        <v>1329</v>
      </c>
      <c r="D31" s="265">
        <f>M14</f>
        <v>1089.7260000000001</v>
      </c>
      <c r="E31" s="266">
        <f>M15</f>
        <v>239.27399999999989</v>
      </c>
      <c r="F31" s="267">
        <f>M16</f>
        <v>0.81995936794582391</v>
      </c>
    </row>
    <row r="32" spans="1:6" x14ac:dyDescent="0.3">
      <c r="A32" s="4"/>
      <c r="B32" s="263" t="s">
        <v>85</v>
      </c>
      <c r="C32" s="264">
        <f>N13</f>
        <v>1329</v>
      </c>
      <c r="D32" s="265">
        <f>N14</f>
        <v>1042.8</v>
      </c>
      <c r="E32" s="266">
        <f>N15</f>
        <v>286.20000000000005</v>
      </c>
      <c r="F32" s="267">
        <f>N16</f>
        <v>0.78465011286681718</v>
      </c>
    </row>
    <row r="33" spans="1:6" ht="15" thickBot="1" x14ac:dyDescent="0.35">
      <c r="A33" s="4"/>
      <c r="B33" s="268" t="s">
        <v>1</v>
      </c>
      <c r="C33" s="269">
        <f>SUM(C21:C32)</f>
        <v>15948</v>
      </c>
      <c r="D33" s="270">
        <f>SUM(D21:D32)</f>
        <v>15944.412000000002</v>
      </c>
      <c r="E33" s="271">
        <f>SUM(E21:E32)</f>
        <v>3.5879999999997381</v>
      </c>
      <c r="F33" s="272">
        <f>AVERAGE(F21:F32)</f>
        <v>0.99977501881113628</v>
      </c>
    </row>
    <row r="34" spans="1:6" x14ac:dyDescent="0.3">
      <c r="A34" s="4"/>
      <c r="B34" s="4"/>
      <c r="C34" s="4"/>
      <c r="D34" s="4"/>
      <c r="E34" s="4"/>
      <c r="F34" s="4"/>
    </row>
    <row r="36" spans="1:6" x14ac:dyDescent="0.3">
      <c r="C36" s="59"/>
      <c r="D36" s="278"/>
      <c r="E36" s="3"/>
    </row>
    <row r="37" spans="1:6" x14ac:dyDescent="0.3">
      <c r="D37" s="3"/>
    </row>
    <row r="40" spans="1:6" x14ac:dyDescent="0.3">
      <c r="E40" s="3"/>
    </row>
  </sheetData>
  <mergeCells count="3">
    <mergeCell ref="B7:N7"/>
    <mergeCell ref="B2:N2"/>
    <mergeCell ref="O7:O8"/>
  </mergeCells>
  <pageMargins left="0.7" right="0.7" top="0.75" bottom="0.75" header="0.3" footer="0.3"/>
  <pageSetup scale="7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2B2C1-FA35-4F7C-BF53-CEA790E2BF90}">
  <sheetPr>
    <tabColor rgb="FF00B050"/>
  </sheetPr>
  <dimension ref="B1:I14"/>
  <sheetViews>
    <sheetView workbookViewId="0">
      <selection activeCell="I14" sqref="B2:I14"/>
    </sheetView>
  </sheetViews>
  <sheetFormatPr baseColWidth="10" defaultRowHeight="14.4" x14ac:dyDescent="0.3"/>
  <cols>
    <col min="2" max="2" width="20.33203125" customWidth="1"/>
    <col min="6" max="6" width="24.109375" customWidth="1"/>
    <col min="7" max="7" width="18.33203125" customWidth="1"/>
    <col min="8" max="8" width="9.44140625" customWidth="1"/>
    <col min="9" max="9" width="14" customWidth="1"/>
  </cols>
  <sheetData>
    <row r="1" spans="2:9" ht="20.25" customHeight="1" x14ac:dyDescent="0.3"/>
    <row r="2" spans="2:9" ht="20.25" customHeight="1" x14ac:dyDescent="0.3">
      <c r="B2" s="304" t="s">
        <v>349</v>
      </c>
      <c r="C2" s="281"/>
      <c r="D2" s="281"/>
      <c r="E2" s="281"/>
      <c r="F2" s="281"/>
      <c r="G2" s="304" t="s">
        <v>350</v>
      </c>
      <c r="H2" s="281"/>
      <c r="I2" s="304" t="s">
        <v>16</v>
      </c>
    </row>
    <row r="3" spans="2:9" ht="19.2" thickBot="1" x14ac:dyDescent="0.5">
      <c r="B3" s="305"/>
      <c r="C3" s="282"/>
      <c r="D3" s="282"/>
      <c r="E3" s="283"/>
      <c r="F3" s="283"/>
      <c r="G3" s="305"/>
      <c r="H3" s="282"/>
      <c r="I3" s="305"/>
    </row>
    <row r="4" spans="2:9" ht="33" customHeight="1" x14ac:dyDescent="0.3">
      <c r="B4" s="184" t="str">
        <f>'LiSTA PRECIO'!C13</f>
        <v>Panel Solar LONGI Solar Monocrystalline, 21.3 % eficiencia.</v>
      </c>
      <c r="C4" s="185"/>
      <c r="D4" s="185"/>
      <c r="E4" s="185"/>
      <c r="F4" s="185"/>
      <c r="G4" s="186">
        <f>'LiSTA PRECIO'!D13</f>
        <v>550</v>
      </c>
      <c r="H4" s="185"/>
      <c r="I4" s="187">
        <f>'INTRO PV'!C11</f>
        <v>20</v>
      </c>
    </row>
    <row r="5" spans="2:9" ht="33" customHeight="1" x14ac:dyDescent="0.3">
      <c r="B5" s="188" t="str">
        <f>'LiSTA PRECIO'!C24</f>
        <v>Fronius PRIMO Inverter, 8.2 kW 120/240 VAC Output, 1000 VDC Max input.</v>
      </c>
      <c r="C5" s="189"/>
      <c r="D5" s="189"/>
      <c r="E5" s="189"/>
      <c r="F5" s="189"/>
      <c r="G5" s="190">
        <f>'LiSTA PRECIO'!D24</f>
        <v>8200</v>
      </c>
      <c r="H5" s="189"/>
      <c r="I5" s="191">
        <f>'INTRO PV'!C15</f>
        <v>1</v>
      </c>
    </row>
    <row r="6" spans="2:9" ht="33" customHeight="1" x14ac:dyDescent="0.3">
      <c r="B6" s="192" t="s">
        <v>410</v>
      </c>
      <c r="C6" s="193"/>
      <c r="D6" s="193"/>
      <c r="E6" s="189"/>
      <c r="F6" s="189"/>
      <c r="G6" s="194" t="s">
        <v>411</v>
      </c>
      <c r="H6" s="193"/>
      <c r="I6" s="191">
        <v>1</v>
      </c>
    </row>
    <row r="7" spans="2:9" ht="33" customHeight="1" x14ac:dyDescent="0.3">
      <c r="B7" s="188" t="s">
        <v>342</v>
      </c>
      <c r="C7" s="189"/>
      <c r="D7" s="189"/>
      <c r="E7" s="189"/>
      <c r="F7" s="189"/>
      <c r="G7" s="190" t="s">
        <v>343</v>
      </c>
      <c r="H7" s="189"/>
      <c r="I7" s="191">
        <v>1</v>
      </c>
    </row>
    <row r="8" spans="2:9" ht="33" customHeight="1" x14ac:dyDescent="0.3">
      <c r="B8" s="188" t="s">
        <v>322</v>
      </c>
      <c r="C8" s="189"/>
      <c r="D8" s="189"/>
      <c r="E8" s="189"/>
      <c r="F8" s="189"/>
      <c r="G8" s="190" t="s">
        <v>412</v>
      </c>
      <c r="H8" s="189"/>
      <c r="I8" s="191">
        <v>1</v>
      </c>
    </row>
    <row r="9" spans="2:9" ht="33" customHeight="1" x14ac:dyDescent="0.3">
      <c r="B9" s="188" t="s">
        <v>338</v>
      </c>
      <c r="C9" s="189"/>
      <c r="D9" s="189"/>
      <c r="E9" s="189"/>
      <c r="F9" s="189"/>
      <c r="G9" s="190" t="s">
        <v>344</v>
      </c>
      <c r="H9" s="189"/>
      <c r="I9" s="191" t="s">
        <v>375</v>
      </c>
    </row>
    <row r="10" spans="2:9" ht="33" customHeight="1" x14ac:dyDescent="0.3">
      <c r="B10" s="188" t="s">
        <v>348</v>
      </c>
      <c r="C10" s="189"/>
      <c r="D10" s="189"/>
      <c r="E10" s="189"/>
      <c r="F10" s="189"/>
      <c r="G10" s="190">
        <f>G14/G12</f>
        <v>1449.4920000000002</v>
      </c>
      <c r="H10" s="189"/>
      <c r="I10" s="191" t="s">
        <v>347</v>
      </c>
    </row>
    <row r="11" spans="2:9" ht="33" customHeight="1" x14ac:dyDescent="0.3">
      <c r="B11" s="195" t="s">
        <v>18</v>
      </c>
      <c r="C11" s="196"/>
      <c r="D11" s="196"/>
      <c r="E11" s="196"/>
      <c r="F11" s="196"/>
      <c r="G11" s="197">
        <f>'INTRO PV'!C10</f>
        <v>550</v>
      </c>
      <c r="H11" s="196"/>
      <c r="I11" s="198" t="s">
        <v>19</v>
      </c>
    </row>
    <row r="12" spans="2:9" ht="33" customHeight="1" x14ac:dyDescent="0.3">
      <c r="B12" s="188" t="s">
        <v>339</v>
      </c>
      <c r="C12" s="199"/>
      <c r="D12" s="199"/>
      <c r="E12" s="189"/>
      <c r="F12" s="189"/>
      <c r="G12" s="200">
        <f>'DISTRIBUCION PANELES'!D29/1000</f>
        <v>11</v>
      </c>
      <c r="H12" s="201"/>
      <c r="I12" s="191" t="s">
        <v>40</v>
      </c>
    </row>
    <row r="13" spans="2:9" ht="33" customHeight="1" x14ac:dyDescent="0.3">
      <c r="B13" s="188" t="s">
        <v>340</v>
      </c>
      <c r="C13" s="202"/>
      <c r="D13" s="218"/>
      <c r="E13" s="218"/>
      <c r="F13" s="218"/>
      <c r="G13" s="190">
        <f>(G5*I5)/1000</f>
        <v>8.1999999999999993</v>
      </c>
      <c r="H13" s="218"/>
      <c r="I13" s="198" t="s">
        <v>341</v>
      </c>
    </row>
    <row r="14" spans="2:9" ht="33" customHeight="1" thickBot="1" x14ac:dyDescent="0.35">
      <c r="B14" s="203" t="s">
        <v>41</v>
      </c>
      <c r="C14" s="204"/>
      <c r="D14" s="204"/>
      <c r="E14" s="205"/>
      <c r="F14" s="205"/>
      <c r="G14" s="206">
        <f>'DISTRIBUCION PANELES'!D30</f>
        <v>15944.412000000002</v>
      </c>
      <c r="H14" s="207"/>
      <c r="I14" s="208" t="s">
        <v>8</v>
      </c>
    </row>
  </sheetData>
  <mergeCells count="3">
    <mergeCell ref="B2:B3"/>
    <mergeCell ref="G2:G3"/>
    <mergeCell ref="I2:I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rgb="FF00B050"/>
  </sheetPr>
  <dimension ref="B1:AB59"/>
  <sheetViews>
    <sheetView topLeftCell="C1" zoomScale="70" zoomScaleNormal="70" workbookViewId="0">
      <selection activeCell="L22" sqref="L22:R30"/>
    </sheetView>
  </sheetViews>
  <sheetFormatPr baseColWidth="10" defaultColWidth="11.44140625" defaultRowHeight="14.4" x14ac:dyDescent="0.3"/>
  <cols>
    <col min="1" max="1" width="4.33203125" style="4" customWidth="1"/>
    <col min="2" max="2" width="18.88671875" style="4" customWidth="1"/>
    <col min="3" max="6" width="9.6640625" style="4" customWidth="1"/>
    <col min="7" max="7" width="12.109375" style="4" bestFit="1" customWidth="1"/>
    <col min="8" max="8" width="12.109375" style="4" hidden="1" customWidth="1"/>
    <col min="9" max="9" width="13.6640625" style="4" hidden="1" customWidth="1"/>
    <col min="10" max="10" width="13.33203125" style="4" bestFit="1" customWidth="1"/>
    <col min="11" max="11" width="9.6640625" style="172" hidden="1" customWidth="1"/>
    <col min="12" max="12" width="18.44140625" style="4" customWidth="1"/>
    <col min="13" max="17" width="12.109375" style="4" bestFit="1" customWidth="1"/>
    <col min="18" max="18" width="13.44140625" style="4" bestFit="1" customWidth="1"/>
    <col min="19" max="25" width="12.109375" style="4" bestFit="1" customWidth="1"/>
    <col min="26" max="16384" width="11.44140625" style="4"/>
  </cols>
  <sheetData>
    <row r="1" spans="2:28" x14ac:dyDescent="0.3">
      <c r="M1" s="31"/>
      <c r="N1" s="32"/>
    </row>
    <row r="2" spans="2:28" ht="18.600000000000001" x14ac:dyDescent="0.45">
      <c r="L2" s="50"/>
      <c r="M2" s="307" t="s">
        <v>42</v>
      </c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  <c r="Y2" s="307"/>
    </row>
    <row r="3" spans="2:28" ht="15" thickBot="1" x14ac:dyDescent="0.35">
      <c r="L3" s="4" t="s">
        <v>99</v>
      </c>
      <c r="M3" s="46" t="s">
        <v>57</v>
      </c>
      <c r="N3" s="46" t="s">
        <v>45</v>
      </c>
      <c r="O3" s="46" t="s">
        <v>46</v>
      </c>
      <c r="P3" s="46" t="s">
        <v>47</v>
      </c>
      <c r="Q3" s="46" t="s">
        <v>48</v>
      </c>
      <c r="R3" s="46" t="s">
        <v>49</v>
      </c>
      <c r="S3" s="46" t="s">
        <v>50</v>
      </c>
      <c r="T3" s="46" t="s">
        <v>51</v>
      </c>
      <c r="U3" s="46" t="s">
        <v>52</v>
      </c>
      <c r="V3" s="46" t="s">
        <v>53</v>
      </c>
      <c r="W3" s="46" t="s">
        <v>54</v>
      </c>
      <c r="X3" s="46" t="s">
        <v>55</v>
      </c>
      <c r="Y3" s="46" t="s">
        <v>56</v>
      </c>
      <c r="AB3" s="4" t="s">
        <v>126</v>
      </c>
    </row>
    <row r="4" spans="2:28" x14ac:dyDescent="0.3">
      <c r="L4" s="4" t="s">
        <v>43</v>
      </c>
      <c r="M4" s="22"/>
      <c r="N4" s="65">
        <f>('DISTRIBUCION PANELES'!$D$30*'MODELO ECONOMICO'!$AB4)/'INTRO PV'!C23</f>
        <v>4099.9916571428575</v>
      </c>
      <c r="O4" s="65">
        <f>('DISTRIBUCION PANELES'!$D$30*'MODELO ECONOMICO'!$AB5)/'INTRO PV'!C23</f>
        <v>4304.9912400000003</v>
      </c>
      <c r="P4" s="65">
        <f>('DISTRIBUCION PANELES'!$D$30*'MODELO ECONOMICO'!$AB6)/'INTRO PV'!C23</f>
        <v>4520.2408020000003</v>
      </c>
      <c r="Q4" s="65">
        <f>('DISTRIBUCION PANELES'!$D$30*'MODELO ECONOMICO'!$AB7)/'INTRO PV'!C23</f>
        <v>4746.2528421000006</v>
      </c>
      <c r="R4" s="65">
        <f>('DISTRIBUCION PANELES'!$D$30*'MODELO ECONOMICO'!$AB8)/'INTRO PV'!C23</f>
        <v>4983.5654842050017</v>
      </c>
      <c r="S4" s="65">
        <f>('DISTRIBUCION PANELES'!$D$30*'MODELO ECONOMICO'!$AB9)/'INTRO PV'!C23</f>
        <v>5232.7437584152512</v>
      </c>
      <c r="T4" s="65">
        <f>('DISTRIBUCION PANELES'!$D$30*'MODELO ECONOMICO'!$AB10)/'INTRO PV'!C23</f>
        <v>5494.3809463360139</v>
      </c>
      <c r="U4" s="65">
        <f>('DISTRIBUCION PANELES'!$D$30*'MODELO ECONOMICO'!$AB11)/'INTRO PV'!C23</f>
        <v>5769.0999936528142</v>
      </c>
      <c r="V4" s="65">
        <f>('DISTRIBUCION PANELES'!$D$30*'MODELO ECONOMICO'!$AB12)/'INTRO PV'!C23</f>
        <v>6057.5549933354541</v>
      </c>
      <c r="W4" s="65">
        <f>('DISTRIBUCION PANELES'!$D$30*'MODELO ECONOMICO'!$AB13)/'INTRO PV'!C23</f>
        <v>6360.4327430022277</v>
      </c>
      <c r="X4" s="65">
        <f>('DISTRIBUCION PANELES'!$D$30*'MODELO ECONOMICO'!$AB14)/'INTRO PV'!C23</f>
        <v>6678.4543801523405</v>
      </c>
      <c r="Y4" s="66">
        <f>('DISTRIBUCION PANELES'!$D$30*'MODELO ECONOMICO'!$AB15)/'INTRO PV'!C23</f>
        <v>7012.3770991599567</v>
      </c>
      <c r="AA4" s="4">
        <v>1</v>
      </c>
      <c r="AB4" s="4">
        <v>14.04</v>
      </c>
    </row>
    <row r="5" spans="2:28" x14ac:dyDescent="0.3">
      <c r="B5" s="34"/>
      <c r="C5" s="34"/>
      <c r="D5" s="34"/>
      <c r="G5" s="60"/>
      <c r="H5" s="60"/>
      <c r="I5" s="31"/>
      <c r="L5" s="4" t="s">
        <v>60</v>
      </c>
      <c r="M5" s="29"/>
      <c r="N5" s="67">
        <f>R24</f>
        <v>-744.38133333333326</v>
      </c>
      <c r="O5" s="67">
        <f>R25</f>
        <v>-744.38133333333326</v>
      </c>
      <c r="P5" s="67">
        <f>R26</f>
        <v>-744.38133333333326</v>
      </c>
      <c r="Q5" s="30"/>
      <c r="R5" s="30"/>
      <c r="S5" s="30"/>
      <c r="T5" s="30"/>
      <c r="U5" s="30"/>
      <c r="V5" s="30"/>
      <c r="W5" s="30"/>
      <c r="X5" s="30"/>
      <c r="Y5" s="47"/>
      <c r="AA5" s="4">
        <v>2</v>
      </c>
      <c r="AB5" s="4">
        <f>AB4+K36</f>
        <v>14.741999999999999</v>
      </c>
    </row>
    <row r="6" spans="2:28" x14ac:dyDescent="0.3">
      <c r="B6" s="34"/>
      <c r="C6" s="34"/>
      <c r="D6" s="34"/>
      <c r="G6" s="60"/>
      <c r="H6" s="60"/>
      <c r="I6" s="31"/>
      <c r="J6" s="171"/>
      <c r="M6" s="29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9"/>
      <c r="AA6" s="4">
        <v>3</v>
      </c>
      <c r="AB6" s="4">
        <f t="shared" ref="AB6:AB28" si="0">AB5+K37</f>
        <v>15.479099999999999</v>
      </c>
    </row>
    <row r="7" spans="2:28" x14ac:dyDescent="0.3">
      <c r="L7" s="4" t="s">
        <v>44</v>
      </c>
      <c r="M7" s="82">
        <f>-COSTOS!K5</f>
        <v>-13348.32</v>
      </c>
      <c r="X7" s="81"/>
      <c r="Y7" s="47"/>
      <c r="AA7" s="4">
        <v>4</v>
      </c>
      <c r="AB7" s="4">
        <f t="shared" si="0"/>
        <v>16.253055</v>
      </c>
    </row>
    <row r="8" spans="2:28" x14ac:dyDescent="0.3">
      <c r="M8" s="37"/>
      <c r="N8" s="42"/>
      <c r="X8" s="81"/>
      <c r="Y8" s="47"/>
      <c r="AA8" s="4">
        <v>5</v>
      </c>
      <c r="AB8" s="4">
        <f t="shared" si="0"/>
        <v>17.065707750000001</v>
      </c>
    </row>
    <row r="9" spans="2:28" x14ac:dyDescent="0.3">
      <c r="L9" s="4" t="s">
        <v>58</v>
      </c>
      <c r="M9" s="82"/>
      <c r="N9" s="80">
        <f>N4-N5</f>
        <v>4844.3729904761913</v>
      </c>
      <c r="O9" s="80">
        <f t="shared" ref="O9:Y9" si="1">O4-O5</f>
        <v>5049.372573333334</v>
      </c>
      <c r="P9" s="80">
        <f t="shared" si="1"/>
        <v>5264.6221353333331</v>
      </c>
      <c r="Q9" s="80">
        <f t="shared" si="1"/>
        <v>4746.2528421000006</v>
      </c>
      <c r="R9" s="80">
        <f t="shared" si="1"/>
        <v>4983.5654842050017</v>
      </c>
      <c r="S9" s="80">
        <f t="shared" si="1"/>
        <v>5232.7437584152512</v>
      </c>
      <c r="T9" s="80">
        <f t="shared" si="1"/>
        <v>5494.3809463360139</v>
      </c>
      <c r="U9" s="80">
        <f t="shared" si="1"/>
        <v>5769.0999936528142</v>
      </c>
      <c r="V9" s="80">
        <f t="shared" si="1"/>
        <v>6057.5549933354541</v>
      </c>
      <c r="W9" s="80">
        <f t="shared" si="1"/>
        <v>6360.4327430022277</v>
      </c>
      <c r="X9" s="80">
        <f t="shared" si="1"/>
        <v>6678.4543801523405</v>
      </c>
      <c r="Y9" s="83">
        <f t="shared" si="1"/>
        <v>7012.3770991599567</v>
      </c>
      <c r="AA9" s="4">
        <v>6</v>
      </c>
      <c r="AB9" s="4">
        <f t="shared" si="0"/>
        <v>17.918993137500003</v>
      </c>
    </row>
    <row r="10" spans="2:28" ht="15" thickBot="1" x14ac:dyDescent="0.35">
      <c r="L10" s="4" t="s">
        <v>59</v>
      </c>
      <c r="M10" s="68">
        <f>M7</f>
        <v>-13348.32</v>
      </c>
      <c r="N10" s="84">
        <f t="shared" ref="N10:S10" si="2">M10+N9</f>
        <v>-8503.9470095238084</v>
      </c>
      <c r="O10" s="84">
        <f t="shared" si="2"/>
        <v>-3454.5744361904744</v>
      </c>
      <c r="P10" s="84">
        <f t="shared" si="2"/>
        <v>1810.0476991428586</v>
      </c>
      <c r="Q10" s="84">
        <f t="shared" si="2"/>
        <v>6556.3005412428593</v>
      </c>
      <c r="R10" s="84">
        <f t="shared" si="2"/>
        <v>11539.86602544786</v>
      </c>
      <c r="S10" s="84">
        <f t="shared" si="2"/>
        <v>16772.60978386311</v>
      </c>
      <c r="T10" s="84">
        <f t="shared" ref="T10:Y10" si="3">S10+T9</f>
        <v>22266.990730199126</v>
      </c>
      <c r="U10" s="84">
        <f t="shared" si="3"/>
        <v>28036.090723851939</v>
      </c>
      <c r="V10" s="84">
        <f t="shared" si="3"/>
        <v>34093.645717187392</v>
      </c>
      <c r="W10" s="84">
        <f t="shared" si="3"/>
        <v>40454.078460189616</v>
      </c>
      <c r="X10" s="84">
        <f t="shared" si="3"/>
        <v>47132.532840341955</v>
      </c>
      <c r="Y10" s="85">
        <f t="shared" si="3"/>
        <v>54144.909939501915</v>
      </c>
      <c r="AA10" s="4">
        <v>7</v>
      </c>
      <c r="AB10" s="4">
        <f t="shared" si="0"/>
        <v>18.814942794375003</v>
      </c>
    </row>
    <row r="11" spans="2:28" x14ac:dyDescent="0.3">
      <c r="AA11" s="4">
        <v>8</v>
      </c>
      <c r="AB11" s="4">
        <f t="shared" si="0"/>
        <v>19.755689934093752</v>
      </c>
    </row>
    <row r="12" spans="2:28" x14ac:dyDescent="0.3">
      <c r="AA12" s="4">
        <v>9</v>
      </c>
      <c r="AB12" s="4">
        <f t="shared" si="0"/>
        <v>20.74347443079844</v>
      </c>
    </row>
    <row r="13" spans="2:28" ht="15" thickBot="1" x14ac:dyDescent="0.35">
      <c r="L13" s="4" t="s">
        <v>99</v>
      </c>
      <c r="M13" s="31" t="s">
        <v>86</v>
      </c>
      <c r="N13" s="31" t="s">
        <v>87</v>
      </c>
      <c r="O13" s="31" t="s">
        <v>88</v>
      </c>
      <c r="P13" s="31" t="s">
        <v>89</v>
      </c>
      <c r="Q13" s="31" t="s">
        <v>90</v>
      </c>
      <c r="R13" s="31" t="s">
        <v>91</v>
      </c>
      <c r="S13" s="31" t="s">
        <v>92</v>
      </c>
      <c r="T13" s="31" t="s">
        <v>93</v>
      </c>
      <c r="U13" s="31" t="s">
        <v>94</v>
      </c>
      <c r="V13" s="31" t="s">
        <v>95</v>
      </c>
      <c r="W13" s="31" t="s">
        <v>96</v>
      </c>
      <c r="X13" s="31" t="s">
        <v>97</v>
      </c>
      <c r="Y13" s="31" t="s">
        <v>98</v>
      </c>
      <c r="AA13" s="4">
        <v>10</v>
      </c>
      <c r="AB13" s="4">
        <f t="shared" si="0"/>
        <v>21.780648152338362</v>
      </c>
    </row>
    <row r="14" spans="2:28" x14ac:dyDescent="0.3">
      <c r="L14" s="4" t="s">
        <v>43</v>
      </c>
      <c r="M14" s="69">
        <f>('DISTRIBUCION PANELES'!$D$30*'MODELO ECONOMICO'!$AB16)/'INTRO PV'!C23</f>
        <v>7362.9959541179542</v>
      </c>
      <c r="N14" s="70">
        <f>('DISTRIBUCION PANELES'!$D$30*'MODELO ECONOMICO'!$AB17)/'INTRO PV'!C23</f>
        <v>7731.1457518238531</v>
      </c>
      <c r="O14" s="70">
        <f>('DISTRIBUCION PANELES'!$D$30*'MODELO ECONOMICO'!$AB18)/'INTRO PV'!C23</f>
        <v>8117.7030394150461</v>
      </c>
      <c r="P14" s="70">
        <f>('DISTRIBUCION PANELES'!$D$30*'MODELO ECONOMICO'!$AB19)/'INTRO PV'!C23</f>
        <v>8523.5881913857975</v>
      </c>
      <c r="Q14" s="70">
        <f>('DISTRIBUCION PANELES'!$D$30*'MODELO ECONOMICO'!$AB20)/'INTRO PV'!C23</f>
        <v>8949.7676009550887</v>
      </c>
      <c r="R14" s="70">
        <f>('DISTRIBUCION PANELES'!$D$30*'MODELO ECONOMICO'!$AB21)/'INTRO PV'!C23</f>
        <v>9397.2559810028415</v>
      </c>
      <c r="S14" s="70">
        <f>('DISTRIBUCION PANELES'!$D$30*'MODELO ECONOMICO'!$AB22)/'INTRO PV'!C23</f>
        <v>9867.1187800529842</v>
      </c>
      <c r="T14" s="70">
        <f>('DISTRIBUCION PANELES'!$D$30*'MODELO ECONOMICO'!$AB23)/'INTRO PV'!C23</f>
        <v>10360.474719055634</v>
      </c>
      <c r="U14" s="70">
        <f>('DISTRIBUCION PANELES'!$D$30*'MODELO ECONOMICO'!$AB24)/'INTRO PV'!C23</f>
        <v>10878.498455008414</v>
      </c>
      <c r="V14" s="70">
        <f>('DISTRIBUCION PANELES'!$D$30*'MODELO ECONOMICO'!$AB25)/'INTRO PV'!C23</f>
        <v>11422.423377758836</v>
      </c>
      <c r="W14" s="70">
        <f>('DISTRIBUCION PANELES'!$D$30*'MODELO ECONOMICO'!$AB26)/'INTRO PV'!C23</f>
        <v>11993.544546646775</v>
      </c>
      <c r="X14" s="70">
        <f>('DISTRIBUCION PANELES'!$D$30*'MODELO ECONOMICO'!$AB27)/'INTRO PV'!C23</f>
        <v>12593.221773979114</v>
      </c>
      <c r="Y14" s="71">
        <f>('DISTRIBUCION PANELES'!$D$30*'MODELO ECONOMICO'!$AB28)/'INTRO PV'!C23</f>
        <v>13222.882862678071</v>
      </c>
      <c r="AA14" s="4">
        <v>11</v>
      </c>
      <c r="AB14" s="4">
        <f t="shared" si="0"/>
        <v>22.869680559955281</v>
      </c>
    </row>
    <row r="15" spans="2:28" x14ac:dyDescent="0.3">
      <c r="M15" s="72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73"/>
      <c r="AA15" s="4">
        <v>12</v>
      </c>
      <c r="AB15" s="4">
        <f t="shared" si="0"/>
        <v>24.013164587953046</v>
      </c>
    </row>
    <row r="16" spans="2:28" x14ac:dyDescent="0.3">
      <c r="M16" s="74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6"/>
      <c r="AA16" s="4">
        <v>13</v>
      </c>
      <c r="AB16" s="4">
        <f t="shared" si="0"/>
        <v>25.2138228173507</v>
      </c>
    </row>
    <row r="17" spans="10:28" x14ac:dyDescent="0.3">
      <c r="L17" s="4" t="s">
        <v>58</v>
      </c>
      <c r="M17" s="72">
        <f t="shared" ref="M17:Y17" si="4">M14</f>
        <v>7362.9959541179542</v>
      </c>
      <c r="N17" s="67">
        <f t="shared" si="4"/>
        <v>7731.1457518238531</v>
      </c>
      <c r="O17" s="67">
        <f t="shared" si="4"/>
        <v>8117.7030394150461</v>
      </c>
      <c r="P17" s="67">
        <f t="shared" si="4"/>
        <v>8523.5881913857975</v>
      </c>
      <c r="Q17" s="67">
        <f t="shared" si="4"/>
        <v>8949.7676009550887</v>
      </c>
      <c r="R17" s="67">
        <f t="shared" si="4"/>
        <v>9397.2559810028415</v>
      </c>
      <c r="S17" s="67">
        <f t="shared" si="4"/>
        <v>9867.1187800529842</v>
      </c>
      <c r="T17" s="67">
        <f t="shared" si="4"/>
        <v>10360.474719055634</v>
      </c>
      <c r="U17" s="67">
        <f t="shared" si="4"/>
        <v>10878.498455008414</v>
      </c>
      <c r="V17" s="67">
        <f t="shared" si="4"/>
        <v>11422.423377758836</v>
      </c>
      <c r="W17" s="67">
        <f t="shared" si="4"/>
        <v>11993.544546646775</v>
      </c>
      <c r="X17" s="67">
        <f t="shared" si="4"/>
        <v>12593.221773979114</v>
      </c>
      <c r="Y17" s="73">
        <f t="shared" si="4"/>
        <v>13222.882862678071</v>
      </c>
      <c r="AA17" s="4">
        <v>14</v>
      </c>
      <c r="AB17" s="4">
        <f t="shared" si="0"/>
        <v>26.474513958218235</v>
      </c>
    </row>
    <row r="18" spans="10:28" ht="15" thickBot="1" x14ac:dyDescent="0.35">
      <c r="L18" s="4" t="s">
        <v>59</v>
      </c>
      <c r="M18" s="77">
        <f>Y10+M17</f>
        <v>61507.905893619871</v>
      </c>
      <c r="N18" s="78">
        <f>M18+N17</f>
        <v>69239.051645443717</v>
      </c>
      <c r="O18" s="78">
        <f>N18+O17</f>
        <v>77356.754684858766</v>
      </c>
      <c r="P18" s="78">
        <f>O18+P17</f>
        <v>85880.342876244569</v>
      </c>
      <c r="Q18" s="78">
        <f t="shared" ref="Q18:X18" si="5">P18+Q17</f>
        <v>94830.110477199662</v>
      </c>
      <c r="R18" s="78">
        <f t="shared" si="5"/>
        <v>104227.36645820251</v>
      </c>
      <c r="S18" s="78">
        <f t="shared" si="5"/>
        <v>114094.4852382555</v>
      </c>
      <c r="T18" s="78">
        <f t="shared" si="5"/>
        <v>124454.95995731113</v>
      </c>
      <c r="U18" s="78">
        <f t="shared" si="5"/>
        <v>135333.45841231954</v>
      </c>
      <c r="V18" s="78">
        <f t="shared" si="5"/>
        <v>146755.88179007836</v>
      </c>
      <c r="W18" s="78">
        <f t="shared" si="5"/>
        <v>158749.42633672513</v>
      </c>
      <c r="X18" s="78">
        <f t="shared" si="5"/>
        <v>171342.64811070423</v>
      </c>
      <c r="Y18" s="79">
        <f>X18+Y17</f>
        <v>184565.53097338229</v>
      </c>
      <c r="AA18" s="4">
        <v>15</v>
      </c>
      <c r="AB18" s="4">
        <f t="shared" si="0"/>
        <v>27.798239656129148</v>
      </c>
    </row>
    <row r="19" spans="10:28" x14ac:dyDescent="0.3">
      <c r="N19" s="35"/>
      <c r="AA19" s="4">
        <v>16</v>
      </c>
      <c r="AB19" s="4">
        <f t="shared" si="0"/>
        <v>29.188151638935604</v>
      </c>
    </row>
    <row r="20" spans="10:28" x14ac:dyDescent="0.3">
      <c r="N20" s="35"/>
      <c r="AA20" s="4">
        <v>17</v>
      </c>
      <c r="AB20" s="4">
        <f t="shared" si="0"/>
        <v>30.647559220882385</v>
      </c>
    </row>
    <row r="21" spans="10:28" x14ac:dyDescent="0.3">
      <c r="N21" s="35"/>
      <c r="AA21" s="4">
        <v>18</v>
      </c>
      <c r="AB21" s="4">
        <f t="shared" si="0"/>
        <v>32.179937181926505</v>
      </c>
    </row>
    <row r="22" spans="10:28" ht="19.2" thickBot="1" x14ac:dyDescent="0.5">
      <c r="L22" s="306" t="s">
        <v>15</v>
      </c>
      <c r="M22" s="306"/>
      <c r="N22" s="306"/>
      <c r="O22" s="306"/>
      <c r="P22" s="306"/>
      <c r="Q22" s="306"/>
      <c r="R22" s="306"/>
      <c r="AA22" s="4">
        <v>19</v>
      </c>
      <c r="AB22" s="4">
        <f t="shared" si="0"/>
        <v>33.788934041022827</v>
      </c>
    </row>
    <row r="23" spans="10:28" x14ac:dyDescent="0.3">
      <c r="L23" s="36" t="s">
        <v>3</v>
      </c>
      <c r="M23" s="33"/>
      <c r="N23" s="33"/>
      <c r="O23" s="33"/>
      <c r="P23" s="33"/>
      <c r="Q23" s="33"/>
      <c r="R23" s="40">
        <f>COSTOS!K5</f>
        <v>13348.32</v>
      </c>
      <c r="AA23" s="4">
        <v>20</v>
      </c>
      <c r="AB23" s="4">
        <f t="shared" si="0"/>
        <v>35.47838074307397</v>
      </c>
    </row>
    <row r="24" spans="10:28" x14ac:dyDescent="0.3">
      <c r="K24" s="173"/>
      <c r="L24" s="37" t="s">
        <v>4</v>
      </c>
      <c r="R24" s="41">
        <f>-COSTOS!$B28</f>
        <v>-744.38133333333326</v>
      </c>
      <c r="AA24" s="4">
        <v>21</v>
      </c>
      <c r="AB24" s="4">
        <f t="shared" si="0"/>
        <v>37.252299780227666</v>
      </c>
    </row>
    <row r="25" spans="10:28" x14ac:dyDescent="0.3">
      <c r="L25" s="37" t="s">
        <v>5</v>
      </c>
      <c r="R25" s="41">
        <f>-COSTOS!$B28</f>
        <v>-744.38133333333326</v>
      </c>
      <c r="AA25" s="4">
        <v>22</v>
      </c>
      <c r="AB25" s="4">
        <f t="shared" si="0"/>
        <v>39.11491476923905</v>
      </c>
    </row>
    <row r="26" spans="10:28" x14ac:dyDescent="0.3">
      <c r="L26" s="37" t="s">
        <v>6</v>
      </c>
      <c r="R26" s="41">
        <f>-COSTOS!$B28</f>
        <v>-744.38133333333326</v>
      </c>
      <c r="AA26" s="4">
        <v>23</v>
      </c>
      <c r="AB26" s="4">
        <f t="shared" si="0"/>
        <v>41.070660507701</v>
      </c>
    </row>
    <row r="27" spans="10:28" ht="15" thickBot="1" x14ac:dyDescent="0.35">
      <c r="L27" s="23" t="s">
        <v>7</v>
      </c>
      <c r="M27" s="24"/>
      <c r="N27" s="24"/>
      <c r="O27" s="24"/>
      <c r="P27" s="24"/>
      <c r="Q27" s="24"/>
      <c r="R27" s="43">
        <f>SUM(R24:R26)</f>
        <v>-2233.1439999999998</v>
      </c>
      <c r="AA27" s="4">
        <v>24</v>
      </c>
      <c r="AB27" s="4">
        <f t="shared" si="0"/>
        <v>43.12419353308605</v>
      </c>
    </row>
    <row r="28" spans="10:28" ht="15" thickBot="1" x14ac:dyDescent="0.35">
      <c r="J28" s="45"/>
      <c r="L28" s="38" t="s">
        <v>106</v>
      </c>
      <c r="M28" s="38"/>
      <c r="N28" s="38"/>
      <c r="O28" s="39"/>
      <c r="P28" s="39"/>
      <c r="Q28" s="38"/>
      <c r="R28" s="44">
        <f>SUM(R23:R26)</f>
        <v>11115.176000000001</v>
      </c>
      <c r="AA28" s="4">
        <v>25</v>
      </c>
      <c r="AB28" s="4">
        <f t="shared" si="0"/>
        <v>45.280403209740349</v>
      </c>
    </row>
    <row r="29" spans="10:28" ht="15" thickTop="1" x14ac:dyDescent="0.3">
      <c r="J29" s="45"/>
      <c r="N29" s="35"/>
    </row>
    <row r="30" spans="10:28" ht="29.25" customHeight="1" x14ac:dyDescent="0.3">
      <c r="L30" s="174" t="s">
        <v>337</v>
      </c>
      <c r="M30" s="174"/>
      <c r="N30" s="174"/>
      <c r="O30" s="174"/>
      <c r="P30" s="174"/>
      <c r="Q30" s="174"/>
      <c r="R30" s="175">
        <f>((R28*'INTRO PV'!C23)/'INTRO PV'!C22)/12</f>
        <v>2.6617921473684212</v>
      </c>
    </row>
    <row r="31" spans="10:28" x14ac:dyDescent="0.3">
      <c r="N31" s="35"/>
    </row>
    <row r="32" spans="10:28" x14ac:dyDescent="0.3">
      <c r="J32" s="42"/>
      <c r="N32" s="35"/>
    </row>
    <row r="36" spans="11:11" x14ac:dyDescent="0.3">
      <c r="K36" s="172">
        <f t="shared" ref="K36:K59" si="6">AB4*0.05</f>
        <v>0.70199999999999996</v>
      </c>
    </row>
    <row r="37" spans="11:11" x14ac:dyDescent="0.3">
      <c r="K37" s="172">
        <f t="shared" si="6"/>
        <v>0.73709999999999998</v>
      </c>
    </row>
    <row r="38" spans="11:11" x14ac:dyDescent="0.3">
      <c r="K38" s="172">
        <f t="shared" si="6"/>
        <v>0.77395499999999995</v>
      </c>
    </row>
    <row r="39" spans="11:11" x14ac:dyDescent="0.3">
      <c r="K39" s="172">
        <f t="shared" si="6"/>
        <v>0.81265275000000003</v>
      </c>
    </row>
    <row r="40" spans="11:11" x14ac:dyDescent="0.3">
      <c r="K40" s="172">
        <f t="shared" si="6"/>
        <v>0.85328538750000016</v>
      </c>
    </row>
    <row r="41" spans="11:11" x14ac:dyDescent="0.3">
      <c r="K41" s="172">
        <f t="shared" si="6"/>
        <v>0.89594965687500017</v>
      </c>
    </row>
    <row r="42" spans="11:11" x14ac:dyDescent="0.3">
      <c r="K42" s="172">
        <f t="shared" si="6"/>
        <v>0.94074713971875024</v>
      </c>
    </row>
    <row r="43" spans="11:11" x14ac:dyDescent="0.3">
      <c r="K43" s="172">
        <f t="shared" si="6"/>
        <v>0.9877844967046876</v>
      </c>
    </row>
    <row r="44" spans="11:11" x14ac:dyDescent="0.3">
      <c r="K44" s="172">
        <f t="shared" si="6"/>
        <v>1.0371737215399219</v>
      </c>
    </row>
    <row r="45" spans="11:11" x14ac:dyDescent="0.3">
      <c r="K45" s="172">
        <f t="shared" si="6"/>
        <v>1.0890324076169182</v>
      </c>
    </row>
    <row r="46" spans="11:11" x14ac:dyDescent="0.3">
      <c r="K46" s="172">
        <f t="shared" si="6"/>
        <v>1.1434840279977641</v>
      </c>
    </row>
    <row r="47" spans="11:11" x14ac:dyDescent="0.3">
      <c r="K47" s="172">
        <f t="shared" si="6"/>
        <v>1.2006582293976524</v>
      </c>
    </row>
    <row r="48" spans="11:11" x14ac:dyDescent="0.3">
      <c r="K48" s="172">
        <f t="shared" si="6"/>
        <v>1.260691140867535</v>
      </c>
    </row>
    <row r="49" spans="11:11" x14ac:dyDescent="0.3">
      <c r="K49" s="172">
        <f t="shared" si="6"/>
        <v>1.3237256979109118</v>
      </c>
    </row>
    <row r="50" spans="11:11" x14ac:dyDescent="0.3">
      <c r="K50" s="172">
        <f t="shared" si="6"/>
        <v>1.3899119828064574</v>
      </c>
    </row>
    <row r="51" spans="11:11" x14ac:dyDescent="0.3">
      <c r="K51" s="172">
        <f t="shared" si="6"/>
        <v>1.4594075819467802</v>
      </c>
    </row>
    <row r="52" spans="11:11" x14ac:dyDescent="0.3">
      <c r="K52" s="172">
        <f t="shared" si="6"/>
        <v>1.5323779610441193</v>
      </c>
    </row>
    <row r="53" spans="11:11" x14ac:dyDescent="0.3">
      <c r="K53" s="172">
        <f t="shared" si="6"/>
        <v>1.6089968590963253</v>
      </c>
    </row>
    <row r="54" spans="11:11" x14ac:dyDescent="0.3">
      <c r="K54" s="172">
        <f t="shared" si="6"/>
        <v>1.6894467020511414</v>
      </c>
    </row>
    <row r="55" spans="11:11" x14ac:dyDescent="0.3">
      <c r="K55" s="172">
        <f t="shared" si="6"/>
        <v>1.7739190371536986</v>
      </c>
    </row>
    <row r="56" spans="11:11" x14ac:dyDescent="0.3">
      <c r="K56" s="172">
        <f t="shared" si="6"/>
        <v>1.8626149890113834</v>
      </c>
    </row>
    <row r="57" spans="11:11" x14ac:dyDescent="0.3">
      <c r="K57" s="172">
        <f t="shared" si="6"/>
        <v>1.9557457384619525</v>
      </c>
    </row>
    <row r="58" spans="11:11" x14ac:dyDescent="0.3">
      <c r="K58" s="172">
        <f t="shared" si="6"/>
        <v>2.0535330253850499</v>
      </c>
    </row>
    <row r="59" spans="11:11" x14ac:dyDescent="0.3">
      <c r="K59" s="172">
        <f t="shared" si="6"/>
        <v>2.1562096766543024</v>
      </c>
    </row>
  </sheetData>
  <mergeCells count="2">
    <mergeCell ref="L22:R22"/>
    <mergeCell ref="M2:Y2"/>
  </mergeCells>
  <pageMargins left="0.46" right="0.48" top="0.75" bottom="0.75" header="0.3" footer="0.3"/>
  <pageSetup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31965-DB44-4B2B-A143-0E28CA1B93DD}">
  <sheetPr codeName="Sheet16"/>
  <dimension ref="C2:F11"/>
  <sheetViews>
    <sheetView topLeftCell="B1" workbookViewId="0">
      <selection activeCell="F11" sqref="C5:F11"/>
    </sheetView>
  </sheetViews>
  <sheetFormatPr baseColWidth="10" defaultColWidth="8.88671875" defaultRowHeight="14.4" x14ac:dyDescent="0.3"/>
  <cols>
    <col min="3" max="5" width="26.44140625" customWidth="1"/>
    <col min="6" max="6" width="22.5546875" customWidth="1"/>
  </cols>
  <sheetData>
    <row r="2" spans="3:6" ht="21" x14ac:dyDescent="0.4">
      <c r="C2" s="308" t="s">
        <v>323</v>
      </c>
      <c r="D2" s="308"/>
      <c r="E2" s="308"/>
      <c r="F2" s="308"/>
    </row>
    <row r="5" spans="3:6" ht="15" thickBot="1" x14ac:dyDescent="0.35">
      <c r="C5" s="254" t="s">
        <v>324</v>
      </c>
      <c r="D5" s="254" t="s">
        <v>335</v>
      </c>
      <c r="E5" s="254" t="s">
        <v>325</v>
      </c>
      <c r="F5" s="254" t="s">
        <v>326</v>
      </c>
    </row>
    <row r="6" spans="3:6" ht="44.25" customHeight="1" thickBot="1" x14ac:dyDescent="0.35">
      <c r="C6" s="167" t="s">
        <v>330</v>
      </c>
      <c r="D6" s="285" t="s">
        <v>394</v>
      </c>
      <c r="E6" s="5"/>
      <c r="F6" s="168" t="s">
        <v>395</v>
      </c>
    </row>
    <row r="7" spans="3:6" ht="44.25" customHeight="1" thickBot="1" x14ac:dyDescent="0.35">
      <c r="C7" s="58" t="s">
        <v>329</v>
      </c>
      <c r="D7" s="176">
        <v>5</v>
      </c>
      <c r="E7" s="166"/>
      <c r="F7" s="170" t="s">
        <v>403</v>
      </c>
    </row>
    <row r="8" spans="3:6" ht="44.25" customHeight="1" thickBot="1" x14ac:dyDescent="0.35">
      <c r="C8" s="58" t="s">
        <v>331</v>
      </c>
      <c r="D8" s="176">
        <v>2</v>
      </c>
      <c r="E8" s="166"/>
      <c r="F8" s="170" t="s">
        <v>327</v>
      </c>
    </row>
    <row r="9" spans="3:6" ht="44.25" customHeight="1" thickBot="1" x14ac:dyDescent="0.35">
      <c r="C9" s="58" t="s">
        <v>332</v>
      </c>
      <c r="D9" s="176">
        <v>12</v>
      </c>
      <c r="E9" s="166"/>
      <c r="F9" s="170" t="s">
        <v>327</v>
      </c>
    </row>
    <row r="10" spans="3:6" ht="44.25" customHeight="1" thickBot="1" x14ac:dyDescent="0.35">
      <c r="C10" s="58" t="s">
        <v>333</v>
      </c>
      <c r="D10" s="176">
        <v>2</v>
      </c>
      <c r="E10" s="166"/>
      <c r="F10" s="170" t="s">
        <v>403</v>
      </c>
    </row>
    <row r="11" spans="3:6" ht="44.25" customHeight="1" thickBot="1" x14ac:dyDescent="0.35">
      <c r="C11" s="169" t="s">
        <v>328</v>
      </c>
      <c r="D11" s="177">
        <v>2</v>
      </c>
      <c r="E11" s="6"/>
      <c r="F11" s="163" t="s">
        <v>334</v>
      </c>
    </row>
  </sheetData>
  <mergeCells count="1">
    <mergeCell ref="C2:F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669BD-66FD-4AB4-A1B4-DED74E796932}">
  <dimension ref="B2:J31"/>
  <sheetViews>
    <sheetView zoomScale="90" zoomScaleNormal="90" workbookViewId="0">
      <selection activeCell="J31" sqref="B3:J31"/>
    </sheetView>
  </sheetViews>
  <sheetFormatPr baseColWidth="10" defaultRowHeight="14.4" x14ac:dyDescent="0.3"/>
  <cols>
    <col min="4" max="4" width="21.5546875" bestFit="1" customWidth="1"/>
    <col min="10" max="10" width="28.33203125" customWidth="1"/>
  </cols>
  <sheetData>
    <row r="2" spans="2:10" ht="15" thickBot="1" x14ac:dyDescent="0.35"/>
    <row r="3" spans="2:10" x14ac:dyDescent="0.3">
      <c r="B3" s="36"/>
      <c r="C3" s="33"/>
      <c r="D3" s="33"/>
      <c r="E3" s="33"/>
      <c r="F3" s="33"/>
      <c r="G3" s="33"/>
      <c r="H3" s="33"/>
      <c r="I3" s="33"/>
      <c r="J3" s="209"/>
    </row>
    <row r="4" spans="2:10" x14ac:dyDescent="0.3">
      <c r="B4" s="37"/>
      <c r="C4" s="4"/>
      <c r="D4" s="4"/>
      <c r="E4" s="4"/>
      <c r="F4" s="4"/>
      <c r="G4" s="4"/>
      <c r="H4" s="4"/>
      <c r="I4" s="4"/>
      <c r="J4" s="210"/>
    </row>
    <row r="5" spans="2:10" ht="15" thickBot="1" x14ac:dyDescent="0.35">
      <c r="B5" s="37"/>
      <c r="C5" s="4"/>
      <c r="D5" s="4"/>
      <c r="E5" s="4"/>
      <c r="F5" s="4"/>
      <c r="G5" s="4"/>
      <c r="H5" s="4"/>
      <c r="I5" s="4"/>
      <c r="J5" s="211"/>
    </row>
    <row r="6" spans="2:10" x14ac:dyDescent="0.3">
      <c r="B6" s="37"/>
      <c r="C6" s="4"/>
      <c r="D6" s="4"/>
      <c r="E6" s="4"/>
      <c r="F6" s="4"/>
      <c r="G6" s="4"/>
      <c r="H6" s="4"/>
      <c r="I6" s="4"/>
      <c r="J6" s="212" t="s">
        <v>360</v>
      </c>
    </row>
    <row r="7" spans="2:10" ht="51" customHeight="1" x14ac:dyDescent="0.3">
      <c r="B7" s="37"/>
      <c r="C7" s="4"/>
      <c r="D7" s="4"/>
      <c r="E7" s="4"/>
      <c r="F7" s="4"/>
      <c r="G7" s="4"/>
      <c r="H7" s="4"/>
      <c r="I7" s="4"/>
      <c r="J7" s="213" t="s">
        <v>361</v>
      </c>
    </row>
    <row r="8" spans="2:10" ht="13.5" customHeight="1" thickBot="1" x14ac:dyDescent="0.35">
      <c r="B8" s="37"/>
      <c r="C8" s="4"/>
      <c r="D8" s="4"/>
      <c r="E8" s="4"/>
      <c r="F8" s="4"/>
      <c r="G8" s="4"/>
      <c r="H8" s="4"/>
      <c r="I8" s="4"/>
      <c r="J8" s="214" t="s">
        <v>362</v>
      </c>
    </row>
    <row r="9" spans="2:10" x14ac:dyDescent="0.3">
      <c r="B9" s="37"/>
      <c r="C9" s="4"/>
      <c r="D9" s="4"/>
      <c r="E9" s="4"/>
      <c r="F9" s="4"/>
      <c r="G9" s="4"/>
      <c r="H9" s="4"/>
      <c r="I9" s="4"/>
      <c r="J9" s="209" t="s">
        <v>363</v>
      </c>
    </row>
    <row r="10" spans="2:10" x14ac:dyDescent="0.3">
      <c r="B10" s="37"/>
      <c r="C10" s="4"/>
      <c r="D10" s="4"/>
      <c r="E10" s="4"/>
      <c r="F10" s="4"/>
      <c r="G10" s="4"/>
      <c r="H10" s="4"/>
      <c r="I10" s="4"/>
      <c r="J10" s="210" t="str">
        <f>'INTRO PV'!C3</f>
        <v>DIOBEL SOSA</v>
      </c>
    </row>
    <row r="11" spans="2:10" ht="15" thickBot="1" x14ac:dyDescent="0.35">
      <c r="B11" s="37"/>
      <c r="C11" s="4"/>
      <c r="D11" s="4"/>
      <c r="E11" s="4"/>
      <c r="F11" s="4"/>
      <c r="G11" s="4"/>
      <c r="H11" s="4"/>
      <c r="I11" s="4"/>
      <c r="J11" s="211"/>
    </row>
    <row r="12" spans="2:10" x14ac:dyDescent="0.3">
      <c r="B12" s="37"/>
      <c r="C12" s="4"/>
      <c r="D12" s="4"/>
      <c r="E12" s="4"/>
      <c r="F12" s="4"/>
      <c r="G12" s="4"/>
      <c r="H12" s="4"/>
      <c r="I12" s="4"/>
      <c r="J12" s="209" t="s">
        <v>364</v>
      </c>
    </row>
    <row r="13" spans="2:10" x14ac:dyDescent="0.3">
      <c r="B13" s="37"/>
      <c r="C13" s="4"/>
      <c r="D13" s="4"/>
      <c r="E13" s="4"/>
      <c r="F13" s="4"/>
      <c r="G13" s="4"/>
      <c r="H13" s="4"/>
      <c r="I13" s="4"/>
      <c r="J13" s="215" t="str">
        <f>'INTRO PV'!C6</f>
        <v>Santiago, Santiago de los Caballeros</v>
      </c>
    </row>
    <row r="14" spans="2:10" ht="15" thickBot="1" x14ac:dyDescent="0.35">
      <c r="B14" s="37"/>
      <c r="C14" s="4"/>
      <c r="D14" s="4"/>
      <c r="E14" s="4"/>
      <c r="F14" s="4"/>
      <c r="G14" s="4"/>
      <c r="H14" s="4"/>
      <c r="I14" s="4"/>
      <c r="J14" s="211"/>
    </row>
    <row r="15" spans="2:10" x14ac:dyDescent="0.3">
      <c r="B15" s="37"/>
      <c r="C15" s="4"/>
      <c r="D15" s="4"/>
      <c r="E15" s="4"/>
      <c r="F15" s="4"/>
      <c r="G15" s="4"/>
      <c r="H15" s="4"/>
      <c r="I15" s="4"/>
      <c r="J15" s="209" t="s">
        <v>365</v>
      </c>
    </row>
    <row r="16" spans="2:10" x14ac:dyDescent="0.3">
      <c r="B16" s="37"/>
      <c r="C16" s="4"/>
      <c r="D16" s="4"/>
      <c r="E16" s="4"/>
      <c r="F16" s="4"/>
      <c r="G16" s="4"/>
      <c r="H16" s="4"/>
      <c r="I16" s="4"/>
      <c r="J16" s="210"/>
    </row>
    <row r="17" spans="2:10" x14ac:dyDescent="0.3">
      <c r="B17" s="37"/>
      <c r="C17" s="4"/>
      <c r="D17" s="4"/>
      <c r="E17" s="4"/>
      <c r="F17" s="4"/>
      <c r="G17" s="4"/>
      <c r="H17" s="4"/>
      <c r="I17" s="4"/>
      <c r="J17" s="210" t="s">
        <v>366</v>
      </c>
    </row>
    <row r="18" spans="2:10" x14ac:dyDescent="0.3">
      <c r="B18" s="37"/>
      <c r="C18" s="4"/>
      <c r="D18" s="4"/>
      <c r="E18" s="4"/>
      <c r="F18" s="4"/>
      <c r="G18" s="4"/>
      <c r="H18" s="4"/>
      <c r="I18" s="4"/>
      <c r="J18" s="210"/>
    </row>
    <row r="19" spans="2:10" x14ac:dyDescent="0.3">
      <c r="B19" s="37"/>
      <c r="C19" s="4"/>
      <c r="D19" s="4"/>
      <c r="E19" s="4"/>
      <c r="F19" s="4"/>
      <c r="G19" s="4"/>
      <c r="H19" s="4"/>
      <c r="I19" s="4"/>
      <c r="J19" s="210" t="s">
        <v>367</v>
      </c>
    </row>
    <row r="20" spans="2:10" ht="15" thickBot="1" x14ac:dyDescent="0.35">
      <c r="B20" s="37"/>
      <c r="C20" s="4"/>
      <c r="D20" s="4"/>
      <c r="E20" s="4"/>
      <c r="F20" s="4"/>
      <c r="G20" s="4"/>
      <c r="H20" s="4"/>
      <c r="I20" s="4"/>
      <c r="J20" s="211" t="s">
        <v>368</v>
      </c>
    </row>
    <row r="21" spans="2:10" x14ac:dyDescent="0.3">
      <c r="B21" s="37"/>
      <c r="C21" s="4"/>
      <c r="D21" s="4"/>
      <c r="E21" s="4"/>
      <c r="F21" s="4"/>
      <c r="G21" s="4"/>
      <c r="H21" s="4"/>
      <c r="I21" s="4"/>
      <c r="J21" s="209" t="s">
        <v>369</v>
      </c>
    </row>
    <row r="22" spans="2:10" x14ac:dyDescent="0.3">
      <c r="B22" s="37"/>
      <c r="C22" s="4"/>
      <c r="D22" s="4"/>
      <c r="E22" s="4"/>
      <c r="F22" s="4"/>
      <c r="G22" s="4"/>
      <c r="H22" s="4"/>
      <c r="I22" s="4"/>
      <c r="J22" s="210"/>
    </row>
    <row r="23" spans="2:10" x14ac:dyDescent="0.3">
      <c r="B23" s="37"/>
      <c r="C23" s="4"/>
      <c r="D23" s="4"/>
      <c r="E23" s="4"/>
      <c r="F23" s="4"/>
      <c r="G23" s="4"/>
      <c r="H23" s="4"/>
      <c r="I23" s="4"/>
      <c r="J23" s="210" t="s">
        <v>370</v>
      </c>
    </row>
    <row r="24" spans="2:10" x14ac:dyDescent="0.3">
      <c r="B24" s="37"/>
      <c r="C24" s="4"/>
      <c r="D24" s="4"/>
      <c r="E24" s="4"/>
      <c r="F24" s="4"/>
      <c r="G24" s="4"/>
      <c r="H24" s="4"/>
      <c r="I24" s="4"/>
      <c r="J24" s="210"/>
    </row>
    <row r="25" spans="2:10" ht="15" thickBot="1" x14ac:dyDescent="0.35">
      <c r="B25" s="37"/>
      <c r="C25" s="4"/>
      <c r="D25" s="4"/>
      <c r="E25" s="4"/>
      <c r="F25" s="4"/>
      <c r="G25" s="4"/>
      <c r="H25" s="4"/>
      <c r="I25" s="4"/>
      <c r="J25" s="211"/>
    </row>
    <row r="26" spans="2:10" x14ac:dyDescent="0.3">
      <c r="B26" s="36"/>
      <c r="C26" s="33"/>
      <c r="D26" s="33"/>
      <c r="E26" s="33"/>
      <c r="F26" s="33"/>
      <c r="G26" s="33"/>
      <c r="H26" s="33"/>
      <c r="I26" s="216"/>
      <c r="J26" s="216"/>
    </row>
    <row r="27" spans="2:10" x14ac:dyDescent="0.3">
      <c r="B27" s="231" t="s">
        <v>371</v>
      </c>
      <c r="C27" s="4"/>
      <c r="D27" s="4" t="str">
        <f>'INTRO PV'!C7</f>
        <v>18.48843610452232, -69.84759417329681</v>
      </c>
      <c r="E27" s="4"/>
      <c r="F27" s="4"/>
      <c r="G27" s="4"/>
      <c r="H27" s="4"/>
      <c r="I27" s="47"/>
      <c r="J27" s="47"/>
    </row>
    <row r="28" spans="2:10" x14ac:dyDescent="0.3">
      <c r="B28" s="231" t="s">
        <v>20</v>
      </c>
      <c r="C28" s="34"/>
      <c r="D28" s="63">
        <f>'INTRO PV'!C11</f>
        <v>20</v>
      </c>
      <c r="E28" s="4"/>
      <c r="F28" s="4"/>
      <c r="G28" s="4"/>
      <c r="H28" s="4"/>
      <c r="I28" s="47"/>
      <c r="J28" s="47"/>
    </row>
    <row r="29" spans="2:10" x14ac:dyDescent="0.3">
      <c r="B29" s="231" t="s">
        <v>21</v>
      </c>
      <c r="C29" s="34"/>
      <c r="D29" s="232">
        <f>'DESCRIPCION TECNICA'!G11*D28</f>
        <v>11000</v>
      </c>
      <c r="E29" s="4" t="s">
        <v>19</v>
      </c>
      <c r="F29" s="4"/>
      <c r="G29" s="4"/>
      <c r="H29" s="4"/>
      <c r="I29" s="47"/>
      <c r="J29" s="47"/>
    </row>
    <row r="30" spans="2:10" x14ac:dyDescent="0.3">
      <c r="B30" s="231" t="s">
        <v>37</v>
      </c>
      <c r="C30" s="4"/>
      <c r="D30" s="45">
        <f>SUM('DIMENSION PLANTA SOLAR'!C5:N5)</f>
        <v>15944.412000000002</v>
      </c>
      <c r="E30" s="4" t="s">
        <v>72</v>
      </c>
      <c r="F30" s="4"/>
      <c r="G30" s="4"/>
      <c r="H30" s="4"/>
      <c r="I30" s="47"/>
      <c r="J30" s="47"/>
    </row>
    <row r="31" spans="2:10" ht="15" thickBot="1" x14ac:dyDescent="0.35">
      <c r="B31" s="23"/>
      <c r="C31" s="24"/>
      <c r="D31" s="24"/>
      <c r="E31" s="24"/>
      <c r="F31" s="24"/>
      <c r="G31" s="24"/>
      <c r="H31" s="24"/>
      <c r="I31" s="217"/>
      <c r="J31" s="217"/>
    </row>
  </sheetData>
  <pageMargins left="0.7" right="0.7" top="0.75" bottom="0.75" header="0.3" footer="0.3"/>
  <pageSetup scale="6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DB4B6-ED1B-4E6C-ABE9-C79A71A36FD2}">
  <sheetPr codeName="Sheet6">
    <tabColor rgb="FF00B050"/>
  </sheetPr>
  <dimension ref="A3:M48"/>
  <sheetViews>
    <sheetView tabSelected="1" topLeftCell="A15" workbookViewId="0">
      <selection activeCell="E26" sqref="E26"/>
    </sheetView>
  </sheetViews>
  <sheetFormatPr baseColWidth="10" defaultColWidth="9.109375" defaultRowHeight="14.4" x14ac:dyDescent="0.3"/>
  <cols>
    <col min="1" max="1" width="10.88671875" bestFit="1" customWidth="1"/>
    <col min="3" max="3" width="64.5546875" bestFit="1" customWidth="1"/>
    <col min="8" max="8" width="13.6640625" bestFit="1" customWidth="1"/>
    <col min="9" max="9" width="12.109375" customWidth="1"/>
    <col min="10" max="10" width="29.6640625" customWidth="1"/>
  </cols>
  <sheetData>
    <row r="3" spans="1:11" x14ac:dyDescent="0.3">
      <c r="A3" s="2" t="s">
        <v>220</v>
      </c>
      <c r="B3" s="2" t="s">
        <v>200</v>
      </c>
      <c r="C3" s="2" t="s">
        <v>197</v>
      </c>
      <c r="D3" s="2" t="s">
        <v>201</v>
      </c>
      <c r="E3" s="2" t="s">
        <v>202</v>
      </c>
      <c r="F3" s="2" t="s">
        <v>108</v>
      </c>
      <c r="G3" s="2" t="s">
        <v>203</v>
      </c>
      <c r="H3" s="130" t="s">
        <v>204</v>
      </c>
      <c r="J3" s="1"/>
      <c r="K3" s="1"/>
    </row>
    <row r="4" spans="1:11" x14ac:dyDescent="0.3">
      <c r="A4" t="s">
        <v>222</v>
      </c>
      <c r="B4" s="1">
        <v>1</v>
      </c>
      <c r="C4" s="4" t="s">
        <v>345</v>
      </c>
      <c r="D4">
        <v>340</v>
      </c>
      <c r="E4">
        <v>0.25</v>
      </c>
      <c r="F4">
        <v>5707</v>
      </c>
      <c r="G4">
        <f t="shared" ref="G4:G18" si="0">D4*E4</f>
        <v>85</v>
      </c>
      <c r="H4">
        <f t="shared" ref="H4:H11" si="1">G4*1.2</f>
        <v>102</v>
      </c>
      <c r="I4" s="131"/>
    </row>
    <row r="5" spans="1:11" x14ac:dyDescent="0.3">
      <c r="A5" t="s">
        <v>316</v>
      </c>
      <c r="B5" s="1">
        <v>2</v>
      </c>
      <c r="C5" s="4" t="s">
        <v>346</v>
      </c>
      <c r="D5">
        <v>340</v>
      </c>
      <c r="E5">
        <v>0.22500000000000001</v>
      </c>
      <c r="F5">
        <v>5707</v>
      </c>
      <c r="G5">
        <f t="shared" si="0"/>
        <v>76.5</v>
      </c>
      <c r="H5">
        <f t="shared" si="1"/>
        <v>91.8</v>
      </c>
      <c r="I5" s="131"/>
    </row>
    <row r="6" spans="1:11" x14ac:dyDescent="0.3">
      <c r="A6" t="s">
        <v>224</v>
      </c>
      <c r="B6" s="1">
        <v>3</v>
      </c>
      <c r="C6" s="4" t="s">
        <v>382</v>
      </c>
      <c r="D6">
        <v>370</v>
      </c>
      <c r="E6">
        <v>0.28000000000000003</v>
      </c>
      <c r="F6">
        <v>5707</v>
      </c>
      <c r="G6">
        <f t="shared" si="0"/>
        <v>103.60000000000001</v>
      </c>
      <c r="H6">
        <f t="shared" si="1"/>
        <v>124.32000000000001</v>
      </c>
      <c r="I6" s="131"/>
    </row>
    <row r="7" spans="1:11" x14ac:dyDescent="0.3">
      <c r="A7" t="s">
        <v>390</v>
      </c>
      <c r="B7" s="1">
        <v>4</v>
      </c>
      <c r="C7" s="4" t="s">
        <v>383</v>
      </c>
      <c r="D7">
        <v>420</v>
      </c>
      <c r="E7">
        <v>0.34</v>
      </c>
      <c r="F7">
        <v>5708</v>
      </c>
      <c r="G7">
        <f t="shared" ref="G7" si="2">D7*E7</f>
        <v>142.80000000000001</v>
      </c>
      <c r="H7">
        <f t="shared" ref="H7" si="3">G7*1.2</f>
        <v>171.36</v>
      </c>
      <c r="I7" s="131"/>
    </row>
    <row r="8" spans="1:11" x14ac:dyDescent="0.3">
      <c r="A8" t="s">
        <v>378</v>
      </c>
      <c r="B8" s="1">
        <v>5</v>
      </c>
      <c r="C8" s="4" t="s">
        <v>384</v>
      </c>
      <c r="D8">
        <v>450</v>
      </c>
      <c r="E8">
        <v>0.27</v>
      </c>
      <c r="F8">
        <v>5707</v>
      </c>
      <c r="G8">
        <f t="shared" ref="G8" si="4">D8*E8</f>
        <v>121.50000000000001</v>
      </c>
      <c r="H8">
        <f t="shared" si="1"/>
        <v>145.80000000000001</v>
      </c>
      <c r="I8" s="131"/>
    </row>
    <row r="9" spans="1:11" x14ac:dyDescent="0.3">
      <c r="A9" t="s">
        <v>389</v>
      </c>
      <c r="B9" s="1">
        <v>6</v>
      </c>
      <c r="C9" s="4" t="s">
        <v>388</v>
      </c>
      <c r="D9">
        <v>370</v>
      </c>
      <c r="E9">
        <v>0.3</v>
      </c>
      <c r="F9">
        <v>5708</v>
      </c>
      <c r="G9">
        <f t="shared" si="0"/>
        <v>111</v>
      </c>
      <c r="H9">
        <f t="shared" si="1"/>
        <v>133.19999999999999</v>
      </c>
      <c r="I9" s="131"/>
    </row>
    <row r="10" spans="1:11" x14ac:dyDescent="0.3">
      <c r="A10" t="s">
        <v>355</v>
      </c>
      <c r="B10" s="1">
        <v>7</v>
      </c>
      <c r="C10" s="4" t="s">
        <v>356</v>
      </c>
      <c r="D10">
        <v>380</v>
      </c>
      <c r="E10">
        <v>0.26</v>
      </c>
      <c r="F10">
        <v>5708</v>
      </c>
      <c r="G10">
        <f t="shared" si="0"/>
        <v>98.8</v>
      </c>
      <c r="H10">
        <f t="shared" si="1"/>
        <v>118.55999999999999</v>
      </c>
      <c r="I10" s="131"/>
    </row>
    <row r="11" spans="1:11" x14ac:dyDescent="0.3">
      <c r="A11" t="s">
        <v>416</v>
      </c>
      <c r="B11" s="1">
        <v>8</v>
      </c>
      <c r="C11" s="4" t="s">
        <v>419</v>
      </c>
      <c r="D11">
        <v>360</v>
      </c>
      <c r="E11">
        <v>0.38</v>
      </c>
      <c r="F11">
        <v>5708</v>
      </c>
      <c r="G11">
        <f t="shared" si="0"/>
        <v>136.80000000000001</v>
      </c>
      <c r="H11">
        <f t="shared" si="1"/>
        <v>164.16</v>
      </c>
      <c r="I11" s="131"/>
    </row>
    <row r="12" spans="1:11" x14ac:dyDescent="0.3">
      <c r="A12" t="s">
        <v>417</v>
      </c>
      <c r="B12" s="1">
        <v>9</v>
      </c>
      <c r="C12" s="4" t="s">
        <v>418</v>
      </c>
      <c r="D12">
        <v>410</v>
      </c>
      <c r="E12">
        <v>0.34499999999999997</v>
      </c>
      <c r="F12">
        <v>5708</v>
      </c>
      <c r="G12">
        <f t="shared" ref="G12" si="5">D12*E12</f>
        <v>141.44999999999999</v>
      </c>
      <c r="H12">
        <f t="shared" ref="H12" si="6">G12*1.2</f>
        <v>169.73999999999998</v>
      </c>
      <c r="I12" s="131"/>
    </row>
    <row r="13" spans="1:11" x14ac:dyDescent="0.3">
      <c r="A13" t="s">
        <v>420</v>
      </c>
      <c r="B13" s="1">
        <v>10</v>
      </c>
      <c r="C13" s="4" t="s">
        <v>421</v>
      </c>
      <c r="D13">
        <v>550</v>
      </c>
      <c r="E13">
        <v>0.35</v>
      </c>
      <c r="F13">
        <v>5708</v>
      </c>
      <c r="G13">
        <f t="shared" ref="G13" si="7">D13*E13</f>
        <v>192.5</v>
      </c>
      <c r="H13">
        <f t="shared" ref="H13" si="8">G13*1.2</f>
        <v>231</v>
      </c>
      <c r="I13" s="131"/>
    </row>
    <row r="14" spans="1:11" x14ac:dyDescent="0.3">
      <c r="A14" t="s">
        <v>401</v>
      </c>
      <c r="B14" s="1">
        <v>9</v>
      </c>
      <c r="C14" s="4" t="s">
        <v>402</v>
      </c>
      <c r="D14">
        <v>545</v>
      </c>
      <c r="E14">
        <v>0.37</v>
      </c>
      <c r="F14">
        <v>5708</v>
      </c>
      <c r="G14">
        <f t="shared" ref="G14" si="9">D14*E14</f>
        <v>201.65</v>
      </c>
      <c r="H14">
        <f t="shared" ref="H14" si="10">G14*1.2</f>
        <v>241.98</v>
      </c>
      <c r="I14" s="131"/>
    </row>
    <row r="15" spans="1:11" x14ac:dyDescent="0.3">
      <c r="A15" t="s">
        <v>396</v>
      </c>
      <c r="B15" s="1">
        <v>10</v>
      </c>
      <c r="C15" s="4" t="s">
        <v>399</v>
      </c>
      <c r="D15">
        <v>590</v>
      </c>
      <c r="E15">
        <v>0.4</v>
      </c>
      <c r="F15">
        <v>5708</v>
      </c>
      <c r="G15">
        <f t="shared" ref="G15" si="11">D15*E15</f>
        <v>236</v>
      </c>
      <c r="H15">
        <f t="shared" ref="H15" si="12">G15*1.2</f>
        <v>283.2</v>
      </c>
      <c r="I15" s="131"/>
    </row>
    <row r="16" spans="1:11" x14ac:dyDescent="0.3">
      <c r="A16" t="s">
        <v>400</v>
      </c>
      <c r="B16" s="1">
        <v>11</v>
      </c>
      <c r="C16" s="4" t="s">
        <v>397</v>
      </c>
      <c r="D16">
        <v>595</v>
      </c>
      <c r="E16">
        <v>0.46</v>
      </c>
      <c r="F16">
        <v>5708</v>
      </c>
      <c r="G16">
        <f t="shared" ref="G16" si="13">D16*E16</f>
        <v>273.7</v>
      </c>
      <c r="H16">
        <f t="shared" ref="H16" si="14">G16*1.2</f>
        <v>328.44</v>
      </c>
      <c r="I16" s="131"/>
    </row>
    <row r="17" spans="1:11" x14ac:dyDescent="0.3">
      <c r="A17" t="s">
        <v>415</v>
      </c>
      <c r="B17" s="1">
        <v>12</v>
      </c>
      <c r="C17" s="4" t="s">
        <v>414</v>
      </c>
      <c r="D17">
        <v>655</v>
      </c>
      <c r="E17">
        <v>0.35</v>
      </c>
      <c r="F17">
        <v>5708</v>
      </c>
      <c r="G17">
        <f t="shared" ref="G17" si="15">D17*E17</f>
        <v>229.24999999999997</v>
      </c>
      <c r="H17">
        <f t="shared" ref="H17" si="16">G17*1.2</f>
        <v>275.09999999999997</v>
      </c>
      <c r="I17" s="131"/>
    </row>
    <row r="18" spans="1:11" x14ac:dyDescent="0.3">
      <c r="A18" t="s">
        <v>393</v>
      </c>
      <c r="B18" s="1">
        <v>13</v>
      </c>
      <c r="C18" s="4" t="s">
        <v>386</v>
      </c>
      <c r="D18">
        <v>405</v>
      </c>
      <c r="E18">
        <v>0.38</v>
      </c>
      <c r="F18">
        <v>5707</v>
      </c>
      <c r="G18">
        <f t="shared" si="0"/>
        <v>153.9</v>
      </c>
      <c r="H18">
        <f t="shared" ref="H18" si="17">G18*1.2</f>
        <v>184.68</v>
      </c>
      <c r="I18" s="131"/>
    </row>
    <row r="19" spans="1:11" x14ac:dyDescent="0.3">
      <c r="A19" t="s">
        <v>235</v>
      </c>
      <c r="B19" s="1">
        <v>14</v>
      </c>
      <c r="C19" s="4" t="s">
        <v>218</v>
      </c>
      <c r="D19">
        <v>3000</v>
      </c>
      <c r="E19">
        <v>1050</v>
      </c>
      <c r="F19">
        <v>5707</v>
      </c>
      <c r="G19">
        <f t="shared" ref="G19:G32" si="18">E19</f>
        <v>1050</v>
      </c>
      <c r="H19">
        <f t="shared" ref="H19:H45" si="19">G19*1.2</f>
        <v>1260</v>
      </c>
      <c r="I19" s="131"/>
    </row>
    <row r="20" spans="1:11" x14ac:dyDescent="0.3">
      <c r="A20" t="s">
        <v>315</v>
      </c>
      <c r="B20" s="1">
        <v>15</v>
      </c>
      <c r="C20" s="4" t="s">
        <v>314</v>
      </c>
      <c r="D20">
        <v>3800</v>
      </c>
      <c r="E20">
        <v>1183.06</v>
      </c>
      <c r="F20">
        <v>5707</v>
      </c>
      <c r="G20">
        <f t="shared" si="18"/>
        <v>1183.06</v>
      </c>
      <c r="H20">
        <f t="shared" si="19"/>
        <v>1419.6719999999998</v>
      </c>
      <c r="I20" s="131"/>
    </row>
    <row r="21" spans="1:11" x14ac:dyDescent="0.3">
      <c r="A21" t="s">
        <v>391</v>
      </c>
      <c r="B21" s="1">
        <v>16</v>
      </c>
      <c r="C21" s="4" t="s">
        <v>392</v>
      </c>
      <c r="D21">
        <v>3800</v>
      </c>
      <c r="E21">
        <v>500</v>
      </c>
      <c r="F21">
        <v>5707</v>
      </c>
      <c r="G21">
        <f t="shared" si="18"/>
        <v>500</v>
      </c>
      <c r="H21">
        <f t="shared" si="19"/>
        <v>600</v>
      </c>
      <c r="I21" s="131"/>
    </row>
    <row r="22" spans="1:11" x14ac:dyDescent="0.3">
      <c r="A22" t="s">
        <v>234</v>
      </c>
      <c r="B22" s="1">
        <v>17</v>
      </c>
      <c r="C22" s="4" t="s">
        <v>215</v>
      </c>
      <c r="D22">
        <v>5000</v>
      </c>
      <c r="E22">
        <v>1273</v>
      </c>
      <c r="F22">
        <v>5707</v>
      </c>
      <c r="G22">
        <f>E22</f>
        <v>1273</v>
      </c>
      <c r="H22">
        <f t="shared" si="19"/>
        <v>1527.6</v>
      </c>
      <c r="I22" s="131"/>
    </row>
    <row r="23" spans="1:11" x14ac:dyDescent="0.3">
      <c r="A23" t="s">
        <v>313</v>
      </c>
      <c r="B23" s="1">
        <v>18</v>
      </c>
      <c r="C23" s="4" t="s">
        <v>398</v>
      </c>
      <c r="D23">
        <v>6000</v>
      </c>
      <c r="E23">
        <v>1319.63</v>
      </c>
      <c r="F23">
        <v>5707</v>
      </c>
      <c r="G23">
        <f>E23</f>
        <v>1319.63</v>
      </c>
      <c r="H23">
        <f>G23*1.2</f>
        <v>1583.556</v>
      </c>
      <c r="I23" s="131"/>
      <c r="J23">
        <v>3</v>
      </c>
      <c r="K23">
        <f>E23*J23</f>
        <v>3958.8900000000003</v>
      </c>
    </row>
    <row r="24" spans="1:11" x14ac:dyDescent="0.3">
      <c r="A24" t="s">
        <v>223</v>
      </c>
      <c r="B24" s="1">
        <v>19</v>
      </c>
      <c r="C24" s="4" t="s">
        <v>205</v>
      </c>
      <c r="D24">
        <v>8200</v>
      </c>
      <c r="E24">
        <v>1732.86</v>
      </c>
      <c r="F24">
        <v>5707</v>
      </c>
      <c r="G24">
        <f t="shared" si="18"/>
        <v>1732.86</v>
      </c>
      <c r="H24">
        <f t="shared" si="19"/>
        <v>2079.4319999999998</v>
      </c>
      <c r="I24" s="131"/>
      <c r="J24">
        <v>3</v>
      </c>
      <c r="K24">
        <f>E24*J24</f>
        <v>5198.58</v>
      </c>
    </row>
    <row r="25" spans="1:11" x14ac:dyDescent="0.3">
      <c r="A25" t="s">
        <v>229</v>
      </c>
      <c r="B25" s="1">
        <v>20</v>
      </c>
      <c r="C25" s="4" t="s">
        <v>216</v>
      </c>
      <c r="D25">
        <v>7600</v>
      </c>
      <c r="E25">
        <v>1628.76</v>
      </c>
      <c r="F25">
        <v>5707</v>
      </c>
      <c r="G25">
        <f t="shared" si="18"/>
        <v>1628.76</v>
      </c>
      <c r="H25">
        <f t="shared" si="19"/>
        <v>1954.5119999999999</v>
      </c>
      <c r="I25" s="131"/>
      <c r="K25">
        <f>E25*J25</f>
        <v>0</v>
      </c>
    </row>
    <row r="26" spans="1:11" x14ac:dyDescent="0.3">
      <c r="A26" t="s">
        <v>230</v>
      </c>
      <c r="B26" s="1">
        <v>21</v>
      </c>
      <c r="C26" s="4" t="s">
        <v>217</v>
      </c>
      <c r="D26">
        <v>10000</v>
      </c>
      <c r="E26">
        <v>2191.31</v>
      </c>
      <c r="F26">
        <v>5707</v>
      </c>
      <c r="G26">
        <f t="shared" si="18"/>
        <v>2191.31</v>
      </c>
      <c r="H26">
        <f t="shared" si="19"/>
        <v>2629.5719999999997</v>
      </c>
      <c r="I26" s="131"/>
      <c r="J26">
        <v>3</v>
      </c>
      <c r="K26">
        <f>E26*J26</f>
        <v>6573.93</v>
      </c>
    </row>
    <row r="27" spans="1:11" x14ac:dyDescent="0.3">
      <c r="A27" t="s">
        <v>405</v>
      </c>
      <c r="B27" s="1">
        <v>22</v>
      </c>
      <c r="C27" s="4" t="s">
        <v>404</v>
      </c>
      <c r="D27">
        <v>11400</v>
      </c>
      <c r="E27">
        <v>2454.19</v>
      </c>
      <c r="F27">
        <v>5707</v>
      </c>
      <c r="G27">
        <f t="shared" ref="G27" si="20">E27</f>
        <v>2454.19</v>
      </c>
      <c r="H27">
        <f t="shared" ref="H27" si="21">G27*1.2</f>
        <v>2945.0279999999998</v>
      </c>
      <c r="I27" s="131"/>
    </row>
    <row r="28" spans="1:11" x14ac:dyDescent="0.3">
      <c r="A28" t="s">
        <v>358</v>
      </c>
      <c r="B28" s="1">
        <v>23</v>
      </c>
      <c r="C28" s="4" t="s">
        <v>359</v>
      </c>
      <c r="D28">
        <v>12500</v>
      </c>
      <c r="E28">
        <v>2383</v>
      </c>
      <c r="F28">
        <v>5708</v>
      </c>
      <c r="G28">
        <f t="shared" ref="G28" si="22">E28</f>
        <v>2383</v>
      </c>
      <c r="H28">
        <f t="shared" ref="H28" si="23">G28*1.2</f>
        <v>2859.6</v>
      </c>
      <c r="I28" s="131"/>
    </row>
    <row r="29" spans="1:11" x14ac:dyDescent="0.3">
      <c r="A29" t="s">
        <v>381</v>
      </c>
      <c r="B29" s="1">
        <v>24</v>
      </c>
      <c r="C29" s="4" t="s">
        <v>379</v>
      </c>
      <c r="D29">
        <v>10000</v>
      </c>
      <c r="E29">
        <v>2539.4899999999998</v>
      </c>
      <c r="F29">
        <v>5709</v>
      </c>
      <c r="G29">
        <f t="shared" ref="G29" si="24">E29</f>
        <v>2539.4899999999998</v>
      </c>
      <c r="H29">
        <f t="shared" ref="H29" si="25">G29*1.2</f>
        <v>3047.3879999999995</v>
      </c>
      <c r="I29" s="131"/>
    </row>
    <row r="30" spans="1:11" x14ac:dyDescent="0.3">
      <c r="A30" t="s">
        <v>380</v>
      </c>
      <c r="B30" s="1">
        <v>25</v>
      </c>
      <c r="C30" s="4" t="s">
        <v>357</v>
      </c>
      <c r="D30">
        <v>15000</v>
      </c>
      <c r="E30">
        <v>2623</v>
      </c>
      <c r="F30">
        <v>5708</v>
      </c>
      <c r="G30">
        <f t="shared" ref="G30" si="26">E30</f>
        <v>2623</v>
      </c>
      <c r="H30">
        <f t="shared" ref="H30" si="27">G30*1.2</f>
        <v>3147.6</v>
      </c>
      <c r="I30" s="131"/>
    </row>
    <row r="31" spans="1:11" x14ac:dyDescent="0.3">
      <c r="A31" t="s">
        <v>221</v>
      </c>
      <c r="B31" s="1">
        <v>26</v>
      </c>
      <c r="C31" s="4" t="s">
        <v>111</v>
      </c>
      <c r="D31">
        <v>15000</v>
      </c>
      <c r="E31">
        <v>3068</v>
      </c>
      <c r="F31">
        <v>5707</v>
      </c>
      <c r="G31">
        <f t="shared" si="18"/>
        <v>3068</v>
      </c>
      <c r="H31">
        <f t="shared" si="19"/>
        <v>3681.6</v>
      </c>
      <c r="I31" s="131"/>
    </row>
    <row r="32" spans="1:11" x14ac:dyDescent="0.3">
      <c r="A32" t="s">
        <v>233</v>
      </c>
      <c r="B32" s="1">
        <v>27</v>
      </c>
      <c r="C32" s="4" t="s">
        <v>209</v>
      </c>
      <c r="D32">
        <v>24000</v>
      </c>
      <c r="E32">
        <v>2935.8</v>
      </c>
      <c r="F32">
        <v>5707</v>
      </c>
      <c r="G32">
        <f t="shared" si="18"/>
        <v>2935.8</v>
      </c>
      <c r="H32">
        <f t="shared" si="19"/>
        <v>3522.96</v>
      </c>
      <c r="I32" s="131"/>
    </row>
    <row r="33" spans="1:13" x14ac:dyDescent="0.3">
      <c r="A33" t="s">
        <v>236</v>
      </c>
      <c r="B33" s="1">
        <v>28</v>
      </c>
      <c r="C33" s="4" t="s">
        <v>210</v>
      </c>
      <c r="E33">
        <v>17.22</v>
      </c>
      <c r="F33">
        <f t="shared" ref="F33:F38" si="28">E33*0.18</f>
        <v>3.0995999999999997</v>
      </c>
      <c r="G33">
        <f t="shared" ref="G33:G38" si="29">E33+F33</f>
        <v>20.319599999999998</v>
      </c>
      <c r="H33">
        <f t="shared" si="19"/>
        <v>24.383519999999997</v>
      </c>
      <c r="I33" s="131"/>
    </row>
    <row r="34" spans="1:13" x14ac:dyDescent="0.3">
      <c r="A34" t="s">
        <v>227</v>
      </c>
      <c r="B34" s="1">
        <v>29</v>
      </c>
      <c r="C34" t="s">
        <v>211</v>
      </c>
      <c r="E34">
        <v>17.47</v>
      </c>
      <c r="F34">
        <f t="shared" si="28"/>
        <v>3.1445999999999996</v>
      </c>
      <c r="G34">
        <f t="shared" si="29"/>
        <v>20.614599999999999</v>
      </c>
      <c r="H34">
        <f t="shared" si="19"/>
        <v>24.73752</v>
      </c>
      <c r="I34" s="131"/>
    </row>
    <row r="35" spans="1:13" x14ac:dyDescent="0.3">
      <c r="A35" t="s">
        <v>228</v>
      </c>
      <c r="B35" s="1">
        <v>30</v>
      </c>
      <c r="C35" t="s">
        <v>212</v>
      </c>
      <c r="E35">
        <v>0.85</v>
      </c>
      <c r="F35">
        <f t="shared" si="28"/>
        <v>0.153</v>
      </c>
      <c r="G35">
        <f t="shared" si="29"/>
        <v>1.0029999999999999</v>
      </c>
      <c r="H35">
        <f t="shared" si="19"/>
        <v>1.2035999999999998</v>
      </c>
      <c r="I35" s="131"/>
    </row>
    <row r="36" spans="1:13" x14ac:dyDescent="0.3">
      <c r="A36" t="s">
        <v>243</v>
      </c>
      <c r="B36" s="1">
        <v>31</v>
      </c>
      <c r="C36" t="s">
        <v>213</v>
      </c>
      <c r="E36">
        <v>0.85</v>
      </c>
      <c r="F36">
        <f t="shared" si="28"/>
        <v>0.153</v>
      </c>
      <c r="G36">
        <f t="shared" si="29"/>
        <v>1.0029999999999999</v>
      </c>
      <c r="H36">
        <f t="shared" si="19"/>
        <v>1.2035999999999998</v>
      </c>
      <c r="I36" s="131"/>
    </row>
    <row r="37" spans="1:13" x14ac:dyDescent="0.3">
      <c r="A37" t="s">
        <v>214</v>
      </c>
      <c r="B37" s="1">
        <v>32</v>
      </c>
      <c r="C37" t="s">
        <v>214</v>
      </c>
      <c r="E37">
        <v>1.91</v>
      </c>
      <c r="F37">
        <f t="shared" si="28"/>
        <v>0.34379999999999999</v>
      </c>
      <c r="G37">
        <f t="shared" si="29"/>
        <v>2.2538</v>
      </c>
      <c r="H37">
        <f t="shared" si="19"/>
        <v>2.7045599999999999</v>
      </c>
      <c r="I37" s="131"/>
    </row>
    <row r="38" spans="1:13" x14ac:dyDescent="0.3">
      <c r="A38" t="s">
        <v>244</v>
      </c>
      <c r="B38" s="1">
        <v>33</v>
      </c>
      <c r="C38" t="s">
        <v>245</v>
      </c>
      <c r="E38">
        <v>1.57</v>
      </c>
      <c r="F38">
        <f t="shared" si="28"/>
        <v>0.28260000000000002</v>
      </c>
      <c r="G38">
        <f t="shared" si="29"/>
        <v>1.8526</v>
      </c>
      <c r="H38">
        <f t="shared" si="19"/>
        <v>2.2231199999999998</v>
      </c>
      <c r="I38" s="131"/>
    </row>
    <row r="39" spans="1:13" x14ac:dyDescent="0.3">
      <c r="A39" t="s">
        <v>225</v>
      </c>
      <c r="B39" s="1">
        <v>34</v>
      </c>
      <c r="C39" t="s">
        <v>206</v>
      </c>
      <c r="E39">
        <v>317</v>
      </c>
      <c r="F39">
        <f t="shared" ref="F39:F45" si="30">E39*0.18</f>
        <v>57.059999999999995</v>
      </c>
      <c r="G39">
        <f t="shared" ref="G39:G45" si="31">E39+F39</f>
        <v>374.06</v>
      </c>
      <c r="H39">
        <f t="shared" si="19"/>
        <v>448.87200000000001</v>
      </c>
      <c r="I39" s="131"/>
    </row>
    <row r="40" spans="1:13" x14ac:dyDescent="0.3">
      <c r="A40" t="s">
        <v>226</v>
      </c>
      <c r="B40" s="1">
        <v>35</v>
      </c>
      <c r="C40" t="s">
        <v>207</v>
      </c>
      <c r="E40">
        <v>245</v>
      </c>
      <c r="F40">
        <f t="shared" si="30"/>
        <v>44.1</v>
      </c>
      <c r="G40">
        <f t="shared" si="31"/>
        <v>289.10000000000002</v>
      </c>
      <c r="H40">
        <f t="shared" si="19"/>
        <v>346.92</v>
      </c>
      <c r="I40" s="131"/>
      <c r="J40">
        <v>15</v>
      </c>
      <c r="K40">
        <f>G40*J40</f>
        <v>4336.5</v>
      </c>
    </row>
    <row r="41" spans="1:13" x14ac:dyDescent="0.3">
      <c r="A41" t="s">
        <v>237</v>
      </c>
      <c r="B41" s="1">
        <v>36</v>
      </c>
      <c r="C41" t="s">
        <v>238</v>
      </c>
      <c r="E41">
        <v>35</v>
      </c>
      <c r="F41">
        <f t="shared" si="30"/>
        <v>6.3</v>
      </c>
      <c r="G41">
        <f t="shared" si="31"/>
        <v>41.3</v>
      </c>
      <c r="H41">
        <f t="shared" si="19"/>
        <v>49.559999999999995</v>
      </c>
      <c r="I41" s="131"/>
    </row>
    <row r="42" spans="1:13" x14ac:dyDescent="0.3">
      <c r="A42" t="s">
        <v>232</v>
      </c>
      <c r="B42" s="1">
        <v>37</v>
      </c>
      <c r="C42" t="s">
        <v>208</v>
      </c>
      <c r="E42">
        <v>40</v>
      </c>
      <c r="F42">
        <f t="shared" si="30"/>
        <v>7.1999999999999993</v>
      </c>
      <c r="G42">
        <f t="shared" si="31"/>
        <v>47.2</v>
      </c>
      <c r="H42">
        <f t="shared" si="19"/>
        <v>56.64</v>
      </c>
      <c r="I42" s="131"/>
      <c r="K42">
        <f>SUM(K23:K41)</f>
        <v>20067.900000000001</v>
      </c>
      <c r="M42">
        <f>K42*55</f>
        <v>1103734.5</v>
      </c>
    </row>
    <row r="43" spans="1:13" x14ac:dyDescent="0.3">
      <c r="A43" t="s">
        <v>240</v>
      </c>
      <c r="B43" s="1">
        <v>38</v>
      </c>
      <c r="C43" t="s">
        <v>239</v>
      </c>
      <c r="E43">
        <v>55</v>
      </c>
      <c r="F43">
        <f t="shared" si="30"/>
        <v>9.9</v>
      </c>
      <c r="G43">
        <f t="shared" si="31"/>
        <v>64.900000000000006</v>
      </c>
      <c r="H43">
        <f t="shared" si="19"/>
        <v>77.88000000000001</v>
      </c>
      <c r="I43" s="131"/>
    </row>
    <row r="44" spans="1:13" x14ac:dyDescent="0.3">
      <c r="A44" t="s">
        <v>241</v>
      </c>
      <c r="B44" s="1">
        <v>39</v>
      </c>
      <c r="C44" t="s">
        <v>242</v>
      </c>
      <c r="E44">
        <v>60</v>
      </c>
      <c r="F44">
        <f t="shared" si="30"/>
        <v>10.799999999999999</v>
      </c>
      <c r="G44">
        <f t="shared" si="31"/>
        <v>70.8</v>
      </c>
      <c r="H44">
        <f t="shared" si="19"/>
        <v>84.96</v>
      </c>
      <c r="I44" s="131"/>
    </row>
    <row r="45" spans="1:13" x14ac:dyDescent="0.3">
      <c r="A45" t="s">
        <v>231</v>
      </c>
      <c r="B45" s="1">
        <v>40</v>
      </c>
      <c r="C45" t="s">
        <v>219</v>
      </c>
      <c r="E45">
        <v>0.85</v>
      </c>
      <c r="F45">
        <f t="shared" si="30"/>
        <v>0.153</v>
      </c>
      <c r="G45">
        <f t="shared" si="31"/>
        <v>1.0029999999999999</v>
      </c>
      <c r="H45">
        <f t="shared" si="19"/>
        <v>1.2035999999999998</v>
      </c>
      <c r="I45" s="131"/>
    </row>
    <row r="46" spans="1:13" x14ac:dyDescent="0.3">
      <c r="A46" t="s">
        <v>266</v>
      </c>
      <c r="B46" s="1">
        <v>41</v>
      </c>
      <c r="C46" t="s">
        <v>271</v>
      </c>
      <c r="E46">
        <v>0.06</v>
      </c>
      <c r="G46">
        <v>0.06</v>
      </c>
    </row>
    <row r="47" spans="1:13" x14ac:dyDescent="0.3">
      <c r="A47" t="s">
        <v>267</v>
      </c>
      <c r="B47" s="1">
        <v>42</v>
      </c>
      <c r="C47" t="s">
        <v>269</v>
      </c>
      <c r="E47">
        <v>0.05</v>
      </c>
      <c r="G47">
        <v>0.05</v>
      </c>
    </row>
    <row r="48" spans="1:13" x14ac:dyDescent="0.3">
      <c r="A48" t="s">
        <v>268</v>
      </c>
      <c r="B48" s="1">
        <v>43</v>
      </c>
      <c r="C48" t="s">
        <v>270</v>
      </c>
      <c r="E48">
        <v>0.04</v>
      </c>
      <c r="G48">
        <v>0.04</v>
      </c>
    </row>
  </sheetData>
  <phoneticPr fontId="1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184F-65C3-4DCD-B663-EC1AFCA731DC}">
  <sheetPr codeName="Sheet7">
    <tabColor rgb="FFFFFF00"/>
  </sheetPr>
  <dimension ref="A1:E20"/>
  <sheetViews>
    <sheetView workbookViewId="0">
      <selection activeCell="B10" sqref="B10"/>
    </sheetView>
  </sheetViews>
  <sheetFormatPr baseColWidth="10" defaultColWidth="9.109375" defaultRowHeight="14.4" x14ac:dyDescent="0.3"/>
  <cols>
    <col min="1" max="1" width="4" customWidth="1"/>
    <col min="2" max="2" width="15.5546875" customWidth="1"/>
    <col min="3" max="3" width="5.6640625" customWidth="1"/>
    <col min="4" max="4" width="15.5546875" customWidth="1"/>
    <col min="5" max="5" width="3.88671875" customWidth="1"/>
    <col min="6" max="6" width="22.44140625" customWidth="1"/>
    <col min="7" max="7" width="12.44140625" customWidth="1"/>
    <col min="8" max="256" width="11.5546875" customWidth="1"/>
    <col min="257" max="257" width="4" customWidth="1"/>
    <col min="258" max="258" width="15.5546875" customWidth="1"/>
    <col min="259" max="259" width="5.6640625" customWidth="1"/>
    <col min="260" max="260" width="15.5546875" customWidth="1"/>
    <col min="261" max="261" width="3.88671875" customWidth="1"/>
    <col min="262" max="262" width="22.44140625" customWidth="1"/>
    <col min="263" max="263" width="12.44140625" customWidth="1"/>
    <col min="264" max="512" width="11.5546875" customWidth="1"/>
    <col min="513" max="513" width="4" customWidth="1"/>
    <col min="514" max="514" width="15.5546875" customWidth="1"/>
    <col min="515" max="515" width="5.6640625" customWidth="1"/>
    <col min="516" max="516" width="15.5546875" customWidth="1"/>
    <col min="517" max="517" width="3.88671875" customWidth="1"/>
    <col min="518" max="518" width="22.44140625" customWidth="1"/>
    <col min="519" max="519" width="12.44140625" customWidth="1"/>
    <col min="520" max="768" width="11.5546875" customWidth="1"/>
    <col min="769" max="769" width="4" customWidth="1"/>
    <col min="770" max="770" width="15.5546875" customWidth="1"/>
    <col min="771" max="771" width="5.6640625" customWidth="1"/>
    <col min="772" max="772" width="15.5546875" customWidth="1"/>
    <col min="773" max="773" width="3.88671875" customWidth="1"/>
    <col min="774" max="774" width="22.44140625" customWidth="1"/>
    <col min="775" max="775" width="12.44140625" customWidth="1"/>
    <col min="776" max="1024" width="11.5546875" customWidth="1"/>
    <col min="1025" max="1025" width="4" customWidth="1"/>
    <col min="1026" max="1026" width="15.5546875" customWidth="1"/>
    <col min="1027" max="1027" width="5.6640625" customWidth="1"/>
    <col min="1028" max="1028" width="15.5546875" customWidth="1"/>
    <col min="1029" max="1029" width="3.88671875" customWidth="1"/>
    <col min="1030" max="1030" width="22.44140625" customWidth="1"/>
    <col min="1031" max="1031" width="12.44140625" customWidth="1"/>
    <col min="1032" max="1280" width="11.5546875" customWidth="1"/>
    <col min="1281" max="1281" width="4" customWidth="1"/>
    <col min="1282" max="1282" width="15.5546875" customWidth="1"/>
    <col min="1283" max="1283" width="5.6640625" customWidth="1"/>
    <col min="1284" max="1284" width="15.5546875" customWidth="1"/>
    <col min="1285" max="1285" width="3.88671875" customWidth="1"/>
    <col min="1286" max="1286" width="22.44140625" customWidth="1"/>
    <col min="1287" max="1287" width="12.44140625" customWidth="1"/>
    <col min="1288" max="1536" width="11.5546875" customWidth="1"/>
    <col min="1537" max="1537" width="4" customWidth="1"/>
    <col min="1538" max="1538" width="15.5546875" customWidth="1"/>
    <col min="1539" max="1539" width="5.6640625" customWidth="1"/>
    <col min="1540" max="1540" width="15.5546875" customWidth="1"/>
    <col min="1541" max="1541" width="3.88671875" customWidth="1"/>
    <col min="1542" max="1542" width="22.44140625" customWidth="1"/>
    <col min="1543" max="1543" width="12.44140625" customWidth="1"/>
    <col min="1544" max="1792" width="11.5546875" customWidth="1"/>
    <col min="1793" max="1793" width="4" customWidth="1"/>
    <col min="1794" max="1794" width="15.5546875" customWidth="1"/>
    <col min="1795" max="1795" width="5.6640625" customWidth="1"/>
    <col min="1796" max="1796" width="15.5546875" customWidth="1"/>
    <col min="1797" max="1797" width="3.88671875" customWidth="1"/>
    <col min="1798" max="1798" width="22.44140625" customWidth="1"/>
    <col min="1799" max="1799" width="12.44140625" customWidth="1"/>
    <col min="1800" max="2048" width="11.5546875" customWidth="1"/>
    <col min="2049" max="2049" width="4" customWidth="1"/>
    <col min="2050" max="2050" width="15.5546875" customWidth="1"/>
    <col min="2051" max="2051" width="5.6640625" customWidth="1"/>
    <col min="2052" max="2052" width="15.5546875" customWidth="1"/>
    <col min="2053" max="2053" width="3.88671875" customWidth="1"/>
    <col min="2054" max="2054" width="22.44140625" customWidth="1"/>
    <col min="2055" max="2055" width="12.44140625" customWidth="1"/>
    <col min="2056" max="2304" width="11.5546875" customWidth="1"/>
    <col min="2305" max="2305" width="4" customWidth="1"/>
    <col min="2306" max="2306" width="15.5546875" customWidth="1"/>
    <col min="2307" max="2307" width="5.6640625" customWidth="1"/>
    <col min="2308" max="2308" width="15.5546875" customWidth="1"/>
    <col min="2309" max="2309" width="3.88671875" customWidth="1"/>
    <col min="2310" max="2310" width="22.44140625" customWidth="1"/>
    <col min="2311" max="2311" width="12.44140625" customWidth="1"/>
    <col min="2312" max="2560" width="11.5546875" customWidth="1"/>
    <col min="2561" max="2561" width="4" customWidth="1"/>
    <col min="2562" max="2562" width="15.5546875" customWidth="1"/>
    <col min="2563" max="2563" width="5.6640625" customWidth="1"/>
    <col min="2564" max="2564" width="15.5546875" customWidth="1"/>
    <col min="2565" max="2565" width="3.88671875" customWidth="1"/>
    <col min="2566" max="2566" width="22.44140625" customWidth="1"/>
    <col min="2567" max="2567" width="12.44140625" customWidth="1"/>
    <col min="2568" max="2816" width="11.5546875" customWidth="1"/>
    <col min="2817" max="2817" width="4" customWidth="1"/>
    <col min="2818" max="2818" width="15.5546875" customWidth="1"/>
    <col min="2819" max="2819" width="5.6640625" customWidth="1"/>
    <col min="2820" max="2820" width="15.5546875" customWidth="1"/>
    <col min="2821" max="2821" width="3.88671875" customWidth="1"/>
    <col min="2822" max="2822" width="22.44140625" customWidth="1"/>
    <col min="2823" max="2823" width="12.44140625" customWidth="1"/>
    <col min="2824" max="3072" width="11.5546875" customWidth="1"/>
    <col min="3073" max="3073" width="4" customWidth="1"/>
    <col min="3074" max="3074" width="15.5546875" customWidth="1"/>
    <col min="3075" max="3075" width="5.6640625" customWidth="1"/>
    <col min="3076" max="3076" width="15.5546875" customWidth="1"/>
    <col min="3077" max="3077" width="3.88671875" customWidth="1"/>
    <col min="3078" max="3078" width="22.44140625" customWidth="1"/>
    <col min="3079" max="3079" width="12.44140625" customWidth="1"/>
    <col min="3080" max="3328" width="11.5546875" customWidth="1"/>
    <col min="3329" max="3329" width="4" customWidth="1"/>
    <col min="3330" max="3330" width="15.5546875" customWidth="1"/>
    <col min="3331" max="3331" width="5.6640625" customWidth="1"/>
    <col min="3332" max="3332" width="15.5546875" customWidth="1"/>
    <col min="3333" max="3333" width="3.88671875" customWidth="1"/>
    <col min="3334" max="3334" width="22.44140625" customWidth="1"/>
    <col min="3335" max="3335" width="12.44140625" customWidth="1"/>
    <col min="3336" max="3584" width="11.5546875" customWidth="1"/>
    <col min="3585" max="3585" width="4" customWidth="1"/>
    <col min="3586" max="3586" width="15.5546875" customWidth="1"/>
    <col min="3587" max="3587" width="5.6640625" customWidth="1"/>
    <col min="3588" max="3588" width="15.5546875" customWidth="1"/>
    <col min="3589" max="3589" width="3.88671875" customWidth="1"/>
    <col min="3590" max="3590" width="22.44140625" customWidth="1"/>
    <col min="3591" max="3591" width="12.44140625" customWidth="1"/>
    <col min="3592" max="3840" width="11.5546875" customWidth="1"/>
    <col min="3841" max="3841" width="4" customWidth="1"/>
    <col min="3842" max="3842" width="15.5546875" customWidth="1"/>
    <col min="3843" max="3843" width="5.6640625" customWidth="1"/>
    <col min="3844" max="3844" width="15.5546875" customWidth="1"/>
    <col min="3845" max="3845" width="3.88671875" customWidth="1"/>
    <col min="3846" max="3846" width="22.44140625" customWidth="1"/>
    <col min="3847" max="3847" width="12.44140625" customWidth="1"/>
    <col min="3848" max="4096" width="11.5546875" customWidth="1"/>
    <col min="4097" max="4097" width="4" customWidth="1"/>
    <col min="4098" max="4098" width="15.5546875" customWidth="1"/>
    <col min="4099" max="4099" width="5.6640625" customWidth="1"/>
    <col min="4100" max="4100" width="15.5546875" customWidth="1"/>
    <col min="4101" max="4101" width="3.88671875" customWidth="1"/>
    <col min="4102" max="4102" width="22.44140625" customWidth="1"/>
    <col min="4103" max="4103" width="12.44140625" customWidth="1"/>
    <col min="4104" max="4352" width="11.5546875" customWidth="1"/>
    <col min="4353" max="4353" width="4" customWidth="1"/>
    <col min="4354" max="4354" width="15.5546875" customWidth="1"/>
    <col min="4355" max="4355" width="5.6640625" customWidth="1"/>
    <col min="4356" max="4356" width="15.5546875" customWidth="1"/>
    <col min="4357" max="4357" width="3.88671875" customWidth="1"/>
    <col min="4358" max="4358" width="22.44140625" customWidth="1"/>
    <col min="4359" max="4359" width="12.44140625" customWidth="1"/>
    <col min="4360" max="4608" width="11.5546875" customWidth="1"/>
    <col min="4609" max="4609" width="4" customWidth="1"/>
    <col min="4610" max="4610" width="15.5546875" customWidth="1"/>
    <col min="4611" max="4611" width="5.6640625" customWidth="1"/>
    <col min="4612" max="4612" width="15.5546875" customWidth="1"/>
    <col min="4613" max="4613" width="3.88671875" customWidth="1"/>
    <col min="4614" max="4614" width="22.44140625" customWidth="1"/>
    <col min="4615" max="4615" width="12.44140625" customWidth="1"/>
    <col min="4616" max="4864" width="11.5546875" customWidth="1"/>
    <col min="4865" max="4865" width="4" customWidth="1"/>
    <col min="4866" max="4866" width="15.5546875" customWidth="1"/>
    <col min="4867" max="4867" width="5.6640625" customWidth="1"/>
    <col min="4868" max="4868" width="15.5546875" customWidth="1"/>
    <col min="4869" max="4869" width="3.88671875" customWidth="1"/>
    <col min="4870" max="4870" width="22.44140625" customWidth="1"/>
    <col min="4871" max="4871" width="12.44140625" customWidth="1"/>
    <col min="4872" max="5120" width="11.5546875" customWidth="1"/>
    <col min="5121" max="5121" width="4" customWidth="1"/>
    <col min="5122" max="5122" width="15.5546875" customWidth="1"/>
    <col min="5123" max="5123" width="5.6640625" customWidth="1"/>
    <col min="5124" max="5124" width="15.5546875" customWidth="1"/>
    <col min="5125" max="5125" width="3.88671875" customWidth="1"/>
    <col min="5126" max="5126" width="22.44140625" customWidth="1"/>
    <col min="5127" max="5127" width="12.44140625" customWidth="1"/>
    <col min="5128" max="5376" width="11.5546875" customWidth="1"/>
    <col min="5377" max="5377" width="4" customWidth="1"/>
    <col min="5378" max="5378" width="15.5546875" customWidth="1"/>
    <col min="5379" max="5379" width="5.6640625" customWidth="1"/>
    <col min="5380" max="5380" width="15.5546875" customWidth="1"/>
    <col min="5381" max="5381" width="3.88671875" customWidth="1"/>
    <col min="5382" max="5382" width="22.44140625" customWidth="1"/>
    <col min="5383" max="5383" width="12.44140625" customWidth="1"/>
    <col min="5384" max="5632" width="11.5546875" customWidth="1"/>
    <col min="5633" max="5633" width="4" customWidth="1"/>
    <col min="5634" max="5634" width="15.5546875" customWidth="1"/>
    <col min="5635" max="5635" width="5.6640625" customWidth="1"/>
    <col min="5636" max="5636" width="15.5546875" customWidth="1"/>
    <col min="5637" max="5637" width="3.88671875" customWidth="1"/>
    <col min="5638" max="5638" width="22.44140625" customWidth="1"/>
    <col min="5639" max="5639" width="12.44140625" customWidth="1"/>
    <col min="5640" max="5888" width="11.5546875" customWidth="1"/>
    <col min="5889" max="5889" width="4" customWidth="1"/>
    <col min="5890" max="5890" width="15.5546875" customWidth="1"/>
    <col min="5891" max="5891" width="5.6640625" customWidth="1"/>
    <col min="5892" max="5892" width="15.5546875" customWidth="1"/>
    <col min="5893" max="5893" width="3.88671875" customWidth="1"/>
    <col min="5894" max="5894" width="22.44140625" customWidth="1"/>
    <col min="5895" max="5895" width="12.44140625" customWidth="1"/>
    <col min="5896" max="6144" width="11.5546875" customWidth="1"/>
    <col min="6145" max="6145" width="4" customWidth="1"/>
    <col min="6146" max="6146" width="15.5546875" customWidth="1"/>
    <col min="6147" max="6147" width="5.6640625" customWidth="1"/>
    <col min="6148" max="6148" width="15.5546875" customWidth="1"/>
    <col min="6149" max="6149" width="3.88671875" customWidth="1"/>
    <col min="6150" max="6150" width="22.44140625" customWidth="1"/>
    <col min="6151" max="6151" width="12.44140625" customWidth="1"/>
    <col min="6152" max="6400" width="11.5546875" customWidth="1"/>
    <col min="6401" max="6401" width="4" customWidth="1"/>
    <col min="6402" max="6402" width="15.5546875" customWidth="1"/>
    <col min="6403" max="6403" width="5.6640625" customWidth="1"/>
    <col min="6404" max="6404" width="15.5546875" customWidth="1"/>
    <col min="6405" max="6405" width="3.88671875" customWidth="1"/>
    <col min="6406" max="6406" width="22.44140625" customWidth="1"/>
    <col min="6407" max="6407" width="12.44140625" customWidth="1"/>
    <col min="6408" max="6656" width="11.5546875" customWidth="1"/>
    <col min="6657" max="6657" width="4" customWidth="1"/>
    <col min="6658" max="6658" width="15.5546875" customWidth="1"/>
    <col min="6659" max="6659" width="5.6640625" customWidth="1"/>
    <col min="6660" max="6660" width="15.5546875" customWidth="1"/>
    <col min="6661" max="6661" width="3.88671875" customWidth="1"/>
    <col min="6662" max="6662" width="22.44140625" customWidth="1"/>
    <col min="6663" max="6663" width="12.44140625" customWidth="1"/>
    <col min="6664" max="6912" width="11.5546875" customWidth="1"/>
    <col min="6913" max="6913" width="4" customWidth="1"/>
    <col min="6914" max="6914" width="15.5546875" customWidth="1"/>
    <col min="6915" max="6915" width="5.6640625" customWidth="1"/>
    <col min="6916" max="6916" width="15.5546875" customWidth="1"/>
    <col min="6917" max="6917" width="3.88671875" customWidth="1"/>
    <col min="6918" max="6918" width="22.44140625" customWidth="1"/>
    <col min="6919" max="6919" width="12.44140625" customWidth="1"/>
    <col min="6920" max="7168" width="11.5546875" customWidth="1"/>
    <col min="7169" max="7169" width="4" customWidth="1"/>
    <col min="7170" max="7170" width="15.5546875" customWidth="1"/>
    <col min="7171" max="7171" width="5.6640625" customWidth="1"/>
    <col min="7172" max="7172" width="15.5546875" customWidth="1"/>
    <col min="7173" max="7173" width="3.88671875" customWidth="1"/>
    <col min="7174" max="7174" width="22.44140625" customWidth="1"/>
    <col min="7175" max="7175" width="12.44140625" customWidth="1"/>
    <col min="7176" max="7424" width="11.5546875" customWidth="1"/>
    <col min="7425" max="7425" width="4" customWidth="1"/>
    <col min="7426" max="7426" width="15.5546875" customWidth="1"/>
    <col min="7427" max="7427" width="5.6640625" customWidth="1"/>
    <col min="7428" max="7428" width="15.5546875" customWidth="1"/>
    <col min="7429" max="7429" width="3.88671875" customWidth="1"/>
    <col min="7430" max="7430" width="22.44140625" customWidth="1"/>
    <col min="7431" max="7431" width="12.44140625" customWidth="1"/>
    <col min="7432" max="7680" width="11.5546875" customWidth="1"/>
    <col min="7681" max="7681" width="4" customWidth="1"/>
    <col min="7682" max="7682" width="15.5546875" customWidth="1"/>
    <col min="7683" max="7683" width="5.6640625" customWidth="1"/>
    <col min="7684" max="7684" width="15.5546875" customWidth="1"/>
    <col min="7685" max="7685" width="3.88671875" customWidth="1"/>
    <col min="7686" max="7686" width="22.44140625" customWidth="1"/>
    <col min="7687" max="7687" width="12.44140625" customWidth="1"/>
    <col min="7688" max="7936" width="11.5546875" customWidth="1"/>
    <col min="7937" max="7937" width="4" customWidth="1"/>
    <col min="7938" max="7938" width="15.5546875" customWidth="1"/>
    <col min="7939" max="7939" width="5.6640625" customWidth="1"/>
    <col min="7940" max="7940" width="15.5546875" customWidth="1"/>
    <col min="7941" max="7941" width="3.88671875" customWidth="1"/>
    <col min="7942" max="7942" width="22.44140625" customWidth="1"/>
    <col min="7943" max="7943" width="12.44140625" customWidth="1"/>
    <col min="7944" max="8192" width="11.5546875" customWidth="1"/>
    <col min="8193" max="8193" width="4" customWidth="1"/>
    <col min="8194" max="8194" width="15.5546875" customWidth="1"/>
    <col min="8195" max="8195" width="5.6640625" customWidth="1"/>
    <col min="8196" max="8196" width="15.5546875" customWidth="1"/>
    <col min="8197" max="8197" width="3.88671875" customWidth="1"/>
    <col min="8198" max="8198" width="22.44140625" customWidth="1"/>
    <col min="8199" max="8199" width="12.44140625" customWidth="1"/>
    <col min="8200" max="8448" width="11.5546875" customWidth="1"/>
    <col min="8449" max="8449" width="4" customWidth="1"/>
    <col min="8450" max="8450" width="15.5546875" customWidth="1"/>
    <col min="8451" max="8451" width="5.6640625" customWidth="1"/>
    <col min="8452" max="8452" width="15.5546875" customWidth="1"/>
    <col min="8453" max="8453" width="3.88671875" customWidth="1"/>
    <col min="8454" max="8454" width="22.44140625" customWidth="1"/>
    <col min="8455" max="8455" width="12.44140625" customWidth="1"/>
    <col min="8456" max="8704" width="11.5546875" customWidth="1"/>
    <col min="8705" max="8705" width="4" customWidth="1"/>
    <col min="8706" max="8706" width="15.5546875" customWidth="1"/>
    <col min="8707" max="8707" width="5.6640625" customWidth="1"/>
    <col min="8708" max="8708" width="15.5546875" customWidth="1"/>
    <col min="8709" max="8709" width="3.88671875" customWidth="1"/>
    <col min="8710" max="8710" width="22.44140625" customWidth="1"/>
    <col min="8711" max="8711" width="12.44140625" customWidth="1"/>
    <col min="8712" max="8960" width="11.5546875" customWidth="1"/>
    <col min="8961" max="8961" width="4" customWidth="1"/>
    <col min="8962" max="8962" width="15.5546875" customWidth="1"/>
    <col min="8963" max="8963" width="5.6640625" customWidth="1"/>
    <col min="8964" max="8964" width="15.5546875" customWidth="1"/>
    <col min="8965" max="8965" width="3.88671875" customWidth="1"/>
    <col min="8966" max="8966" width="22.44140625" customWidth="1"/>
    <col min="8967" max="8967" width="12.44140625" customWidth="1"/>
    <col min="8968" max="9216" width="11.5546875" customWidth="1"/>
    <col min="9217" max="9217" width="4" customWidth="1"/>
    <col min="9218" max="9218" width="15.5546875" customWidth="1"/>
    <col min="9219" max="9219" width="5.6640625" customWidth="1"/>
    <col min="9220" max="9220" width="15.5546875" customWidth="1"/>
    <col min="9221" max="9221" width="3.88671875" customWidth="1"/>
    <col min="9222" max="9222" width="22.44140625" customWidth="1"/>
    <col min="9223" max="9223" width="12.44140625" customWidth="1"/>
    <col min="9224" max="9472" width="11.5546875" customWidth="1"/>
    <col min="9473" max="9473" width="4" customWidth="1"/>
    <col min="9474" max="9474" width="15.5546875" customWidth="1"/>
    <col min="9475" max="9475" width="5.6640625" customWidth="1"/>
    <col min="9476" max="9476" width="15.5546875" customWidth="1"/>
    <col min="9477" max="9477" width="3.88671875" customWidth="1"/>
    <col min="9478" max="9478" width="22.44140625" customWidth="1"/>
    <col min="9479" max="9479" width="12.44140625" customWidth="1"/>
    <col min="9480" max="9728" width="11.5546875" customWidth="1"/>
    <col min="9729" max="9729" width="4" customWidth="1"/>
    <col min="9730" max="9730" width="15.5546875" customWidth="1"/>
    <col min="9731" max="9731" width="5.6640625" customWidth="1"/>
    <col min="9732" max="9732" width="15.5546875" customWidth="1"/>
    <col min="9733" max="9733" width="3.88671875" customWidth="1"/>
    <col min="9734" max="9734" width="22.44140625" customWidth="1"/>
    <col min="9735" max="9735" width="12.44140625" customWidth="1"/>
    <col min="9736" max="9984" width="11.5546875" customWidth="1"/>
    <col min="9985" max="9985" width="4" customWidth="1"/>
    <col min="9986" max="9986" width="15.5546875" customWidth="1"/>
    <col min="9987" max="9987" width="5.6640625" customWidth="1"/>
    <col min="9988" max="9988" width="15.5546875" customWidth="1"/>
    <col min="9989" max="9989" width="3.88671875" customWidth="1"/>
    <col min="9990" max="9990" width="22.44140625" customWidth="1"/>
    <col min="9991" max="9991" width="12.44140625" customWidth="1"/>
    <col min="9992" max="10240" width="11.5546875" customWidth="1"/>
    <col min="10241" max="10241" width="4" customWidth="1"/>
    <col min="10242" max="10242" width="15.5546875" customWidth="1"/>
    <col min="10243" max="10243" width="5.6640625" customWidth="1"/>
    <col min="10244" max="10244" width="15.5546875" customWidth="1"/>
    <col min="10245" max="10245" width="3.88671875" customWidth="1"/>
    <col min="10246" max="10246" width="22.44140625" customWidth="1"/>
    <col min="10247" max="10247" width="12.44140625" customWidth="1"/>
    <col min="10248" max="10496" width="11.5546875" customWidth="1"/>
    <col min="10497" max="10497" width="4" customWidth="1"/>
    <col min="10498" max="10498" width="15.5546875" customWidth="1"/>
    <col min="10499" max="10499" width="5.6640625" customWidth="1"/>
    <col min="10500" max="10500" width="15.5546875" customWidth="1"/>
    <col min="10501" max="10501" width="3.88671875" customWidth="1"/>
    <col min="10502" max="10502" width="22.44140625" customWidth="1"/>
    <col min="10503" max="10503" width="12.44140625" customWidth="1"/>
    <col min="10504" max="10752" width="11.5546875" customWidth="1"/>
    <col min="10753" max="10753" width="4" customWidth="1"/>
    <col min="10754" max="10754" width="15.5546875" customWidth="1"/>
    <col min="10755" max="10755" width="5.6640625" customWidth="1"/>
    <col min="10756" max="10756" width="15.5546875" customWidth="1"/>
    <col min="10757" max="10757" width="3.88671875" customWidth="1"/>
    <col min="10758" max="10758" width="22.44140625" customWidth="1"/>
    <col min="10759" max="10759" width="12.44140625" customWidth="1"/>
    <col min="10760" max="11008" width="11.5546875" customWidth="1"/>
    <col min="11009" max="11009" width="4" customWidth="1"/>
    <col min="11010" max="11010" width="15.5546875" customWidth="1"/>
    <col min="11011" max="11011" width="5.6640625" customWidth="1"/>
    <col min="11012" max="11012" width="15.5546875" customWidth="1"/>
    <col min="11013" max="11013" width="3.88671875" customWidth="1"/>
    <col min="11014" max="11014" width="22.44140625" customWidth="1"/>
    <col min="11015" max="11015" width="12.44140625" customWidth="1"/>
    <col min="11016" max="11264" width="11.5546875" customWidth="1"/>
    <col min="11265" max="11265" width="4" customWidth="1"/>
    <col min="11266" max="11266" width="15.5546875" customWidth="1"/>
    <col min="11267" max="11267" width="5.6640625" customWidth="1"/>
    <col min="11268" max="11268" width="15.5546875" customWidth="1"/>
    <col min="11269" max="11269" width="3.88671875" customWidth="1"/>
    <col min="11270" max="11270" width="22.44140625" customWidth="1"/>
    <col min="11271" max="11271" width="12.44140625" customWidth="1"/>
    <col min="11272" max="11520" width="11.5546875" customWidth="1"/>
    <col min="11521" max="11521" width="4" customWidth="1"/>
    <col min="11522" max="11522" width="15.5546875" customWidth="1"/>
    <col min="11523" max="11523" width="5.6640625" customWidth="1"/>
    <col min="11524" max="11524" width="15.5546875" customWidth="1"/>
    <col min="11525" max="11525" width="3.88671875" customWidth="1"/>
    <col min="11526" max="11526" width="22.44140625" customWidth="1"/>
    <col min="11527" max="11527" width="12.44140625" customWidth="1"/>
    <col min="11528" max="11776" width="11.5546875" customWidth="1"/>
    <col min="11777" max="11777" width="4" customWidth="1"/>
    <col min="11778" max="11778" width="15.5546875" customWidth="1"/>
    <col min="11779" max="11779" width="5.6640625" customWidth="1"/>
    <col min="11780" max="11780" width="15.5546875" customWidth="1"/>
    <col min="11781" max="11781" width="3.88671875" customWidth="1"/>
    <col min="11782" max="11782" width="22.44140625" customWidth="1"/>
    <col min="11783" max="11783" width="12.44140625" customWidth="1"/>
    <col min="11784" max="12032" width="11.5546875" customWidth="1"/>
    <col min="12033" max="12033" width="4" customWidth="1"/>
    <col min="12034" max="12034" width="15.5546875" customWidth="1"/>
    <col min="12035" max="12035" width="5.6640625" customWidth="1"/>
    <col min="12036" max="12036" width="15.5546875" customWidth="1"/>
    <col min="12037" max="12037" width="3.88671875" customWidth="1"/>
    <col min="12038" max="12038" width="22.44140625" customWidth="1"/>
    <col min="12039" max="12039" width="12.44140625" customWidth="1"/>
    <col min="12040" max="12288" width="11.5546875" customWidth="1"/>
    <col min="12289" max="12289" width="4" customWidth="1"/>
    <col min="12290" max="12290" width="15.5546875" customWidth="1"/>
    <col min="12291" max="12291" width="5.6640625" customWidth="1"/>
    <col min="12292" max="12292" width="15.5546875" customWidth="1"/>
    <col min="12293" max="12293" width="3.88671875" customWidth="1"/>
    <col min="12294" max="12294" width="22.44140625" customWidth="1"/>
    <col min="12295" max="12295" width="12.44140625" customWidth="1"/>
    <col min="12296" max="12544" width="11.5546875" customWidth="1"/>
    <col min="12545" max="12545" width="4" customWidth="1"/>
    <col min="12546" max="12546" width="15.5546875" customWidth="1"/>
    <col min="12547" max="12547" width="5.6640625" customWidth="1"/>
    <col min="12548" max="12548" width="15.5546875" customWidth="1"/>
    <col min="12549" max="12549" width="3.88671875" customWidth="1"/>
    <col min="12550" max="12550" width="22.44140625" customWidth="1"/>
    <col min="12551" max="12551" width="12.44140625" customWidth="1"/>
    <col min="12552" max="12800" width="11.5546875" customWidth="1"/>
    <col min="12801" max="12801" width="4" customWidth="1"/>
    <col min="12802" max="12802" width="15.5546875" customWidth="1"/>
    <col min="12803" max="12803" width="5.6640625" customWidth="1"/>
    <col min="12804" max="12804" width="15.5546875" customWidth="1"/>
    <col min="12805" max="12805" width="3.88671875" customWidth="1"/>
    <col min="12806" max="12806" width="22.44140625" customWidth="1"/>
    <col min="12807" max="12807" width="12.44140625" customWidth="1"/>
    <col min="12808" max="13056" width="11.5546875" customWidth="1"/>
    <col min="13057" max="13057" width="4" customWidth="1"/>
    <col min="13058" max="13058" width="15.5546875" customWidth="1"/>
    <col min="13059" max="13059" width="5.6640625" customWidth="1"/>
    <col min="13060" max="13060" width="15.5546875" customWidth="1"/>
    <col min="13061" max="13061" width="3.88671875" customWidth="1"/>
    <col min="13062" max="13062" width="22.44140625" customWidth="1"/>
    <col min="13063" max="13063" width="12.44140625" customWidth="1"/>
    <col min="13064" max="13312" width="11.5546875" customWidth="1"/>
    <col min="13313" max="13313" width="4" customWidth="1"/>
    <col min="13314" max="13314" width="15.5546875" customWidth="1"/>
    <col min="13315" max="13315" width="5.6640625" customWidth="1"/>
    <col min="13316" max="13316" width="15.5546875" customWidth="1"/>
    <col min="13317" max="13317" width="3.88671875" customWidth="1"/>
    <col min="13318" max="13318" width="22.44140625" customWidth="1"/>
    <col min="13319" max="13319" width="12.44140625" customWidth="1"/>
    <col min="13320" max="13568" width="11.5546875" customWidth="1"/>
    <col min="13569" max="13569" width="4" customWidth="1"/>
    <col min="13570" max="13570" width="15.5546875" customWidth="1"/>
    <col min="13571" max="13571" width="5.6640625" customWidth="1"/>
    <col min="13572" max="13572" width="15.5546875" customWidth="1"/>
    <col min="13573" max="13573" width="3.88671875" customWidth="1"/>
    <col min="13574" max="13574" width="22.44140625" customWidth="1"/>
    <col min="13575" max="13575" width="12.44140625" customWidth="1"/>
    <col min="13576" max="13824" width="11.5546875" customWidth="1"/>
    <col min="13825" max="13825" width="4" customWidth="1"/>
    <col min="13826" max="13826" width="15.5546875" customWidth="1"/>
    <col min="13827" max="13827" width="5.6640625" customWidth="1"/>
    <col min="13828" max="13828" width="15.5546875" customWidth="1"/>
    <col min="13829" max="13829" width="3.88671875" customWidth="1"/>
    <col min="13830" max="13830" width="22.44140625" customWidth="1"/>
    <col min="13831" max="13831" width="12.44140625" customWidth="1"/>
    <col min="13832" max="14080" width="11.5546875" customWidth="1"/>
    <col min="14081" max="14081" width="4" customWidth="1"/>
    <col min="14082" max="14082" width="15.5546875" customWidth="1"/>
    <col min="14083" max="14083" width="5.6640625" customWidth="1"/>
    <col min="14084" max="14084" width="15.5546875" customWidth="1"/>
    <col min="14085" max="14085" width="3.88671875" customWidth="1"/>
    <col min="14086" max="14086" width="22.44140625" customWidth="1"/>
    <col min="14087" max="14087" width="12.44140625" customWidth="1"/>
    <col min="14088" max="14336" width="11.5546875" customWidth="1"/>
    <col min="14337" max="14337" width="4" customWidth="1"/>
    <col min="14338" max="14338" width="15.5546875" customWidth="1"/>
    <col min="14339" max="14339" width="5.6640625" customWidth="1"/>
    <col min="14340" max="14340" width="15.5546875" customWidth="1"/>
    <col min="14341" max="14341" width="3.88671875" customWidth="1"/>
    <col min="14342" max="14342" width="22.44140625" customWidth="1"/>
    <col min="14343" max="14343" width="12.44140625" customWidth="1"/>
    <col min="14344" max="14592" width="11.5546875" customWidth="1"/>
    <col min="14593" max="14593" width="4" customWidth="1"/>
    <col min="14594" max="14594" width="15.5546875" customWidth="1"/>
    <col min="14595" max="14595" width="5.6640625" customWidth="1"/>
    <col min="14596" max="14596" width="15.5546875" customWidth="1"/>
    <col min="14597" max="14597" width="3.88671875" customWidth="1"/>
    <col min="14598" max="14598" width="22.44140625" customWidth="1"/>
    <col min="14599" max="14599" width="12.44140625" customWidth="1"/>
    <col min="14600" max="14848" width="11.5546875" customWidth="1"/>
    <col min="14849" max="14849" width="4" customWidth="1"/>
    <col min="14850" max="14850" width="15.5546875" customWidth="1"/>
    <col min="14851" max="14851" width="5.6640625" customWidth="1"/>
    <col min="14852" max="14852" width="15.5546875" customWidth="1"/>
    <col min="14853" max="14853" width="3.88671875" customWidth="1"/>
    <col min="14854" max="14854" width="22.44140625" customWidth="1"/>
    <col min="14855" max="14855" width="12.44140625" customWidth="1"/>
    <col min="14856" max="15104" width="11.5546875" customWidth="1"/>
    <col min="15105" max="15105" width="4" customWidth="1"/>
    <col min="15106" max="15106" width="15.5546875" customWidth="1"/>
    <col min="15107" max="15107" width="5.6640625" customWidth="1"/>
    <col min="15108" max="15108" width="15.5546875" customWidth="1"/>
    <col min="15109" max="15109" width="3.88671875" customWidth="1"/>
    <col min="15110" max="15110" width="22.44140625" customWidth="1"/>
    <col min="15111" max="15111" width="12.44140625" customWidth="1"/>
    <col min="15112" max="15360" width="11.5546875" customWidth="1"/>
    <col min="15361" max="15361" width="4" customWidth="1"/>
    <col min="15362" max="15362" width="15.5546875" customWidth="1"/>
    <col min="15363" max="15363" width="5.6640625" customWidth="1"/>
    <col min="15364" max="15364" width="15.5546875" customWidth="1"/>
    <col min="15365" max="15365" width="3.88671875" customWidth="1"/>
    <col min="15366" max="15366" width="22.44140625" customWidth="1"/>
    <col min="15367" max="15367" width="12.44140625" customWidth="1"/>
    <col min="15368" max="15616" width="11.5546875" customWidth="1"/>
    <col min="15617" max="15617" width="4" customWidth="1"/>
    <col min="15618" max="15618" width="15.5546875" customWidth="1"/>
    <col min="15619" max="15619" width="5.6640625" customWidth="1"/>
    <col min="15620" max="15620" width="15.5546875" customWidth="1"/>
    <col min="15621" max="15621" width="3.88671875" customWidth="1"/>
    <col min="15622" max="15622" width="22.44140625" customWidth="1"/>
    <col min="15623" max="15623" width="12.44140625" customWidth="1"/>
    <col min="15624" max="15872" width="11.5546875" customWidth="1"/>
    <col min="15873" max="15873" width="4" customWidth="1"/>
    <col min="15874" max="15874" width="15.5546875" customWidth="1"/>
    <col min="15875" max="15875" width="5.6640625" customWidth="1"/>
    <col min="15876" max="15876" width="15.5546875" customWidth="1"/>
    <col min="15877" max="15877" width="3.88671875" customWidth="1"/>
    <col min="15878" max="15878" width="22.44140625" customWidth="1"/>
    <col min="15879" max="15879" width="12.44140625" customWidth="1"/>
    <col min="15880" max="16128" width="11.5546875" customWidth="1"/>
    <col min="16129" max="16129" width="4" customWidth="1"/>
    <col min="16130" max="16130" width="15.5546875" customWidth="1"/>
    <col min="16131" max="16131" width="5.6640625" customWidth="1"/>
    <col min="16132" max="16132" width="15.5546875" customWidth="1"/>
    <col min="16133" max="16133" width="3.88671875" customWidth="1"/>
    <col min="16134" max="16134" width="22.44140625" customWidth="1"/>
    <col min="16135" max="16135" width="12.44140625" customWidth="1"/>
    <col min="16136" max="16384" width="11.5546875" customWidth="1"/>
  </cols>
  <sheetData>
    <row r="1" spans="1:5" ht="19.95" customHeight="1" x14ac:dyDescent="0.3">
      <c r="A1" s="94"/>
      <c r="B1" s="309" t="s">
        <v>119</v>
      </c>
      <c r="C1" s="310"/>
      <c r="D1" s="311"/>
    </row>
    <row r="2" spans="1:5" ht="23.4" customHeight="1" x14ac:dyDescent="0.3">
      <c r="B2" s="312" t="s">
        <v>120</v>
      </c>
      <c r="C2" s="313"/>
      <c r="D2" s="314"/>
    </row>
    <row r="3" spans="1:5" x14ac:dyDescent="0.3">
      <c r="E3" s="95"/>
    </row>
    <row r="4" spans="1:5" x14ac:dyDescent="0.3">
      <c r="B4" s="315" t="s">
        <v>121</v>
      </c>
      <c r="C4" s="316"/>
      <c r="D4" s="317"/>
      <c r="E4" s="95"/>
    </row>
    <row r="5" spans="1:5" x14ac:dyDescent="0.3">
      <c r="B5" s="96"/>
      <c r="C5" s="96"/>
      <c r="D5" s="96"/>
      <c r="E5" s="95"/>
    </row>
    <row r="6" spans="1:5" x14ac:dyDescent="0.3">
      <c r="B6" s="97" t="s">
        <v>122</v>
      </c>
      <c r="C6" s="98"/>
      <c r="D6" s="97" t="s">
        <v>123</v>
      </c>
    </row>
    <row r="7" spans="1:5" x14ac:dyDescent="0.3">
      <c r="B7" s="98"/>
      <c r="C7" s="98"/>
      <c r="D7" s="98"/>
    </row>
    <row r="8" spans="1:5" x14ac:dyDescent="0.3">
      <c r="B8" s="97" t="s">
        <v>124</v>
      </c>
      <c r="C8" s="98"/>
      <c r="D8" s="97" t="s">
        <v>125</v>
      </c>
    </row>
    <row r="9" spans="1:5" x14ac:dyDescent="0.3">
      <c r="B9" s="98"/>
      <c r="C9" s="98"/>
      <c r="D9" s="98"/>
    </row>
    <row r="10" spans="1:5" x14ac:dyDescent="0.3">
      <c r="B10" s="97" t="s">
        <v>126</v>
      </c>
      <c r="C10" s="98"/>
      <c r="D10" s="97" t="s">
        <v>127</v>
      </c>
    </row>
    <row r="11" spans="1:5" x14ac:dyDescent="0.3">
      <c r="B11" s="98"/>
      <c r="C11" s="98"/>
      <c r="D11" s="99"/>
    </row>
    <row r="12" spans="1:5" x14ac:dyDescent="0.3">
      <c r="B12" s="97" t="s">
        <v>128</v>
      </c>
      <c r="C12" s="98"/>
      <c r="D12" s="99"/>
    </row>
    <row r="13" spans="1:5" x14ac:dyDescent="0.3">
      <c r="B13" s="100"/>
      <c r="C13" s="100"/>
    </row>
    <row r="14" spans="1:5" x14ac:dyDescent="0.3">
      <c r="C14" s="100"/>
    </row>
    <row r="15" spans="1:5" x14ac:dyDescent="0.3">
      <c r="C15" s="100"/>
    </row>
    <row r="16" spans="1:5" x14ac:dyDescent="0.3">
      <c r="C16" s="100"/>
    </row>
    <row r="17" spans="3:5" x14ac:dyDescent="0.3">
      <c r="C17" s="100"/>
    </row>
    <row r="18" spans="3:5" x14ac:dyDescent="0.3">
      <c r="C18" s="100"/>
    </row>
    <row r="19" spans="3:5" x14ac:dyDescent="0.3">
      <c r="C19" s="101"/>
    </row>
    <row r="20" spans="3:5" x14ac:dyDescent="0.3">
      <c r="E20" s="95"/>
    </row>
  </sheetData>
  <mergeCells count="3">
    <mergeCell ref="B1:D1"/>
    <mergeCell ref="B2:D2"/>
    <mergeCell ref="B4:D4"/>
  </mergeCells>
  <hyperlinks>
    <hyperlink ref="B6" location="BTS1!C11" display="BTS - 1" xr:uid="{5632A3CB-E6BA-4529-81F0-961A5A276E9A}"/>
    <hyperlink ref="B8" location="BTS2!C11" display="BTS - 2" xr:uid="{20172162-118C-4EC1-8E2D-3A42F9FDA1C6}"/>
    <hyperlink ref="B10" location="BTD!C11" display="BTD" xr:uid="{EE94F44D-5BF8-4CD4-8FA5-3BF4C1BF6DA9}"/>
    <hyperlink ref="B12" location="BTH!C11" display="BTD" xr:uid="{ABE77C8D-E25F-4B93-87FE-3463E351ADEC}"/>
    <hyperlink ref="D6" location="MTD1!C11" display="MTD - 1" xr:uid="{F1E1F73C-1777-4C80-A0D1-8E6F48A43FBB}"/>
    <hyperlink ref="D8" location="MTD2!C11" display="MTD - 2" xr:uid="{F322D7B3-96E7-4B7A-83D4-074656B3AA68}"/>
    <hyperlink ref="D10" location="MTH!C11" display="MTH" xr:uid="{819FEDE0-56AF-4CB7-8EB2-BE1DDBEE281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F9A705148D844C8697EFCD0020E4BD" ma:contentTypeVersion="11" ma:contentTypeDescription="Create a new document." ma:contentTypeScope="" ma:versionID="866bc58d25e89643420e582ee1ce8997">
  <xsd:schema xmlns:xsd="http://www.w3.org/2001/XMLSchema" xmlns:xs="http://www.w3.org/2001/XMLSchema" xmlns:p="http://schemas.microsoft.com/office/2006/metadata/properties" xmlns:ns3="29bd9c2f-7a9b-4e4f-8c33-b018517502cb" xmlns:ns4="cd003f58-d4c3-46ac-acf1-013c380cf3e3" targetNamespace="http://schemas.microsoft.com/office/2006/metadata/properties" ma:root="true" ma:fieldsID="66ce444bb455f3a2c08dac146b58af13" ns3:_="" ns4:_="">
    <xsd:import namespace="29bd9c2f-7a9b-4e4f-8c33-b018517502cb"/>
    <xsd:import namespace="cd003f58-d4c3-46ac-acf1-013c380cf3e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bd9c2f-7a9b-4e4f-8c33-b018517502c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003f58-d4c3-46ac-acf1-013c380cf3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06A79F-23BE-425E-AF7E-B88119BAEF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02507E-C908-4CCA-8100-1E18E5A48FA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84D0ACE-7C32-4160-B524-340C900926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bd9c2f-7a9b-4e4f-8c33-b018517502cb"/>
    <ds:schemaRef ds:uri="cd003f58-d4c3-46ac-acf1-013c380cf3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2</vt:i4>
      </vt:variant>
    </vt:vector>
  </HeadingPairs>
  <TitlesOfParts>
    <vt:vector size="20" baseType="lpstr">
      <vt:lpstr>INTRO PV</vt:lpstr>
      <vt:lpstr>COSTOS</vt:lpstr>
      <vt:lpstr>DIMENSION PLANTA SOLAR</vt:lpstr>
      <vt:lpstr>DESCRIPCION TECNICA</vt:lpstr>
      <vt:lpstr>MODELO ECONOMICO</vt:lpstr>
      <vt:lpstr>GARANTIAS</vt:lpstr>
      <vt:lpstr>DISTRIBUCION PANELES</vt:lpstr>
      <vt:lpstr>LiSTA PRECIO</vt:lpstr>
      <vt:lpstr>Entrada</vt:lpstr>
      <vt:lpstr>BTS1</vt:lpstr>
      <vt:lpstr>BTS2</vt:lpstr>
      <vt:lpstr>BTD</vt:lpstr>
      <vt:lpstr>BTH</vt:lpstr>
      <vt:lpstr>MTD1</vt:lpstr>
      <vt:lpstr>MTD2</vt:lpstr>
      <vt:lpstr>MTH</vt:lpstr>
      <vt:lpstr>Cuadro Tarifario</vt:lpstr>
      <vt:lpstr>Localidad</vt:lpstr>
      <vt:lpstr>'DIMENSION PLANTA SOLAR'!Área_de_impresión</vt:lpstr>
      <vt:lpstr>'MODELO ECONOMICO'!Área_de_impresión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 Estevez</dc:creator>
  <cp:lastModifiedBy>franklin celso estevez de la rosa</cp:lastModifiedBy>
  <cp:lastPrinted>2016-09-15T15:53:57Z</cp:lastPrinted>
  <dcterms:created xsi:type="dcterms:W3CDTF">2015-09-16T15:43:27Z</dcterms:created>
  <dcterms:modified xsi:type="dcterms:W3CDTF">2022-10-18T19:48:47Z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0x0101000BF9A705148D844C8697EFCD0020E4BD</vt:lpwstr>
  </property>
  <property fmtid="{D5CDD505-2E9C-101B-9397-08002B2CF9AE}" pid="3" name="PS9Connected">
    <vt:bool>true</vt:bool>
  </property>
</Properties>
</file>