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ve\OneDrive - The Cooper Union for the Advancement of Science and Art\102-cooper\150-masters\sustainability\sustainability_project1\databases\"/>
    </mc:Choice>
  </mc:AlternateContent>
  <xr:revisionPtr revIDLastSave="3889" documentId="13_ncr:1_{3FB4AC18-0CEB-AA41-999E-AC3015B7C641}" xr6:coauthVersionLast="44" xr6:coauthVersionMax="45" xr10:uidLastSave="{D3516539-0C52-4F1D-8596-AB9DB3F6FA0F}"/>
  <bookViews>
    <workbookView xWindow="-23148" yWindow="-108" windowWidth="23256" windowHeight="12576" tabRatio="830" xr2:uid="{37BFF1BD-B01D-2B41-B449-5920C9BA0A58}"/>
  </bookViews>
  <sheets>
    <sheet name="ecos" sheetId="4" r:id="rId1"/>
    <sheet name="hums" sheetId="1" r:id="rId2"/>
    <sheet name="wealth" sheetId="5" r:id="rId3"/>
    <sheet name="wealth (3)" sheetId="20" r:id="rId4"/>
    <sheet name="net_generation" sheetId="9" r:id="rId5"/>
    <sheet name="operating_revenue" sheetId="13" r:id="rId6"/>
    <sheet name="employees" sheetId="14" r:id="rId7"/>
    <sheet name="normalization_parameters" sheetId="10" r:id="rId8"/>
    <sheet name="wealth_old" sheetId="8" r:id="rId9"/>
    <sheet name="ecos_old" sheetId="11" r:id="rId10"/>
    <sheet name="ecos (2)" sheetId="15" r:id="rId11"/>
    <sheet name="hums (2)" sheetId="12" r:id="rId12"/>
    <sheet name="ecos (3)" sheetId="16" r:id="rId13"/>
    <sheet name="hums (3)" sheetId="17" r:id="rId14"/>
    <sheet name="wealth (2)" sheetId="18" r:id="rId15"/>
    <sheet name="ecos (4)" sheetId="19" r:id="rId16"/>
  </sheets>
  <definedNames>
    <definedName name="_xlnm._FilterDatabase" localSheetId="0" hidden="1">ecos!$A$1:$I$174</definedName>
    <definedName name="_xlnm._FilterDatabase" localSheetId="10" hidden="1">'ecos (2)'!$A$1:$I$244</definedName>
    <definedName name="_xlnm._FilterDatabase" localSheetId="12" hidden="1">'ecos (3)'!$A$1:$I$225</definedName>
    <definedName name="_xlnm._FilterDatabase" localSheetId="15" hidden="1">'ecos (4)'!$A$1:$I$144</definedName>
    <definedName name="_xlnm._FilterDatabase" localSheetId="9" hidden="1">ecos_old!$A$1:$I$1</definedName>
    <definedName name="_xlnm._FilterDatabase" localSheetId="6" hidden="1">employees!$A$1:$D$1</definedName>
    <definedName name="_xlnm._FilterDatabase" localSheetId="1" hidden="1">hums!$A$1:$I$1</definedName>
    <definedName name="_xlnm._FilterDatabase" localSheetId="11" hidden="1">'hums (2)'!$A$1:$I$1</definedName>
    <definedName name="_xlnm._FilterDatabase" localSheetId="13" hidden="1">'hums (3)'!$A$1:$I$1</definedName>
    <definedName name="_xlnm._FilterDatabase" localSheetId="4" hidden="1">net_generation!$A$1:$D$1</definedName>
    <definedName name="_xlnm._FilterDatabase" localSheetId="5" hidden="1">operating_revenue!$A$1:$D$1</definedName>
    <definedName name="_xlnm._FilterDatabase" localSheetId="2" hidden="1">wealth!$A$1:$I$1</definedName>
    <definedName name="_xlnm._FilterDatabase" localSheetId="14" hidden="1">'wealth (2)'!$A$1:$I$1</definedName>
    <definedName name="_xlnm._FilterDatabase" localSheetId="3" hidden="1">'wealth (3)'!$A$1:$I$1</definedName>
    <definedName name="_xlnm._FilterDatabase" localSheetId="8" hidden="1">wealth_old!$A$1:$I$1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7" i="5" l="1"/>
  <c r="G138" i="5"/>
  <c r="G139" i="5"/>
  <c r="G140" i="5"/>
  <c r="G141" i="5"/>
  <c r="G118" i="5"/>
  <c r="G119" i="5"/>
  <c r="G120" i="5"/>
  <c r="G121" i="5"/>
  <c r="G117" i="5"/>
  <c r="G98" i="5"/>
  <c r="G99" i="5"/>
  <c r="G100" i="5"/>
  <c r="G101" i="5"/>
  <c r="G97" i="5"/>
  <c r="E101" i="5"/>
  <c r="E100" i="5"/>
  <c r="E99" i="5"/>
  <c r="E98" i="5"/>
  <c r="E97" i="5"/>
  <c r="G61" i="5"/>
  <c r="G60" i="5"/>
  <c r="G59" i="5"/>
  <c r="G58" i="5"/>
  <c r="G57" i="5"/>
  <c r="G78" i="5"/>
  <c r="G79" i="5"/>
  <c r="G80" i="5"/>
  <c r="G81" i="5"/>
  <c r="G77" i="5"/>
  <c r="G37" i="5"/>
  <c r="G38" i="5"/>
  <c r="G39" i="5"/>
  <c r="G40" i="5"/>
  <c r="G41" i="5"/>
  <c r="G18" i="5"/>
  <c r="G19" i="5"/>
  <c r="G20" i="5"/>
  <c r="G21" i="5"/>
  <c r="G17" i="5"/>
  <c r="E179" i="4"/>
  <c r="G179" i="4" s="1"/>
  <c r="E178" i="4"/>
  <c r="G178" i="4" s="1"/>
  <c r="E177" i="4"/>
  <c r="G177" i="4" s="1"/>
  <c r="G176" i="4"/>
  <c r="G175" i="4"/>
  <c r="E176" i="4"/>
  <c r="E175" i="4"/>
  <c r="E159" i="4"/>
  <c r="G159" i="4" s="1"/>
  <c r="E158" i="4"/>
  <c r="E157" i="4"/>
  <c r="E156" i="4"/>
  <c r="G156" i="4" s="1"/>
  <c r="E155" i="4"/>
  <c r="G155" i="4" s="1"/>
  <c r="G157" i="4"/>
  <c r="G158" i="4"/>
  <c r="G138" i="4" l="1"/>
  <c r="G139" i="4"/>
  <c r="G136" i="4"/>
  <c r="G137" i="4"/>
  <c r="E116" i="4"/>
  <c r="G116" i="4"/>
  <c r="G41" i="4"/>
  <c r="G40" i="4"/>
  <c r="G39" i="4"/>
  <c r="G38" i="4"/>
  <c r="G37" i="4"/>
  <c r="G18" i="4"/>
  <c r="G19" i="4"/>
  <c r="G20" i="4"/>
  <c r="G21" i="4"/>
  <c r="G17" i="4"/>
  <c r="G103" i="1"/>
  <c r="G102" i="1"/>
  <c r="G101" i="1"/>
  <c r="E105" i="1"/>
  <c r="G105" i="1" s="1"/>
  <c r="E104" i="1"/>
  <c r="G104" i="1" s="1"/>
  <c r="G97" i="1"/>
  <c r="G98" i="1"/>
  <c r="G99" i="1"/>
  <c r="G100" i="1"/>
  <c r="G96" i="1"/>
  <c r="G95" i="1"/>
  <c r="G94" i="1"/>
  <c r="G93" i="1"/>
  <c r="G92" i="1"/>
  <c r="G91" i="1"/>
  <c r="G88" i="1"/>
  <c r="G87" i="1"/>
  <c r="G86" i="1"/>
  <c r="E97" i="1"/>
  <c r="E99" i="1" s="1"/>
  <c r="E98" i="1"/>
  <c r="E90" i="1"/>
  <c r="G90" i="1" s="1"/>
  <c r="E89" i="1"/>
  <c r="G89" i="1" s="1"/>
  <c r="E88" i="1"/>
  <c r="E87" i="1"/>
  <c r="E86" i="1"/>
  <c r="G135" i="4" l="1"/>
  <c r="E100" i="1"/>
  <c r="G76" i="20" a="1"/>
  <c r="G76" i="20" s="1"/>
  <c r="G74" i="20" a="1"/>
  <c r="G74" i="20" s="1"/>
  <c r="G73" i="20" a="1"/>
  <c r="G73" i="20" s="1"/>
  <c r="G72" i="20" a="1"/>
  <c r="G72" i="20" s="1"/>
  <c r="G66" i="20" a="1"/>
  <c r="G66" i="20" s="1"/>
  <c r="G65" i="20" a="1"/>
  <c r="G65" i="20" s="1"/>
  <c r="G64" i="20" a="1"/>
  <c r="G64" i="20" s="1"/>
  <c r="G63" i="20" a="1"/>
  <c r="G63" i="20" s="1"/>
  <c r="G62" i="20" a="1"/>
  <c r="G62" i="20" s="1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E27" i="20"/>
  <c r="G27" i="20" s="1"/>
  <c r="E28" i="20"/>
  <c r="G28" i="20" s="1"/>
  <c r="E29" i="20"/>
  <c r="G29" i="20" s="1"/>
  <c r="E30" i="20"/>
  <c r="G30" i="20" s="1"/>
  <c r="E31" i="20"/>
  <c r="G31" i="20" s="1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E75" i="20"/>
  <c r="G75" i="20" s="1" a="1"/>
  <c r="G75" i="20" s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22" i="5"/>
  <c r="G149" i="4" l="1" a="1"/>
  <c r="G149" i="4" s="1"/>
  <c r="G148" i="4" a="1"/>
  <c r="G148" i="4" s="1"/>
  <c r="G147" i="4" a="1"/>
  <c r="G147" i="4" s="1"/>
  <c r="G146" i="4" a="1"/>
  <c r="G146" i="4" s="1"/>
  <c r="G145" i="4" a="1"/>
  <c r="G145" i="4" s="1"/>
  <c r="G144" i="4" a="1"/>
  <c r="G144" i="4" s="1"/>
  <c r="G143" i="4" a="1"/>
  <c r="G143" i="4"/>
  <c r="G142" i="4" a="1"/>
  <c r="G142" i="4" s="1"/>
  <c r="G141" i="4" a="1"/>
  <c r="G141" i="4" s="1"/>
  <c r="G140" i="4" a="1"/>
  <c r="G140" i="4" s="1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 a="1"/>
  <c r="G76" i="18" s="1"/>
  <c r="E75" i="18"/>
  <c r="G75" i="18" s="1" a="1"/>
  <c r="G75" i="18" s="1"/>
  <c r="G74" i="18" a="1"/>
  <c r="G74" i="18" s="1"/>
  <c r="G73" i="18" a="1"/>
  <c r="G73" i="18" s="1"/>
  <c r="G72" i="18" a="1"/>
  <c r="G72" i="18" s="1"/>
  <c r="G66" i="18" a="1"/>
  <c r="G66" i="18" s="1"/>
  <c r="G65" i="18" a="1"/>
  <c r="G65" i="18" s="1"/>
  <c r="G64" i="18" a="1"/>
  <c r="G64" i="18" s="1"/>
  <c r="G63" i="18" a="1"/>
  <c r="G63" i="18" s="1"/>
  <c r="G62" i="18" a="1"/>
  <c r="G62" i="18" s="1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E31" i="18"/>
  <c r="G31" i="18" s="1"/>
  <c r="E30" i="18"/>
  <c r="G30" i="18" s="1"/>
  <c r="G29" i="18"/>
  <c r="E29" i="18"/>
  <c r="E28" i="18"/>
  <c r="G28" i="18" s="1"/>
  <c r="E27" i="18"/>
  <c r="G27" i="18" s="1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43" i="17" a="1"/>
  <c r="G143" i="17" s="1"/>
  <c r="G142" i="17" a="1"/>
  <c r="G142" i="17" s="1"/>
  <c r="G141" i="17" a="1"/>
  <c r="G141" i="17" s="1"/>
  <c r="G140" i="17" a="1"/>
  <c r="G140" i="17" s="1"/>
  <c r="G139" i="17" a="1"/>
  <c r="G139" i="17" s="1"/>
  <c r="G138" i="17" a="1"/>
  <c r="G138" i="17" s="1"/>
  <c r="G137" i="17" a="1"/>
  <c r="G137" i="17" s="1"/>
  <c r="G136" i="17" a="1"/>
  <c r="G136" i="17" s="1"/>
  <c r="G135" i="17" a="1"/>
  <c r="G135" i="17" s="1"/>
  <c r="G134" i="17" a="1"/>
  <c r="G134" i="17" s="1"/>
  <c r="G133" i="17" a="1"/>
  <c r="G133" i="17" s="1"/>
  <c r="G132" i="17" a="1"/>
  <c r="G132" i="17" s="1"/>
  <c r="G131" i="17" a="1"/>
  <c r="G131" i="17" s="1"/>
  <c r="E130" i="17"/>
  <c r="G130" i="17" s="1" a="1"/>
  <c r="G130" i="17" s="1"/>
  <c r="G129" i="17" a="1"/>
  <c r="G129" i="17" s="1"/>
  <c r="G128" i="17" a="1"/>
  <c r="G128" i="17" s="1"/>
  <c r="G127" i="17" a="1"/>
  <c r="G127" i="17" s="1"/>
  <c r="G126" i="17" a="1"/>
  <c r="G126" i="17" s="1"/>
  <c r="G125" i="17" a="1"/>
  <c r="G125" i="17" s="1"/>
  <c r="G124" i="17" a="1"/>
  <c r="G124" i="17" s="1"/>
  <c r="G123" i="17" a="1"/>
  <c r="G123" i="17" s="1"/>
  <c r="G122" i="17" a="1"/>
  <c r="G122" i="17" s="1"/>
  <c r="G121" i="17" a="1"/>
  <c r="G121" i="17" s="1"/>
  <c r="G120" i="17" a="1"/>
  <c r="G120" i="17" s="1"/>
  <c r="G119" i="17" a="1"/>
  <c r="G119" i="17" s="1"/>
  <c r="G118" i="17" a="1"/>
  <c r="G118" i="17" s="1"/>
  <c r="G117" i="17" a="1"/>
  <c r="G117" i="17" s="1"/>
  <c r="G116" i="17" a="1"/>
  <c r="G116" i="17" s="1"/>
  <c r="G115" i="17" a="1"/>
  <c r="G115" i="17" s="1"/>
  <c r="G114" i="17" a="1"/>
  <c r="G114" i="17" s="1"/>
  <c r="G113" i="17" a="1"/>
  <c r="G113" i="17" s="1"/>
  <c r="G112" i="17" a="1"/>
  <c r="G112" i="17" s="1"/>
  <c r="G111" i="17" a="1"/>
  <c r="G111" i="17" s="1"/>
  <c r="G110" i="17" a="1"/>
  <c r="G110" i="17" s="1"/>
  <c r="G109" i="17" a="1"/>
  <c r="G109" i="17" s="1"/>
  <c r="G108" i="17" a="1"/>
  <c r="G108" i="17" s="1"/>
  <c r="G107" i="17" a="1"/>
  <c r="G107" i="17" s="1"/>
  <c r="G106" i="17" a="1"/>
  <c r="G106" i="17" s="1"/>
  <c r="G105" i="17" a="1"/>
  <c r="G105" i="17" s="1"/>
  <c r="G104" i="17" a="1"/>
  <c r="G104" i="17" s="1"/>
  <c r="G103" i="17" a="1"/>
  <c r="G103" i="17" s="1"/>
  <c r="G102" i="17" a="1"/>
  <c r="G102" i="17" s="1"/>
  <c r="G101" i="17" a="1"/>
  <c r="G101" i="17" s="1"/>
  <c r="G100" i="17" a="1"/>
  <c r="G100" i="17" s="1"/>
  <c r="G99" i="17" a="1"/>
  <c r="G99" i="17" s="1"/>
  <c r="G98" i="17" a="1"/>
  <c r="G98" i="17" s="1"/>
  <c r="G97" i="17" a="1"/>
  <c r="G97" i="17" s="1"/>
  <c r="G96" i="17" a="1"/>
  <c r="G96" i="17" s="1"/>
  <c r="G95" i="17" a="1"/>
  <c r="G95" i="17" s="1"/>
  <c r="G94" i="17"/>
  <c r="G94" i="17" a="1"/>
  <c r="G93" i="17" a="1"/>
  <c r="G93" i="17" s="1"/>
  <c r="G92" i="17" a="1"/>
  <c r="G92" i="17" s="1"/>
  <c r="G91" i="17" a="1"/>
  <c r="G91" i="17" s="1"/>
  <c r="G90" i="17"/>
  <c r="G90" i="17" a="1"/>
  <c r="G89" i="17" a="1"/>
  <c r="G89" i="17" s="1"/>
  <c r="G88" i="17" a="1"/>
  <c r="G88" i="17" s="1"/>
  <c r="G87" i="17" a="1"/>
  <c r="G87" i="17" s="1"/>
  <c r="G86" i="17" a="1"/>
  <c r="G86" i="17" s="1"/>
  <c r="G85" i="17" a="1"/>
  <c r="G85" i="17" s="1"/>
  <c r="G84" i="17" a="1"/>
  <c r="G84" i="17" s="1"/>
  <c r="G83" i="17" a="1"/>
  <c r="G83" i="17" s="1"/>
  <c r="G82" i="17" a="1"/>
  <c r="G82" i="17" s="1"/>
  <c r="G81" i="17" a="1"/>
  <c r="G81" i="17" s="1"/>
  <c r="G80" i="17" a="1"/>
  <c r="G80" i="17" s="1"/>
  <c r="G79" i="17" a="1"/>
  <c r="G79" i="17" s="1"/>
  <c r="G78" i="17" a="1"/>
  <c r="G78" i="17" s="1"/>
  <c r="G77" i="17" a="1"/>
  <c r="G77" i="17" s="1"/>
  <c r="G76" i="17" a="1"/>
  <c r="G76" i="17" s="1"/>
  <c r="G75" i="17" a="1"/>
  <c r="G75" i="17" s="1"/>
  <c r="G74" i="17" a="1"/>
  <c r="G74" i="17" s="1"/>
  <c r="G73" i="17" a="1"/>
  <c r="G73" i="17" s="1"/>
  <c r="G72" i="17" a="1"/>
  <c r="G72" i="17" s="1"/>
  <c r="G71" i="17" a="1"/>
  <c r="G71" i="17" s="1"/>
  <c r="G70" i="17" a="1"/>
  <c r="G70" i="17" s="1"/>
  <c r="G69" i="17" a="1"/>
  <c r="G69" i="17" s="1"/>
  <c r="G68" i="17" a="1"/>
  <c r="G68" i="17" s="1"/>
  <c r="G67" i="17" a="1"/>
  <c r="G67" i="17" s="1"/>
  <c r="G66" i="17" a="1"/>
  <c r="G66" i="17" s="1"/>
  <c r="G65" i="17" a="1"/>
  <c r="G65" i="17" s="1"/>
  <c r="G64" i="17" a="1"/>
  <c r="G64" i="17" s="1"/>
  <c r="G63" i="17" a="1"/>
  <c r="G63" i="17" s="1"/>
  <c r="G62" i="17" a="1"/>
  <c r="G62" i="17" s="1"/>
  <c r="G61" i="17" a="1"/>
  <c r="G61" i="17" s="1"/>
  <c r="G60" i="17" a="1"/>
  <c r="G60" i="17" s="1"/>
  <c r="G59" i="17" a="1"/>
  <c r="G59" i="17" s="1"/>
  <c r="G58" i="17" a="1"/>
  <c r="G58" i="17" s="1"/>
  <c r="G57" i="17" a="1"/>
  <c r="G57" i="17" s="1"/>
  <c r="G56" i="17" a="1"/>
  <c r="G56" i="17" s="1"/>
  <c r="E49" i="17"/>
  <c r="G49" i="17" s="1" a="1"/>
  <c r="G49" i="17" s="1"/>
  <c r="E48" i="17"/>
  <c r="G48" i="17" s="1" a="1"/>
  <c r="G48" i="17" s="1"/>
  <c r="G47" i="17" a="1"/>
  <c r="G47" i="17" s="1"/>
  <c r="E47" i="17"/>
  <c r="G46" i="17"/>
  <c r="G46" i="17" a="1"/>
  <c r="G45" i="17"/>
  <c r="G45" i="17" a="1"/>
  <c r="G44" i="17"/>
  <c r="G44" i="17" a="1"/>
  <c r="G43" i="17" a="1"/>
  <c r="G43" i="17" s="1"/>
  <c r="G42" i="17" a="1"/>
  <c r="G42" i="17" s="1"/>
  <c r="G41" i="17" a="1"/>
  <c r="G41" i="17" s="1"/>
  <c r="G40" i="17" a="1"/>
  <c r="G40" i="17" s="1"/>
  <c r="G39" i="17" a="1"/>
  <c r="G39" i="17" s="1"/>
  <c r="G38" i="17" a="1"/>
  <c r="G38" i="17" s="1"/>
  <c r="G37" i="17" a="1"/>
  <c r="G37" i="17" s="1"/>
  <c r="G36" i="17" a="1"/>
  <c r="G36" i="17" s="1"/>
  <c r="G35" i="17" a="1"/>
  <c r="G35" i="17" s="1"/>
  <c r="G34" i="17" a="1"/>
  <c r="G34" i="17" s="1"/>
  <c r="G33" i="17" a="1"/>
  <c r="G33" i="17" s="1"/>
  <c r="G32" i="17" a="1"/>
  <c r="G32" i="17" s="1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 a="1"/>
  <c r="G16" i="17" s="1"/>
  <c r="G15" i="17" a="1"/>
  <c r="G15" i="17" s="1"/>
  <c r="G14" i="17" a="1"/>
  <c r="G14" i="17" s="1"/>
  <c r="G13" i="17" a="1"/>
  <c r="G13" i="17" s="1"/>
  <c r="G12" i="17" a="1"/>
  <c r="G12" i="17" s="1"/>
  <c r="G11" i="17" a="1"/>
  <c r="G11" i="17" s="1"/>
  <c r="G10" i="17" a="1"/>
  <c r="G10" i="17" s="1"/>
  <c r="G9" i="17" a="1"/>
  <c r="G9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G2" i="17" a="1"/>
  <c r="G2" i="17" s="1"/>
  <c r="E225" i="16"/>
  <c r="E224" i="16"/>
  <c r="E223" i="16"/>
  <c r="E222" i="16"/>
  <c r="E221" i="16"/>
  <c r="E220" i="16"/>
  <c r="E219" i="16"/>
  <c r="E218" i="16"/>
  <c r="E217" i="16"/>
  <c r="E216" i="16"/>
  <c r="G205" i="16" a="1"/>
  <c r="G205" i="16" s="1"/>
  <c r="G204" i="16" a="1"/>
  <c r="G204" i="16" s="1"/>
  <c r="G203" i="16" a="1"/>
  <c r="G203" i="16" s="1"/>
  <c r="G202" i="16" a="1"/>
  <c r="G202" i="16" s="1"/>
  <c r="G201" i="16" a="1"/>
  <c r="G201" i="16" s="1"/>
  <c r="G200" i="16" a="1"/>
  <c r="G200" i="16" s="1"/>
  <c r="G199" i="16" a="1"/>
  <c r="G199" i="16" s="1"/>
  <c r="G198" i="16" a="1"/>
  <c r="G198" i="16" s="1"/>
  <c r="G197" i="16" a="1"/>
  <c r="G197" i="16" s="1"/>
  <c r="G196" i="16" a="1"/>
  <c r="G196" i="16" s="1"/>
  <c r="G195" i="16" a="1"/>
  <c r="G195" i="16" s="1"/>
  <c r="G194" i="16" a="1"/>
  <c r="G194" i="16" s="1"/>
  <c r="G193" i="16" a="1"/>
  <c r="G193" i="16" s="1"/>
  <c r="G192" i="16" a="1"/>
  <c r="G192" i="16" s="1"/>
  <c r="G191" i="16" a="1"/>
  <c r="G191" i="16" s="1"/>
  <c r="G185" i="16" a="1"/>
  <c r="G185" i="16" s="1"/>
  <c r="G184" i="16" a="1"/>
  <c r="G184" i="16" s="1"/>
  <c r="G183" i="16" a="1"/>
  <c r="G183" i="16" s="1"/>
  <c r="G182" i="16" a="1"/>
  <c r="G182" i="16" s="1"/>
  <c r="G181" i="16" a="1"/>
  <c r="G181" i="16" s="1"/>
  <c r="G180" i="16" a="1"/>
  <c r="G180" i="16" s="1"/>
  <c r="G179" i="16" a="1"/>
  <c r="G179" i="16" s="1"/>
  <c r="G178" i="16" a="1"/>
  <c r="G178" i="16" s="1"/>
  <c r="G177" i="16" a="1"/>
  <c r="G177" i="16" s="1"/>
  <c r="G176" i="16" a="1"/>
  <c r="G176" i="16" s="1"/>
  <c r="G170" i="16" a="1"/>
  <c r="G170" i="16" s="1"/>
  <c r="G169" i="16" a="1"/>
  <c r="G169" i="16" s="1"/>
  <c r="G168" i="16" a="1"/>
  <c r="G168" i="16" s="1"/>
  <c r="G167" i="16" a="1"/>
  <c r="G167" i="16" s="1"/>
  <c r="G166" i="16" a="1"/>
  <c r="G166" i="16" s="1"/>
  <c r="G160" i="16" a="1"/>
  <c r="G160" i="16" s="1"/>
  <c r="G159" i="16" a="1"/>
  <c r="G159" i="16" s="1"/>
  <c r="G158" i="16" a="1"/>
  <c r="G158" i="16" s="1"/>
  <c r="G157" i="16" a="1"/>
  <c r="G157" i="16" s="1"/>
  <c r="G156" i="16" a="1"/>
  <c r="G156" i="16" s="1"/>
  <c r="G155" i="16" a="1"/>
  <c r="G155" i="16" s="1"/>
  <c r="G154" i="16" a="1"/>
  <c r="G154" i="16" s="1"/>
  <c r="G153" i="16" a="1"/>
  <c r="G153" i="16" s="1"/>
  <c r="G152" i="16" a="1"/>
  <c r="G152" i="16" s="1"/>
  <c r="G151" i="16" a="1"/>
  <c r="G151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G43" i="16" a="1"/>
  <c r="G43" i="16" s="1"/>
  <c r="G42" i="16" a="1"/>
  <c r="G42" i="16" s="1"/>
  <c r="G41" i="16" a="1"/>
  <c r="G41" i="16" s="1"/>
  <c r="E40" i="16"/>
  <c r="G40" i="16" s="1" a="1"/>
  <c r="G40" i="16" s="1"/>
  <c r="E35" i="16"/>
  <c r="G34" i="16"/>
  <c r="G33" i="16"/>
  <c r="G32" i="16"/>
  <c r="G31" i="16"/>
  <c r="G30" i="16"/>
  <c r="G29" i="16"/>
  <c r="G28" i="16"/>
  <c r="G27" i="16"/>
  <c r="G26" i="16"/>
  <c r="G25" i="16"/>
  <c r="G24" i="16"/>
  <c r="G22" i="16"/>
  <c r="G21" i="16"/>
  <c r="G20" i="16"/>
  <c r="G19" i="16"/>
  <c r="G18" i="16"/>
  <c r="G17" i="16"/>
  <c r="G16" i="16"/>
  <c r="G15" i="16"/>
  <c r="G14" i="16"/>
  <c r="G13" i="16"/>
  <c r="G11" i="16"/>
  <c r="G10" i="16"/>
  <c r="G9" i="16"/>
  <c r="G8" i="16"/>
  <c r="G7" i="16"/>
  <c r="G6" i="16"/>
  <c r="G5" i="16"/>
  <c r="G4" i="16"/>
  <c r="G3" i="16"/>
  <c r="G2" i="16"/>
  <c r="G134" i="4" a="1"/>
  <c r="G134" i="4" s="1"/>
  <c r="G133" i="4" a="1"/>
  <c r="G133" i="4" s="1"/>
  <c r="G132" i="4" a="1"/>
  <c r="G132" i="4" s="1"/>
  <c r="G124" i="4" a="1"/>
  <c r="G124" i="4" s="1"/>
  <c r="G123" i="4" a="1"/>
  <c r="G123" i="4" s="1"/>
  <c r="G114" i="4" a="1"/>
  <c r="G114" i="4" s="1"/>
  <c r="G113" i="4" a="1"/>
  <c r="G113" i="4" s="1"/>
  <c r="G112" i="4" a="1"/>
  <c r="G112" i="4" s="1"/>
  <c r="G104" i="4" a="1"/>
  <c r="G104" i="4" s="1"/>
  <c r="G103" i="4" a="1"/>
  <c r="G103" i="4" s="1"/>
  <c r="G89" i="4" a="1"/>
  <c r="G89" i="4" s="1"/>
  <c r="G88" i="4" a="1"/>
  <c r="G88" i="4" s="1"/>
  <c r="G87" i="4" a="1"/>
  <c r="G87" i="4" s="1"/>
  <c r="G86" i="4" a="1"/>
  <c r="G86" i="4" s="1"/>
  <c r="G85" i="4" a="1"/>
  <c r="G85" i="4" s="1"/>
  <c r="G84" i="4" a="1"/>
  <c r="G84" i="4" s="1"/>
  <c r="G83" i="4" a="1"/>
  <c r="G83" i="4" s="1"/>
  <c r="G82" i="4" a="1"/>
  <c r="G82" i="4" s="1"/>
  <c r="G81" i="4" a="1"/>
  <c r="G81" i="4" s="1"/>
  <c r="G80" i="4" a="1"/>
  <c r="G80" i="4" s="1"/>
  <c r="E22" i="4"/>
  <c r="E27" i="4"/>
  <c r="G27" i="4" s="1" a="1"/>
  <c r="G27" i="4" s="1"/>
  <c r="G224" i="15" a="1"/>
  <c r="G224" i="15" s="1"/>
  <c r="G223" i="15" a="1"/>
  <c r="G223" i="15" s="1"/>
  <c r="G222" i="15" a="1"/>
  <c r="G222" i="15" s="1"/>
  <c r="G221" i="15" a="1"/>
  <c r="G221" i="15" s="1"/>
  <c r="G220" i="15" a="1"/>
  <c r="G220" i="15" s="1"/>
  <c r="G219" i="15" a="1"/>
  <c r="G219" i="15" s="1"/>
  <c r="G218" i="15" a="1"/>
  <c r="G218" i="15" s="1"/>
  <c r="G217" i="15" a="1"/>
  <c r="G217" i="15" s="1"/>
  <c r="G216" i="15" a="1"/>
  <c r="G216" i="15" s="1"/>
  <c r="G215" i="15" a="1"/>
  <c r="G215" i="15" s="1"/>
  <c r="G214" i="15" a="1"/>
  <c r="G214" i="15" s="1"/>
  <c r="G213" i="15" a="1"/>
  <c r="G213" i="15" s="1"/>
  <c r="G212" i="15" a="1"/>
  <c r="G212" i="15" s="1"/>
  <c r="G211" i="15" a="1"/>
  <c r="G211" i="15" s="1"/>
  <c r="G210" i="15" a="1"/>
  <c r="G210" i="15" s="1"/>
  <c r="G204" i="15" a="1"/>
  <c r="G204" i="15" s="1"/>
  <c r="G203" i="15" a="1"/>
  <c r="G203" i="15" s="1"/>
  <c r="G202" i="15" a="1"/>
  <c r="G202" i="15" s="1"/>
  <c r="G201" i="15" a="1"/>
  <c r="G201" i="15" s="1"/>
  <c r="G200" i="15" a="1"/>
  <c r="G200" i="15" s="1"/>
  <c r="G199" i="15" a="1"/>
  <c r="G199" i="15" s="1"/>
  <c r="G198" i="15" a="1"/>
  <c r="G198" i="15" s="1"/>
  <c r="G197" i="15" a="1"/>
  <c r="G197" i="15" s="1"/>
  <c r="G196" i="15" a="1"/>
  <c r="G196" i="15" s="1"/>
  <c r="G195" i="15" a="1"/>
  <c r="G195" i="15" s="1"/>
  <c r="G189" i="15" a="1"/>
  <c r="G189" i="15" s="1"/>
  <c r="G188" i="15" a="1"/>
  <c r="G188" i="15" s="1"/>
  <c r="G187" i="15" a="1"/>
  <c r="G187" i="15" s="1"/>
  <c r="G186" i="15" a="1"/>
  <c r="G186" i="15" s="1"/>
  <c r="G185" i="15" a="1"/>
  <c r="G185" i="15" s="1"/>
  <c r="G179" i="15" a="1"/>
  <c r="G179" i="15" s="1"/>
  <c r="G178" i="15" a="1"/>
  <c r="G178" i="15" s="1"/>
  <c r="G177" i="15" a="1"/>
  <c r="G177" i="15" s="1"/>
  <c r="G176" i="15" a="1"/>
  <c r="G176" i="15" s="1"/>
  <c r="G175" i="15" a="1"/>
  <c r="G175" i="15" s="1"/>
  <c r="G174" i="15" a="1"/>
  <c r="G174" i="15" s="1"/>
  <c r="G173" i="15" a="1"/>
  <c r="G173" i="15" s="1"/>
  <c r="G172" i="15" a="1"/>
  <c r="G172" i="15" s="1"/>
  <c r="G171" i="15" a="1"/>
  <c r="G171" i="15" s="1"/>
  <c r="G170" i="15" a="1"/>
  <c r="G170" i="15" s="1"/>
  <c r="G68" i="15" a="1"/>
  <c r="G68" i="15" s="1"/>
  <c r="G67" i="15" a="1"/>
  <c r="G67" i="15" s="1"/>
  <c r="G66" i="15" a="1"/>
  <c r="G66" i="15" s="1"/>
  <c r="G65" i="15" a="1"/>
  <c r="G65" i="15" s="1"/>
  <c r="G64" i="15" a="1"/>
  <c r="G64" i="15" s="1"/>
  <c r="G63" i="15" a="1"/>
  <c r="G63" i="15" s="1"/>
  <c r="G62" i="15" a="1"/>
  <c r="G62" i="15" s="1"/>
  <c r="G61" i="15" a="1"/>
  <c r="G61" i="15" s="1"/>
  <c r="G60" i="15" a="1"/>
  <c r="G60" i="15" s="1"/>
  <c r="G59" i="15" a="1"/>
  <c r="G59" i="15" s="1"/>
  <c r="G58" i="15" a="1"/>
  <c r="G58" i="15" s="1"/>
  <c r="G57" i="15" a="1"/>
  <c r="G57" i="15" s="1"/>
  <c r="G56" i="15" a="1"/>
  <c r="G56" i="15" s="1"/>
  <c r="G55" i="15" a="1"/>
  <c r="G55" i="15" s="1"/>
  <c r="G54" i="15" a="1"/>
  <c r="G54" i="15" s="1"/>
  <c r="G53" i="15" a="1"/>
  <c r="G53" i="15" s="1"/>
  <c r="G52" i="15" a="1"/>
  <c r="G52" i="15" s="1"/>
  <c r="G51" i="15" a="1"/>
  <c r="G51" i="15" s="1"/>
  <c r="G50" i="15" a="1"/>
  <c r="G50" i="15" s="1"/>
  <c r="G49" i="15" a="1"/>
  <c r="G49" i="15" s="1"/>
  <c r="G48" i="15" a="1"/>
  <c r="G48" i="15" s="1"/>
  <c r="G47" i="15" a="1"/>
  <c r="G47" i="15" s="1"/>
  <c r="G46" i="15" a="1"/>
  <c r="G46" i="15" s="1"/>
  <c r="G45" i="15" a="1"/>
  <c r="G45" i="15" s="1"/>
  <c r="G44" i="15" a="1"/>
  <c r="G44" i="15" s="1"/>
  <c r="G43" i="15" a="1"/>
  <c r="G43" i="15" s="1"/>
  <c r="G42" i="15" a="1"/>
  <c r="G42" i="15" s="1"/>
  <c r="G41" i="15" a="1"/>
  <c r="G41" i="15" s="1"/>
  <c r="G40" i="15" a="1"/>
  <c r="G40" i="15" s="1"/>
  <c r="G39" i="15" a="1"/>
  <c r="G39" i="15" s="1"/>
  <c r="G2" i="15"/>
  <c r="G3" i="15"/>
  <c r="G4" i="15"/>
  <c r="G5" i="15"/>
  <c r="G6" i="15"/>
  <c r="G7" i="15"/>
  <c r="G8" i="15"/>
  <c r="G9" i="15"/>
  <c r="G10" i="15"/>
  <c r="G11" i="15"/>
  <c r="G13" i="15"/>
  <c r="G14" i="15"/>
  <c r="G15" i="15"/>
  <c r="G16" i="15"/>
  <c r="G17" i="15"/>
  <c r="G18" i="15"/>
  <c r="G19" i="15"/>
  <c r="G20" i="15"/>
  <c r="G21" i="15"/>
  <c r="G22" i="15"/>
  <c r="G24" i="15"/>
  <c r="G25" i="15"/>
  <c r="G26" i="15"/>
  <c r="G27" i="15"/>
  <c r="G28" i="15"/>
  <c r="G29" i="15"/>
  <c r="G30" i="15"/>
  <c r="G31" i="15"/>
  <c r="G32" i="15"/>
  <c r="G33" i="15"/>
  <c r="G34" i="15"/>
  <c r="E235" i="15"/>
  <c r="E236" i="15"/>
  <c r="E237" i="15"/>
  <c r="E238" i="15"/>
  <c r="E239" i="15"/>
  <c r="E240" i="15"/>
  <c r="E241" i="15"/>
  <c r="E242" i="15"/>
  <c r="E243" i="15"/>
  <c r="E244" i="15"/>
  <c r="G36" i="4" a="1"/>
  <c r="G36" i="4" s="1"/>
  <c r="G35" i="4" a="1"/>
  <c r="G35" i="4" s="1"/>
  <c r="G34" i="4" a="1"/>
  <c r="G34" i="4" s="1"/>
  <c r="G33" i="4" a="1"/>
  <c r="G33" i="4" s="1"/>
  <c r="G32" i="4" a="1"/>
  <c r="G32" i="4" s="1"/>
  <c r="G31" i="4" a="1"/>
  <c r="G31" i="4" s="1"/>
  <c r="G30" i="4" a="1"/>
  <c r="G30" i="4" s="1"/>
  <c r="G29" i="4" a="1"/>
  <c r="G29" i="4" s="1"/>
  <c r="G28" i="4" a="1"/>
  <c r="G28" i="4" s="1"/>
  <c r="G121" i="4" l="1"/>
  <c r="G122" i="4"/>
  <c r="G120" i="4"/>
  <c r="G131" i="4"/>
  <c r="G130" i="4"/>
  <c r="G102" i="4"/>
  <c r="G100" i="4"/>
  <c r="G101" i="4"/>
  <c r="G111" i="4"/>
  <c r="G110" i="4"/>
  <c r="G62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63" i="5"/>
  <c r="G24" i="5"/>
  <c r="G25" i="5"/>
  <c r="G26" i="5"/>
  <c r="G27" i="5"/>
  <c r="G28" i="5"/>
  <c r="G29" i="5"/>
  <c r="G30" i="5"/>
  <c r="G31" i="5"/>
  <c r="G23" i="5"/>
  <c r="G2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3" i="5"/>
  <c r="G2" i="5"/>
  <c r="E36" i="5" l="1"/>
  <c r="G36" i="5" s="1"/>
  <c r="E35" i="5"/>
  <c r="G35" i="5" s="1"/>
  <c r="E34" i="5"/>
  <c r="G34" i="5" s="1"/>
  <c r="E33" i="5"/>
  <c r="G33" i="5" s="1"/>
  <c r="E32" i="5"/>
  <c r="G32" i="5" s="1"/>
  <c r="G2" i="1" a="1"/>
  <c r="G2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86" i="5" a="1"/>
  <c r="G86" i="5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E7" i="12"/>
  <c r="G7" i="12"/>
  <c r="E8" i="12"/>
  <c r="G8" i="12"/>
  <c r="E9" i="12"/>
  <c r="G9" i="12"/>
  <c r="E127" i="12"/>
  <c r="G36" i="11" l="1" a="1"/>
  <c r="G36" i="11" s="1"/>
  <c r="G35" i="11" a="1"/>
  <c r="G35" i="11" s="1"/>
  <c r="G34" i="11" a="1"/>
  <c r="G34" i="11" s="1"/>
  <c r="G33" i="11" a="1"/>
  <c r="G33" i="11" s="1"/>
  <c r="G32" i="11" a="1"/>
  <c r="G32" i="11" s="1"/>
  <c r="E47" i="11"/>
  <c r="E48" i="11"/>
  <c r="E49" i="11"/>
  <c r="E50" i="11"/>
  <c r="E51" i="11"/>
  <c r="E52" i="11"/>
  <c r="E53" i="11"/>
  <c r="E54" i="11"/>
  <c r="E55" i="11"/>
  <c r="E56" i="11"/>
  <c r="G120" i="11"/>
  <c r="G121" i="11"/>
  <c r="G122" i="11"/>
  <c r="G123" i="11"/>
  <c r="G124" i="11"/>
  <c r="G125" i="11"/>
  <c r="G126" i="11"/>
  <c r="G127" i="11"/>
  <c r="G128" i="11"/>
  <c r="G129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2" i="4"/>
  <c r="G3" i="4"/>
  <c r="G4" i="4"/>
  <c r="G5" i="4"/>
  <c r="G12" i="4"/>
  <c r="G13" i="4"/>
  <c r="G14" i="4"/>
  <c r="G15" i="4"/>
  <c r="G16" i="4"/>
  <c r="G7" i="4"/>
  <c r="G8" i="4"/>
  <c r="G9" i="4"/>
  <c r="G10" i="4"/>
  <c r="G96" i="5" a="1"/>
  <c r="G96" i="5" s="1"/>
  <c r="G94" i="5" a="1"/>
  <c r="G94" i="5" s="1"/>
  <c r="G93" i="5" a="1"/>
  <c r="G93" i="5" s="1"/>
  <c r="G92" i="5" a="1"/>
  <c r="G92" i="5" s="1"/>
  <c r="G85" i="5" a="1"/>
  <c r="G85" i="5" s="1"/>
  <c r="G84" i="5" a="1"/>
  <c r="G84" i="5" s="1"/>
  <c r="G83" i="5" a="1"/>
  <c r="G83" i="5" s="1"/>
  <c r="G82" i="5" a="1"/>
  <c r="G82" i="5" s="1"/>
  <c r="C2" i="9"/>
  <c r="C3" i="9"/>
  <c r="G38" i="11" s="1" a="1"/>
  <c r="G38" i="11" s="1"/>
  <c r="C4" i="9"/>
  <c r="C5" i="9"/>
  <c r="G40" i="11" s="1" a="1"/>
  <c r="G40" i="11" s="1"/>
  <c r="C6" i="9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67" i="20" l="1" a="1"/>
  <c r="G67" i="20" s="1"/>
  <c r="G154" i="4" a="1"/>
  <c r="G154" i="4" s="1"/>
  <c r="G175" i="16" a="1"/>
  <c r="G175" i="16" s="1"/>
  <c r="G165" i="16" a="1"/>
  <c r="G165" i="16" s="1"/>
  <c r="G129" i="4" a="1"/>
  <c r="G129" i="4" s="1"/>
  <c r="G229" i="15" a="1"/>
  <c r="G229" i="15" s="1"/>
  <c r="G209" i="15" a="1"/>
  <c r="G209" i="15" s="1"/>
  <c r="G67" i="18" a="1"/>
  <c r="G67" i="18" s="1"/>
  <c r="G210" i="16" a="1"/>
  <c r="G210" i="16" s="1"/>
  <c r="G190" i="16" a="1"/>
  <c r="G190" i="16" s="1"/>
  <c r="G109" i="4" a="1"/>
  <c r="G109" i="4" s="1"/>
  <c r="G94" i="4" a="1"/>
  <c r="G94" i="4" s="1"/>
  <c r="G194" i="15" a="1"/>
  <c r="G194" i="15" s="1"/>
  <c r="G184" i="15" a="1"/>
  <c r="G184" i="15" s="1"/>
  <c r="G22" i="4" a="1"/>
  <c r="G22" i="4" s="1"/>
  <c r="G35" i="16" a="1"/>
  <c r="G35" i="16" s="1"/>
  <c r="G69" i="20" a="1"/>
  <c r="G69" i="20" s="1"/>
  <c r="G152" i="4" a="1"/>
  <c r="G152" i="4" s="1"/>
  <c r="G69" i="18" a="1"/>
  <c r="G69" i="18" s="1"/>
  <c r="G173" i="16" a="1"/>
  <c r="G173" i="16" s="1"/>
  <c r="G163" i="16" a="1"/>
  <c r="G163" i="16" s="1"/>
  <c r="G127" i="4" a="1"/>
  <c r="G127" i="4" s="1"/>
  <c r="G227" i="15" a="1"/>
  <c r="G227" i="15" s="1"/>
  <c r="G207" i="15" a="1"/>
  <c r="G207" i="15" s="1"/>
  <c r="G208" i="16" a="1"/>
  <c r="G208" i="16" s="1"/>
  <c r="G188" i="16" a="1"/>
  <c r="G188" i="16" s="1"/>
  <c r="G37" i="16" a="1"/>
  <c r="G37" i="16" s="1"/>
  <c r="G107" i="4" a="1"/>
  <c r="G107" i="4" s="1"/>
  <c r="G92" i="4" a="1"/>
  <c r="G92" i="4" s="1"/>
  <c r="G192" i="15" a="1"/>
  <c r="G192" i="15" s="1"/>
  <c r="G182" i="15" a="1"/>
  <c r="G182" i="15" s="1"/>
  <c r="G36" i="15" a="1"/>
  <c r="G36" i="15" s="1"/>
  <c r="G24" i="4" a="1"/>
  <c r="G24" i="4" s="1"/>
  <c r="G71" i="20" a="1"/>
  <c r="G71" i="20" s="1"/>
  <c r="G171" i="16" a="1"/>
  <c r="G171" i="16" s="1"/>
  <c r="G161" i="16" a="1"/>
  <c r="G161" i="16" s="1"/>
  <c r="G39" i="16" a="1"/>
  <c r="G39" i="16" s="1"/>
  <c r="G225" i="15" a="1"/>
  <c r="G225" i="15" s="1"/>
  <c r="G205" i="15" a="1"/>
  <c r="G205" i="15" s="1"/>
  <c r="G150" i="4" a="1"/>
  <c r="G150" i="4" s="1"/>
  <c r="G71" i="18" a="1"/>
  <c r="G71" i="18" s="1"/>
  <c r="G206" i="16" a="1"/>
  <c r="G206" i="16" s="1"/>
  <c r="G186" i="16" a="1"/>
  <c r="G186" i="16" s="1"/>
  <c r="G90" i="4" a="1"/>
  <c r="G90" i="4" s="1"/>
  <c r="G190" i="15" a="1"/>
  <c r="G190" i="15" s="1"/>
  <c r="G180" i="15" a="1"/>
  <c r="G180" i="15" s="1"/>
  <c r="G38" i="15" a="1"/>
  <c r="G38" i="15" s="1"/>
  <c r="G26" i="4" a="1"/>
  <c r="G26" i="4" s="1"/>
  <c r="G88" i="5" a="1"/>
  <c r="G88" i="5" s="1"/>
  <c r="G90" i="5" a="1"/>
  <c r="G90" i="5" s="1"/>
  <c r="G37" i="11" a="1"/>
  <c r="G37" i="11" s="1"/>
  <c r="G68" i="20" a="1"/>
  <c r="G68" i="20" s="1"/>
  <c r="G68" i="18" a="1"/>
  <c r="G68" i="18" s="1"/>
  <c r="G209" i="16" a="1"/>
  <c r="G209" i="16" s="1"/>
  <c r="G189" i="16" a="1"/>
  <c r="G189" i="16" s="1"/>
  <c r="G36" i="16" a="1"/>
  <c r="G36" i="16" s="1"/>
  <c r="G108" i="4" a="1"/>
  <c r="G108" i="4" s="1"/>
  <c r="G93" i="4" a="1"/>
  <c r="G93" i="4" s="1"/>
  <c r="G193" i="15" a="1"/>
  <c r="G193" i="15" s="1"/>
  <c r="G183" i="15" a="1"/>
  <c r="G183" i="15" s="1"/>
  <c r="G153" i="4" a="1"/>
  <c r="G153" i="4" s="1"/>
  <c r="G174" i="16" a="1"/>
  <c r="G174" i="16" s="1"/>
  <c r="G164" i="16" a="1"/>
  <c r="G164" i="16" s="1"/>
  <c r="G128" i="4" a="1"/>
  <c r="G128" i="4" s="1"/>
  <c r="G228" i="15" a="1"/>
  <c r="G228" i="15" s="1"/>
  <c r="G208" i="15" a="1"/>
  <c r="G208" i="15" s="1"/>
  <c r="G35" i="15" a="1"/>
  <c r="G35" i="15" s="1"/>
  <c r="G23" i="4" a="1"/>
  <c r="G23" i="4" s="1"/>
  <c r="G70" i="20" a="1"/>
  <c r="G70" i="20" s="1"/>
  <c r="G207" i="16" a="1"/>
  <c r="G207" i="16" s="1"/>
  <c r="G187" i="16" a="1"/>
  <c r="G187" i="16" s="1"/>
  <c r="G106" i="4" a="1"/>
  <c r="G106" i="4" s="1"/>
  <c r="G91" i="4" a="1"/>
  <c r="G91" i="4" s="1"/>
  <c r="G191" i="15" a="1"/>
  <c r="G191" i="15" s="1"/>
  <c r="G181" i="15" a="1"/>
  <c r="G181" i="15" s="1"/>
  <c r="G151" i="4" a="1"/>
  <c r="G151" i="4" s="1"/>
  <c r="G70" i="18" a="1"/>
  <c r="G70" i="18" s="1"/>
  <c r="G172" i="16" a="1"/>
  <c r="G172" i="16" s="1"/>
  <c r="G162" i="16" a="1"/>
  <c r="G162" i="16" s="1"/>
  <c r="G38" i="16" a="1"/>
  <c r="G38" i="16" s="1"/>
  <c r="G126" i="4" a="1"/>
  <c r="G126" i="4" s="1"/>
  <c r="G226" i="15" a="1"/>
  <c r="G226" i="15" s="1"/>
  <c r="G206" i="15" a="1"/>
  <c r="G206" i="15" s="1"/>
  <c r="G37" i="15" a="1"/>
  <c r="G37" i="15" s="1"/>
  <c r="G25" i="4" a="1"/>
  <c r="G25" i="4" s="1"/>
  <c r="G87" i="5" a="1"/>
  <c r="G87" i="5" s="1"/>
  <c r="G89" i="5" a="1"/>
  <c r="G89" i="5" s="1"/>
  <c r="G91" i="5" a="1"/>
  <c r="G91" i="5" s="1"/>
  <c r="G39" i="11" a="1"/>
  <c r="G39" i="11" s="1"/>
  <c r="G41" i="11" a="1"/>
  <c r="G41" i="11" s="1"/>
  <c r="E2" i="8"/>
  <c r="G2" i="8"/>
  <c r="E3" i="8"/>
  <c r="E4" i="8"/>
  <c r="E5" i="8"/>
  <c r="E6" i="8"/>
  <c r="E7" i="8"/>
  <c r="E8" i="8"/>
  <c r="E9" i="8"/>
  <c r="E10" i="8"/>
  <c r="E11" i="8"/>
  <c r="E75" i="8"/>
  <c r="E95" i="5"/>
  <c r="G95" i="5" s="1" a="1"/>
  <c r="G95" i="5" s="1"/>
  <c r="E170" i="4"/>
  <c r="E171" i="4"/>
  <c r="E172" i="4"/>
  <c r="E173" i="4"/>
  <c r="E174" i="4"/>
  <c r="E169" i="4"/>
  <c r="E168" i="4"/>
  <c r="E167" i="4"/>
  <c r="E166" i="4"/>
  <c r="E165" i="4"/>
  <c r="G125" i="4" l="1"/>
  <c r="G105" i="4"/>
  <c r="E77" i="1"/>
  <c r="G77" i="1" s="1" a="1"/>
  <c r="G77" i="1" s="1"/>
  <c r="E49" i="1" l="1"/>
  <c r="G49" i="1" s="1" a="1"/>
  <c r="G49" i="1" s="1"/>
  <c r="E48" i="1"/>
  <c r="G48" i="1" s="1" a="1"/>
  <c r="G48" i="1" s="1"/>
  <c r="E47" i="1"/>
  <c r="G47" i="1" s="1" a="1"/>
  <c r="G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tc={175C4A1D-E8E5-4281-B5E9-870C1EFD228C}</author>
  </authors>
  <commentList>
    <comment ref="B12" authorId="0" shapeId="0" xr:uid="{175C4A1D-E8E5-4281-B5E9-870C1EFD22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tc={4B38348D-2412-48AB-85EB-98C2AD6C779F}</author>
    <author>tc={7CE8BD5C-6E78-468D-9E61-3D1538954366}</author>
  </authors>
  <commentList>
    <comment ref="B110" authorId="0" shapeId="0" xr:uid="{4B38348D-2412-48AB-85EB-98C2AD6C779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>
      </text>
    </comment>
    <comment ref="B115" authorId="1" shapeId="0" xr:uid="{7CE8BD5C-6E78-468D-9E61-3D15389543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purposes of this indicator, significant violations are defined as fines of $100,000 or more.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tc={3CDDC987-37B6-47D0-922E-6EFFE06D4FD4}</author>
    <author>tc={A21B6293-C426-4E1C-9638-9C6EE157FFFB}</author>
    <author>tc={719FFF1C-0543-412D-90B2-E7BD745104B9}</author>
  </authors>
  <commentList>
    <comment ref="B12" authorId="0" shapeId="0" xr:uid="{3CDDC987-37B6-47D0-922E-6EFFE06D4F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"Number of lost workday cases incurred per 200,000 hours worked (or for approximately every 100 employees)."
</t>
      </text>
    </comment>
    <comment ref="B22" authorId="1" shapeId="0" xr:uid="{A21B6293-C426-4E1C-9638-9C6EE157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  <comment ref="B27" authorId="2" shapeId="0" xr:uid="{719FFF1C-0543-412D-90B2-E7BD74510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Number of lost workdays per 100 workers.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tc={D1FD024C-4FCA-9A4D-8EBB-EA95744C9F14}</author>
  </authors>
  <commentList>
    <comment ref="B12" authorId="0" shapeId="0" xr:uid="{D1FD024C-4FCA-9A4D-8EBB-EA95744C9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<sst xmlns="http://schemas.openxmlformats.org/spreadsheetml/2006/main" count="10771" uniqueCount="258">
  <si>
    <t>secondary</t>
  </si>
  <si>
    <t>basic</t>
  </si>
  <si>
    <t>company</t>
  </si>
  <si>
    <t>year</t>
  </si>
  <si>
    <t>raw_value</t>
  </si>
  <si>
    <t>raw_value_units</t>
  </si>
  <si>
    <t>intensive_value</t>
  </si>
  <si>
    <t>intensive_units</t>
  </si>
  <si>
    <t>source</t>
  </si>
  <si>
    <t>health</t>
  </si>
  <si>
    <t>fatalities</t>
  </si>
  <si>
    <t>nee</t>
  </si>
  <si>
    <t>% of workforce</t>
  </si>
  <si>
    <t>https://www.osha.gov/pls/imis/establishment.search?p_logger=1&amp;establishment=Nextera&amp;State=all&amp;officetype=all&amp;Office=all&amp;sitezip=&amp;p_case=all&amp;p_violations_exist=all&amp;startmonth=03&amp;startday=26&amp;startyear=2015&amp;endmonth=03&amp;endday=26&amp;endyear=2020</t>
  </si>
  <si>
    <t>https://www.osha.gov/pls/imis/establishment.inspection_detail?id=1058936.015</t>
  </si>
  <si>
    <t>exc</t>
  </si>
  <si>
    <t>https://www.exeloncorp.com/sustainability/interactive-csr?year=2017&amp;page=1</t>
  </si>
  <si>
    <t>https://www.exeloncorp.com/sustainability/interactive-csr?year=2018&amp;page=1</t>
  </si>
  <si>
    <t>duk</t>
  </si>
  <si>
    <t>https://sustainabilityreport.duke-energy.com/downloads/2018-Duke-Energy-Sustainability-Report-Complete.pdf</t>
  </si>
  <si>
    <t>osha recordable rate (ticr)</t>
  </si>
  <si>
    <t>number of recordable incidents/100 workers</t>
  </si>
  <si>
    <t>incidents/100 workers</t>
  </si>
  <si>
    <t>https://www.exeloncorp.com/sustainability/interactive-csr?year=2015&amp;page=78</t>
  </si>
  <si>
    <t>http://www.nexteraenergy.com/sustainability/overview/about-this-report/by-the-numbers.html</t>
  </si>
  <si>
    <t>https://sustainabilityreport.duke-energy.com/downloads/2018-Duke-Energy-Sustainability-Report-Operations.pdf</t>
  </si>
  <si>
    <t>know</t>
  </si>
  <si>
    <t>training</t>
  </si>
  <si>
    <t>hours</t>
  </si>
  <si>
    <t>hrs/employee</t>
  </si>
  <si>
    <t>http://www.nexteraenergy.com/sustainability/employees.html</t>
  </si>
  <si>
    <t>https://web.archive.org/web/20181222125539/http://www.nexteraenergy.com/sustainability/employees.html</t>
  </si>
  <si>
    <t>https://web.archive.org/web/20180411205329/http://www.nexteraenergy.com/sustainability/employees.html</t>
  </si>
  <si>
    <t>https://www.exeloncorp.com/sustainability/Documents/dwnld_Exelon_CSR%20(1).pdf</t>
  </si>
  <si>
    <t>coned</t>
  </si>
  <si>
    <t>https://www.conedison.com/ehs/2018-sustainability-report/customer-and-community/training-professional-development/</t>
  </si>
  <si>
    <t>polic</t>
  </si>
  <si>
    <t>turnover rate</t>
  </si>
  <si>
    <t>turnover rate as percent of workforce</t>
  </si>
  <si>
    <t>https://sustainabilityreport.duke-energy.com/downloads/2018-Duke-Energy-Sustainability-Report-Workforce-Metrics.pdf</t>
  </si>
  <si>
    <t>lobbying spending</t>
  </si>
  <si>
    <t>$ (total lobbying expenditures)</t>
  </si>
  <si>
    <t>% of operating revenue</t>
  </si>
  <si>
    <t>https://www.opensecrets.org/federal-lobbying/clients/summary?id=D000000477</t>
  </si>
  <si>
    <t>https://www.opensecrets.org/federal-lobbying/clients/summary?id=D000000478</t>
  </si>
  <si>
    <t>https://www.opensecrets.org/federal-lobbying/clients/summary?id=D000000479</t>
  </si>
  <si>
    <t>https://www.opensecrets.org/federal-lobbying/clients/summary?id=D000000480</t>
  </si>
  <si>
    <t>https://www.opensecrets.org/federal-lobbying/clients/summary?id=D000000481</t>
  </si>
  <si>
    <t>https://www.opensecrets.org/federal-lobbying/clients/summary?id=D000000482</t>
  </si>
  <si>
    <t>https://www.opensecrets.org/federal-lobbying/clients/summary?id=D000000483</t>
  </si>
  <si>
    <t>https://www.opensecrets.org/federal-lobbying/clients/summary?id=D000000484</t>
  </si>
  <si>
    <t>https://www.opensecrets.org/federal-lobbying/clients/summary?id=D000000485</t>
  </si>
  <si>
    <t>https://www.opensecrets.org/federal-lobbying/clients/summary?id=D000000486</t>
  </si>
  <si>
    <t>https://www.opensecrets.org/federal-lobbying/clients/summary?id=D000000487</t>
  </si>
  <si>
    <t>https://www.opensecrets.org/federal-lobbying/clients/summary?id=D000000488</t>
  </si>
  <si>
    <t>https://www.opensecrets.org/federal-lobbying/clients/summary?id=D000000489</t>
  </si>
  <si>
    <t>https://www.opensecrets.org/federal-lobbying/clients/summary?id=D000000490</t>
  </si>
  <si>
    <t>https://www.opensecrets.org/federal-lobbying/clients/summary?id=D000000491</t>
  </si>
  <si>
    <t>https://www.opensecrets.org/federal-lobbying/clients/summary?id=D000000492</t>
  </si>
  <si>
    <t>https://www.opensecrets.org/federal-lobbying/clients/summary?id=D000000493</t>
  </si>
  <si>
    <t>https://www.opensecrets.org/federal-lobbying/clients/summary?id=D000000368</t>
  </si>
  <si>
    <t>https://www.opensecrets.org/federal-lobbying/clients/summary?id=D000000369</t>
  </si>
  <si>
    <t>https://www.opensecrets.org/federal-lobbying/clients/summary?id=D000000370</t>
  </si>
  <si>
    <t>https://www.opensecrets.org/federal-lobbying/clients/summary?id=D000000371</t>
  </si>
  <si>
    <t>https://www.opensecrets.org/federal-lobbying/clients/summary?id=D000000372</t>
  </si>
  <si>
    <t>https://www.opensecrets.org/federal-lobbying/clients/summary?id=D000000373</t>
  </si>
  <si>
    <t>https://www.opensecrets.org/federal-lobbying/clients/summary?id=D000000374</t>
  </si>
  <si>
    <t>https://www.opensecrets.org/federal-lobbying/clients/summary?id=D000000375</t>
  </si>
  <si>
    <t>https://www.opensecrets.org/federal-lobbying/clients/summary?id=D000000376</t>
  </si>
  <si>
    <t>https://www.opensecrets.org/federal-lobbying/clients/summary?id=D000000377</t>
  </si>
  <si>
    <t>https://www.opensecrets.org/federal-lobbying/clients/summary?id=D000000378</t>
  </si>
  <si>
    <t>https://www.opensecrets.org/federal-lobbying/clients/summary?id=D000000379</t>
  </si>
  <si>
    <t>https://www.opensecrets.org/federal-lobbying/clients/summary?id=D000000380</t>
  </si>
  <si>
    <t>https://www.opensecrets.org/federal-lobbying/clients/summary?id=D000000381</t>
  </si>
  <si>
    <t>https://www.opensecrets.org/federal-lobbying/clients/summary?id=D000000382</t>
  </si>
  <si>
    <t>https://www.opensecrets.org/federal-lobbying/clients/summary?id=D000000383</t>
  </si>
  <si>
    <t>https://www.opensecrets.org/federal-lobbying/clients/summary?id=D000000321</t>
  </si>
  <si>
    <t>https://www.opensecrets.org/federal-lobbying/clients/summary?id=D000000322</t>
  </si>
  <si>
    <t>https://www.opensecrets.org/federal-lobbying/clients/summary?id=D000000323</t>
  </si>
  <si>
    <t>https://www.opensecrets.org/federal-lobbying/clients/summary?id=D000000324</t>
  </si>
  <si>
    <t>https://www.opensecrets.org/federal-lobbying/clients/summary?id=D000000325</t>
  </si>
  <si>
    <t>https://www.opensecrets.org/federal-lobbying/clients/summary?id=D000000326</t>
  </si>
  <si>
    <t>https://www.opensecrets.org/federal-lobbying/clients/summary?id=D000000327</t>
  </si>
  <si>
    <t>https://www.opensecrets.org/federal-lobbying/clients/summary?id=D000000328</t>
  </si>
  <si>
    <t>https://www.opensecrets.org/federal-lobbying/clients/summary?id=D000000329</t>
  </si>
  <si>
    <t>https://www.opensecrets.org/federal-lobbying/clients/summary?id=D000000330</t>
  </si>
  <si>
    <t>https://www.opensecrets.org/federal-lobbying/clients/summary?id=D000000331</t>
  </si>
  <si>
    <t>https://www.opensecrets.org/federal-lobbying/clients/summary?id=D000000332</t>
  </si>
  <si>
    <t>https://www.opensecrets.org/federal-lobbying/clients/summary?id=D000000333</t>
  </si>
  <si>
    <t>https://www.opensecrets.org/federal-lobbying/clients/summary?id=D000000334</t>
  </si>
  <si>
    <t>https://www.opensecrets.org/federal-lobbying/clients/summary?id=D000000335</t>
  </si>
  <si>
    <t>https://www.opensecrets.org/federal-lobbying/clients/summary?id=D000000336</t>
  </si>
  <si>
    <t>https://www.opensecrets.org/federal-lobbying/clients/summary?id=D000000337</t>
  </si>
  <si>
    <t>https://www.opensecrets.org/federal-lobbying/clients/summary?id=D000000338</t>
  </si>
  <si>
    <t>https://www.opensecrets.org/federal-lobbying/clients/summary?cycle=2019&amp;id=D000025111</t>
  </si>
  <si>
    <t>https://www.opensecrets.org/federal-lobbying/clients/summary?cycle=2019&amp;id=D000025112</t>
  </si>
  <si>
    <t>https://www.opensecrets.org/federal-lobbying/clients/summary?cycle=2019&amp;id=D000025113</t>
  </si>
  <si>
    <t>https://www.opensecrets.org/federal-lobbying/clients/summary?cycle=2019&amp;id=D000025114</t>
  </si>
  <si>
    <t>https://www.opensecrets.org/federal-lobbying/clients/summary?cycle=2019&amp;id=D000025115</t>
  </si>
  <si>
    <t>https://www.opensecrets.org/federal-lobbying/clients/summary?cycle=2019&amp;id=D000025116</t>
  </si>
  <si>
    <t>https://www.opensecrets.org/federal-lobbying/clients/summary?cycle=2019&amp;id=D000025117</t>
  </si>
  <si>
    <t>https://www.opensecrets.org/federal-lobbying/clients/summary?cycle=2019&amp;id=D000025118</t>
  </si>
  <si>
    <t>https://www.opensecrets.org/federal-lobbying/clients/summary?cycle=2019&amp;id=D000025119</t>
  </si>
  <si>
    <t>https://www.opensecrets.org/federal-lobbying/clients/summary?cycle=2019&amp;id=D000025120</t>
  </si>
  <si>
    <t>https://www.opensecrets.org/federal-lobbying/clients/summary?cycle=2019&amp;id=D000025121</t>
  </si>
  <si>
    <t>https://www.opensecrets.org/federal-lobbying/clients/summary?cycle=2019&amp;id=D000025122</t>
  </si>
  <si>
    <t>https://www.opensecrets.org/federal-lobbying/clients/summary?cycle=2019&amp;id=D000025123</t>
  </si>
  <si>
    <t>https://www.opensecrets.org/federal-lobbying/clients/summary?cycle=2019&amp;id=D000025124</t>
  </si>
  <si>
    <t>https://www.opensecrets.org/federal-lobbying/clients/summary?cycle=2019&amp;id=D000025125</t>
  </si>
  <si>
    <t>https://www.opensecrets.org/federal-lobbying/clients/summary?cycle=2019&amp;id=D000025126</t>
  </si>
  <si>
    <t>charitable giving</t>
  </si>
  <si>
    <t>$ (total chartiable giving)</t>
  </si>
  <si>
    <t>https://sustainabilityreport.duke-energy.com/2018/</t>
  </si>
  <si>
    <t>https://sustainabilityreport.duke-energy.com/2017/</t>
  </si>
  <si>
    <t>https://sustainabilityreport.duke-energy.com/2016/</t>
  </si>
  <si>
    <t>https://sustainabilityreport.duke-energy.com/2015/</t>
  </si>
  <si>
    <t>https://sustainabilityreport.duke-energy.com/2014/</t>
  </si>
  <si>
    <t>https://www.coned.com/en/community-affairs/partnerships/conedison-grants-volunteerism</t>
  </si>
  <si>
    <t>-</t>
  </si>
  <si>
    <t>https://web.archive.org/web/20170508030716/https://www.coned.com/en/community-affairs/partnerships/conedison-grants-volunteerism</t>
  </si>
  <si>
    <t>volunteer hours</t>
  </si>
  <si>
    <t>air</t>
  </si>
  <si>
    <t>clean generation</t>
  </si>
  <si>
    <t>% annual generation coal</t>
  </si>
  <si>
    <t>% generated</t>
  </si>
  <si>
    <t>https://www.mjbradley.com/content/emissions-benchmarking-generation-charts</t>
  </si>
  <si>
    <t>2018 annual report</t>
  </si>
  <si>
    <t>https://www.exeloncorp.com/companies/exelon-generation</t>
  </si>
  <si>
    <t>CO2 emissions</t>
  </si>
  <si>
    <t>tons</t>
  </si>
  <si>
    <t>tons/MWh</t>
  </si>
  <si>
    <t>https://mjbradley.com/content/benchmarking-air-emissions-past-reports#overlay-context=content/benchmarking-air-emissions-past-reports</t>
  </si>
  <si>
    <t>Hg emissions</t>
  </si>
  <si>
    <t>NOx emissions</t>
  </si>
  <si>
    <t>SO2 emissions</t>
  </si>
  <si>
    <t>land</t>
  </si>
  <si>
    <t>spills</t>
  </si>
  <si>
    <t>number of reportable spills</t>
  </si>
  <si>
    <t>spills/MWh</t>
  </si>
  <si>
    <t>https://sustainabilityreport.duke-energy.com/downloads/2014-Duke-Energy-Sustainability-Report-Complete.pdf</t>
  </si>
  <si>
    <t>https://sustainabilityreport.duke-energy.com/downloads/2015-Duke-Energy-Sustainability-Report-Complete.pdf</t>
  </si>
  <si>
    <t>https://sustainabilityreport.duke-energy.com/downloads/2016-Duke-Energy-Sustainability-Report-Complete.pdf</t>
  </si>
  <si>
    <t>https://sustainabilityreport.duke-energy.com/downloads/2017-Duke-Energy-Sustainability-Report-Complete.pdf</t>
  </si>
  <si>
    <t>solid waste (non-hazardous)</t>
  </si>
  <si>
    <t>https://sustainabilityreport.duke-energy.com/operations/environmental-performance-metrics/</t>
  </si>
  <si>
    <t>hazardous waste</t>
  </si>
  <si>
    <t>https://www.exeloncorp.com/sustainability/Documents/EEI-and-AGA-ESG-Template.pdf</t>
  </si>
  <si>
    <t>water</t>
  </si>
  <si>
    <t>total water withdrawal</t>
  </si>
  <si>
    <t>gallons of water</t>
  </si>
  <si>
    <t>gallons/MWh</t>
  </si>
  <si>
    <t>https://www.exeloncorp.com/sustainability/interactive-csr?year=2015&amp;page=74</t>
  </si>
  <si>
    <t>https://www.exeloncorp.com/sustainability/interactive-csr?year=2015&amp;page=75</t>
  </si>
  <si>
    <t>https://www.exeloncorp.com/sustainability/interactive-csr?year=2015&amp;page=76</t>
  </si>
  <si>
    <t>https://www.exeloncorp.com/sustainability/interactive-csr?year=2015&amp;page=77</t>
  </si>
  <si>
    <t>percent water consumed</t>
  </si>
  <si>
    <t>%</t>
  </si>
  <si>
    <t>status</t>
  </si>
  <si>
    <t>roe</t>
  </si>
  <si>
    <t>https://financialmodelingprep.com/developer/docs/financial-statement-free-api</t>
  </si>
  <si>
    <t>roa</t>
  </si>
  <si>
    <t>pressure</t>
  </si>
  <si>
    <t>debt to equity ratio</t>
  </si>
  <si>
    <t>effective tax rate</t>
  </si>
  <si>
    <t>operating expenses</t>
  </si>
  <si>
    <t>$/MWhr</t>
  </si>
  <si>
    <t>http://www.investor.nexteraenergy.com/~/media/Files/N/NEE-IR/reports-and-fillings/annual-reports/NextEra%20Energy_Annual_Report_2018.pdf p63</t>
  </si>
  <si>
    <t>http://www.investor.nexteraenergy.com/~/media/Files/N/NEE-IR/reports-and-fillings/annual-reports/nextera-energy-2016-annual-report.pdf p.66</t>
  </si>
  <si>
    <t>https://www.duke-energy.com/annual-report/_/media/pdfs/our-company/investors/de-annual-reports/2018/2018-duke-energy-annual-report.pdf?la=en p.85</t>
  </si>
  <si>
    <t>https://www.duke-energy.com/_/media/pdfs/our-company/investors/de-annual-reports/2016/2017dukeenergy10k.pdf?la=en p.68</t>
  </si>
  <si>
    <t>http://www.annualreports.com/Company/exelon-corporation p220</t>
  </si>
  <si>
    <t>http://www.annualreports.com/HostedData/AnnualReportArchive/e/NYSE_EXC_2015.pdf p.84</t>
  </si>
  <si>
    <t>http://www.annualreports.com/HostedData/AnnualReportArchive/e/NYSE_EXC_2015.pdf p.85</t>
  </si>
  <si>
    <t>response</t>
  </si>
  <si>
    <t>CF/CAPEX</t>
  </si>
  <si>
    <t>dividend payout ratio</t>
  </si>
  <si>
    <t>Source</t>
  </si>
  <si>
    <t>each annual report</t>
  </si>
  <si>
    <t>Unit</t>
  </si>
  <si>
    <t>MWh</t>
  </si>
  <si>
    <t>https://www.exeloncorp.com/investor-relations/financials-and-performance</t>
  </si>
  <si>
    <t>https://www.statista.com/statistics/193411/revenue-of-us-utility-duke-energy-since-2006/</t>
  </si>
  <si>
    <t>https://web.archive.org/web/20170505050805/http://www.exeloncorp.com/investor-relations/financials-and-performance</t>
  </si>
  <si>
    <t>sustainability reports</t>
  </si>
  <si>
    <t>annual reports</t>
  </si>
  <si>
    <t>primary indicator</t>
  </si>
  <si>
    <t>secondary indicator</t>
  </si>
  <si>
    <t>basic indicator</t>
  </si>
  <si>
    <t>which is better?</t>
  </si>
  <si>
    <t>maximum value</t>
  </si>
  <si>
    <t>critical value</t>
  </si>
  <si>
    <t>target value</t>
  </si>
  <si>
    <t>hums</t>
  </si>
  <si>
    <t>lower is better</t>
  </si>
  <si>
    <t>lower critical</t>
  </si>
  <si>
    <t>lower target</t>
  </si>
  <si>
    <t>upper critical</t>
  </si>
  <si>
    <t>upper target</t>
  </si>
  <si>
    <t>higher is better</t>
  </si>
  <si>
    <t>knowledge</t>
  </si>
  <si>
    <t>ecos</t>
  </si>
  <si>
    <t>wealth</t>
  </si>
  <si>
    <t>return on equity</t>
  </si>
  <si>
    <t>return on assets</t>
  </si>
  <si>
    <t>middle is better</t>
  </si>
  <si>
    <t>https://www.duke-energy.com/our-company/investors/stock/fundamentals</t>
  </si>
  <si>
    <t>operating expenses on fuel and electricity</t>
  </si>
  <si>
    <t>NOx emissions rates</t>
  </si>
  <si>
    <t>lbs/MWh</t>
  </si>
  <si>
    <t>SO2 emissions rates</t>
  </si>
  <si>
    <t>CO2 emissions rates</t>
  </si>
  <si>
    <t>waste water (reclaimed)</t>
  </si>
  <si>
    <t>billions of gallons</t>
  </si>
  <si>
    <t>total water consumption</t>
  </si>
  <si>
    <t>hazardous waste recycled</t>
  </si>
  <si>
    <t>hazardous waste composted</t>
  </si>
  <si>
    <t>recovered, including energy recovery (hazardous waste)</t>
  </si>
  <si>
    <t>incinerated (mass burn) (hazardous waste)</t>
  </si>
  <si>
    <t>landfilled (hazardous waste)</t>
  </si>
  <si>
    <t>reused (non-hazardous waste)</t>
  </si>
  <si>
    <t>recycled (non-hazardous waste)</t>
  </si>
  <si>
    <t>composted (non-hazardous waste)</t>
  </si>
  <si>
    <t>recovered, including energy recovery (non-hazardous waste)</t>
  </si>
  <si>
    <t>landfilled (non-hazardous waste)</t>
  </si>
  <si>
    <t>significant spills</t>
  </si>
  <si>
    <t>significant environmental violations</t>
  </si>
  <si>
    <t>violations</t>
  </si>
  <si>
    <t>benefits</t>
  </si>
  <si>
    <t>lost workday</t>
  </si>
  <si>
    <t>pg&amp;e</t>
  </si>
  <si>
    <t>cases/200,000hours</t>
  </si>
  <si>
    <t>http://www.pgecorp.com/corp_responsibility/reports/2018/sa03_workplace_safety.html</t>
  </si>
  <si>
    <t>http://www.pgecorp.com/corp_responsibility/reports/2019/downloads.html</t>
  </si>
  <si>
    <t>fatalities/total employees</t>
  </si>
  <si>
    <t>lost workday rate (twcr)</t>
  </si>
  <si>
    <t>dollars</t>
  </si>
  <si>
    <t>training ?????</t>
  </si>
  <si>
    <t>2018 sus report</t>
  </si>
  <si>
    <t>spills/Wh</t>
  </si>
  <si>
    <t>tons/Wh</t>
  </si>
  <si>
    <t>solid waste</t>
  </si>
  <si>
    <t>gallons/Wh</t>
  </si>
  <si>
    <t>CF_CAPEX</t>
  </si>
  <si>
    <t>% coal generation</t>
  </si>
  <si>
    <t>unitless</t>
  </si>
  <si>
    <t>% of workforce * 100</t>
  </si>
  <si>
    <t>$/MWh</t>
  </si>
  <si>
    <t>https://www.southerncompany.com/content/dam/southern-company/pdf/corpresponsibility/2018_Corporate_Responsibility_Report.pdf</t>
  </si>
  <si>
    <t>so</t>
  </si>
  <si>
    <t>https://www.southerncompany.com/content/dam/southern-company/pdf/corpresponsibility/2017_Corporate_Responsibility_Report.pdf</t>
  </si>
  <si>
    <t>https://www.southerncompany.com/content/dam/southern-company/pdf/corpresponsibility/2016_Corporate_Responsibility_Report.pdf</t>
  </si>
  <si>
    <t>https://investor.southerncompany.com/information-for-investors/latest-news/latest-news-releases/press-release-details/2015/Southern-Company-reports-fourth-quarter-and-full-year-2014-earnings/</t>
  </si>
  <si>
    <t>https://southerncompany.mediaroom.com/2016-02-03-Southern-Company-reports-fourth-quarter-and-full-year-2015-earnings</t>
  </si>
  <si>
    <t>https://www.southerncompany.com/about-us/facts-and-figures0.html</t>
  </si>
  <si>
    <t>opensecrets</t>
  </si>
  <si>
    <t>https://www.southerncompany.com/corporate-responsibility/environment/energy-mix.html</t>
  </si>
  <si>
    <t>http://www.annualreports.com/HostedData/AnnualReports/PDF/NYSE_SO_2018.pdf</t>
  </si>
  <si>
    <t>tons 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</si>
</sst>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"/>
    <numFmt numFmtId="165" formatCode="0.000000"/>
    <numFmt numFmtId="166" formatCode="_(* #,##0_);_(* \(#,##0\);_(* &quot;-&quot;??_);_(@_)"/>
  </numFmts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Roman"/>
    </font>
    <font>
      <u/>
      <sz val="11"/>
      <color theme="10"/>
      <name val="Times Roman"/>
    </font>
    <font>
      <sz val="11"/>
      <color theme="0" tint="-0.499984740745262"/>
      <name val="Times Roman"/>
    </font>
    <font>
      <sz val="11"/>
      <color rgb="FFFF0000"/>
      <name val="Times Roman"/>
    </font>
    <font>
      <sz val="11"/>
      <color rgb="FF000000"/>
      <name val="Times Roman"/>
    </font>
    <font>
      <sz val="11"/>
      <color rgb="FFE7E6E6"/>
      <name val="Times Roman"/>
    </font>
    <font>
      <sz val="11"/>
      <color theme="0" tint="-0.14999847407452621"/>
      <name val="Times Roman"/>
    </font>
    <font>
      <sz val="11"/>
      <color theme="0" tint="-4.9989318521683403E-2"/>
      <name val="Times Roman"/>
    </font>
    <font>
      <sz val="12"/>
      <color theme="1"/>
      <name val="Times Roman"/>
    </font>
    <font>
      <sz val="11"/>
      <color theme="2" tint="-9.9978637043366805E-2"/>
      <name val="Times Roman"/>
    </font>
    <font>
      <sz val="10"/>
      <name val="Arial"/>
      <family val="2"/>
    </font>
    <font>
      <b/>
      <sz val="11"/>
      <color theme="1"/>
      <name val="Times Roman"/>
    </font>
    <font>
      <sz val="12"/>
      <color theme="1"/>
      <name val="Calibri"/>
      <family val="2"/>
      <scheme val="minor"/>
    </font>
    <font>
      <sz val="11"/>
      <color rgb="FF000000"/>
      <name val="Times"/>
      <family val="1"/>
    </font>
    <font>
      <sz val="12"/>
      <color theme="1"/>
      <name val="Times"/>
      <family val="1"/>
    </font>
    <font>
      <sz val="10.5"/>
      <color theme="1"/>
      <name val="Times"/>
      <family val="1"/>
    </font>
    <font>
      <b/>
      <sz val="11"/>
      <color rgb="FF000000"/>
      <name val="Times Roman"/>
    </font>
    <font>
      <sz val="8"/>
      <name val="Arial"/>
    </font>
    <font>
      <sz val="10"/>
      <color theme="1"/>
      <name val="Arial Unicode MS"/>
    </font>
    <font>
      <sz val="11"/>
      <name val="Times Roman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233">
    <xf numFmtId="0" fontId="0" fillId="0" borderId="0" xfId="0"/>
    <xf numFmtId="0" fontId="2" fillId="0" borderId="0" xfId="0" applyFont="1"/>
    <xf numFmtId="43" fontId="2" fillId="0" borderId="0" xfId="0" applyNumberFormat="1" applyFont="1"/>
    <xf numFmtId="0" fontId="3" fillId="0" borderId="0" xfId="1" applyFont="1"/>
    <xf numFmtId="0" fontId="4" fillId="0" borderId="0" xfId="0" applyFont="1"/>
    <xf numFmtId="43" fontId="2" fillId="0" borderId="0" xfId="0" applyNumberFormat="1" applyFont="1" applyAlignment="1">
      <alignment horizontal="center"/>
    </xf>
    <xf numFmtId="6" fontId="3" fillId="0" borderId="0" xfId="1" applyNumberFormat="1" applyFont="1"/>
    <xf numFmtId="0" fontId="6" fillId="0" borderId="0" xfId="0" applyFont="1"/>
    <xf numFmtId="2" fontId="2" fillId="0" borderId="0" xfId="0" applyNumberFormat="1" applyFont="1"/>
    <xf numFmtId="0" fontId="1" fillId="0" borderId="0" xfId="1"/>
    <xf numFmtId="0" fontId="2" fillId="2" borderId="0" xfId="0" applyFont="1" applyFill="1"/>
    <xf numFmtId="43" fontId="2" fillId="2" borderId="0" xfId="0" applyNumberFormat="1" applyFont="1" applyFill="1"/>
    <xf numFmtId="0" fontId="2" fillId="0" borderId="0" xfId="0" applyFont="1" applyFill="1"/>
    <xf numFmtId="0" fontId="7" fillId="0" borderId="0" xfId="0" applyFont="1"/>
    <xf numFmtId="2" fontId="6" fillId="0" borderId="0" xfId="0" applyNumberFormat="1" applyFont="1"/>
    <xf numFmtId="43" fontId="6" fillId="0" borderId="0" xfId="0" applyNumberFormat="1" applyFont="1"/>
    <xf numFmtId="0" fontId="2" fillId="0" borderId="0" xfId="1" applyFont="1"/>
    <xf numFmtId="0" fontId="2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43" fontId="8" fillId="0" borderId="0" xfId="0" applyNumberFormat="1" applyFont="1"/>
    <xf numFmtId="2" fontId="6" fillId="3" borderId="0" xfId="0" applyNumberFormat="1" applyFont="1" applyFill="1"/>
    <xf numFmtId="0" fontId="2" fillId="0" borderId="0" xfId="0" applyFont="1" applyAlignment="1">
      <alignment horizontal="right"/>
    </xf>
    <xf numFmtId="43" fontId="2" fillId="3" borderId="0" xfId="0" applyNumberFormat="1" applyFont="1" applyFill="1"/>
    <xf numFmtId="0" fontId="5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65" fontId="2" fillId="3" borderId="0" xfId="0" applyNumberFormat="1" applyFont="1" applyFill="1"/>
    <xf numFmtId="0" fontId="2" fillId="3" borderId="0" xfId="1" applyFont="1" applyFill="1"/>
    <xf numFmtId="0" fontId="11" fillId="0" borderId="0" xfId="0" applyFont="1"/>
    <xf numFmtId="43" fontId="11" fillId="0" borderId="0" xfId="0" applyNumberFormat="1" applyFont="1"/>
    <xf numFmtId="0" fontId="10" fillId="0" borderId="0" xfId="1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6" fontId="2" fillId="0" borderId="0" xfId="1" applyNumberFormat="1" applyFont="1"/>
    <xf numFmtId="0" fontId="11" fillId="0" borderId="0" xfId="1" applyFont="1"/>
    <xf numFmtId="0" fontId="2" fillId="2" borderId="0" xfId="1" applyFont="1" applyFill="1"/>
    <xf numFmtId="0" fontId="6" fillId="3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0" fontId="6" fillId="4" borderId="0" xfId="0" applyFont="1" applyFill="1"/>
    <xf numFmtId="2" fontId="6" fillId="4" borderId="0" xfId="0" applyNumberFormat="1" applyFont="1" applyFill="1"/>
    <xf numFmtId="0" fontId="7" fillId="4" borderId="0" xfId="0" applyFont="1" applyFill="1"/>
    <xf numFmtId="0" fontId="2" fillId="0" borderId="0" xfId="0" applyFont="1" applyFill="1" applyBorder="1"/>
    <xf numFmtId="0" fontId="2" fillId="5" borderId="0" xfId="0" applyFont="1" applyFill="1"/>
    <xf numFmtId="2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2" fontId="6" fillId="5" borderId="0" xfId="0" applyNumberFormat="1" applyFont="1" applyFill="1"/>
    <xf numFmtId="0" fontId="7" fillId="5" borderId="0" xfId="0" applyFont="1" applyFill="1"/>
    <xf numFmtId="0" fontId="2" fillId="5" borderId="0" xfId="1" applyFont="1" applyFill="1"/>
    <xf numFmtId="0" fontId="2" fillId="7" borderId="0" xfId="0" applyFont="1" applyFill="1"/>
    <xf numFmtId="0" fontId="2" fillId="0" borderId="0" xfId="0" applyNumberFormat="1" applyFont="1"/>
    <xf numFmtId="44" fontId="2" fillId="0" borderId="0" xfId="0" applyNumberFormat="1" applyFont="1"/>
    <xf numFmtId="44" fontId="2" fillId="0" borderId="0" xfId="3" applyNumberFormat="1" applyFont="1"/>
    <xf numFmtId="0" fontId="2" fillId="0" borderId="0" xfId="0" applyFont="1" applyFill="1" applyAlignment="1">
      <alignment horizontal="left"/>
    </xf>
    <xf numFmtId="0" fontId="13" fillId="9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1" xfId="0" applyFont="1" applyFill="1" applyBorder="1"/>
    <xf numFmtId="0" fontId="13" fillId="0" borderId="0" xfId="0" applyFont="1" applyFill="1" applyBorder="1"/>
    <xf numFmtId="166" fontId="2" fillId="0" borderId="0" xfId="0" applyNumberFormat="1" applyFont="1"/>
    <xf numFmtId="166" fontId="2" fillId="0" borderId="0" xfId="2" applyNumberFormat="1" applyFont="1" applyAlignment="1">
      <alignment horizontal="center"/>
    </xf>
    <xf numFmtId="0" fontId="2" fillId="0" borderId="9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2" fillId="6" borderId="0" xfId="0" applyNumberFormat="1" applyFont="1" applyFill="1" applyBorder="1"/>
    <xf numFmtId="0" fontId="2" fillId="6" borderId="0" xfId="1" applyFont="1" applyFill="1" applyBorder="1"/>
    <xf numFmtId="43" fontId="2" fillId="6" borderId="0" xfId="0" applyNumberFormat="1" applyFont="1" applyFill="1" applyBorder="1"/>
    <xf numFmtId="0" fontId="2" fillId="7" borderId="10" xfId="0" applyFont="1" applyFill="1" applyBorder="1"/>
    <xf numFmtId="0" fontId="2" fillId="7" borderId="0" xfId="0" applyFont="1" applyFill="1" applyBorder="1"/>
    <xf numFmtId="0" fontId="2" fillId="7" borderId="0" xfId="0" applyNumberFormat="1" applyFont="1" applyFill="1" applyBorder="1"/>
    <xf numFmtId="43" fontId="2" fillId="7" borderId="0" xfId="0" applyNumberFormat="1" applyFont="1" applyFill="1" applyBorder="1"/>
    <xf numFmtId="0" fontId="2" fillId="7" borderId="0" xfId="1" applyFont="1" applyFill="1" applyBorder="1"/>
    <xf numFmtId="0" fontId="2" fillId="7" borderId="11" xfId="0" applyFont="1" applyFill="1" applyBorder="1"/>
    <xf numFmtId="0" fontId="2" fillId="7" borderId="7" xfId="0" applyFont="1" applyFill="1" applyBorder="1"/>
    <xf numFmtId="0" fontId="2" fillId="7" borderId="7" xfId="0" applyNumberFormat="1" applyFont="1" applyFill="1" applyBorder="1"/>
    <xf numFmtId="43" fontId="2" fillId="7" borderId="7" xfId="0" applyNumberFormat="1" applyFont="1" applyFill="1" applyBorder="1"/>
    <xf numFmtId="0" fontId="2" fillId="7" borderId="7" xfId="1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9" xfId="1" applyFont="1" applyFill="1" applyBorder="1"/>
    <xf numFmtId="0" fontId="8" fillId="8" borderId="9" xfId="0" applyFont="1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NumberFormat="1" applyFont="1" applyFill="1" applyBorder="1"/>
    <xf numFmtId="0" fontId="2" fillId="8" borderId="0" xfId="1" applyFont="1" applyFill="1" applyBorder="1"/>
    <xf numFmtId="0" fontId="8" fillId="8" borderId="0" xfId="0" applyFont="1" applyFill="1" applyBorder="1"/>
    <xf numFmtId="0" fontId="2" fillId="8" borderId="11" xfId="0" applyFont="1" applyFill="1" applyBorder="1"/>
    <xf numFmtId="0" fontId="2" fillId="8" borderId="7" xfId="0" applyFont="1" applyFill="1" applyBorder="1"/>
    <xf numFmtId="0" fontId="2" fillId="8" borderId="7" xfId="0" applyNumberFormat="1" applyFont="1" applyFill="1" applyBorder="1"/>
    <xf numFmtId="0" fontId="2" fillId="8" borderId="7" xfId="1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9" xfId="0" applyNumberFormat="1" applyFont="1" applyFill="1" applyBorder="1"/>
    <xf numFmtId="43" fontId="2" fillId="7" borderId="9" xfId="0" applyNumberFormat="1" applyFont="1" applyFill="1" applyBorder="1"/>
    <xf numFmtId="0" fontId="2" fillId="7" borderId="9" xfId="1" applyFont="1" applyFill="1" applyBorder="1"/>
    <xf numFmtId="0" fontId="2" fillId="7" borderId="0" xfId="0" applyNumberFormat="1" applyFont="1" applyFill="1" applyBorder="1" applyAlignment="1">
      <alignment horizontal="right"/>
    </xf>
    <xf numFmtId="0" fontId="2" fillId="7" borderId="7" xfId="0" applyNumberFormat="1" applyFont="1" applyFill="1" applyBorder="1" applyAlignment="1">
      <alignment horizontal="right"/>
    </xf>
    <xf numFmtId="0" fontId="2" fillId="7" borderId="9" xfId="0" applyNumberFormat="1" applyFont="1" applyFill="1" applyBorder="1" applyAlignment="1">
      <alignment horizontal="right"/>
    </xf>
    <xf numFmtId="0" fontId="11" fillId="7" borderId="0" xfId="0" applyFont="1" applyFill="1" applyBorder="1"/>
    <xf numFmtId="0" fontId="2" fillId="8" borderId="9" xfId="0" applyNumberFormat="1" applyFont="1" applyFill="1" applyBorder="1"/>
    <xf numFmtId="43" fontId="2" fillId="8" borderId="9" xfId="0" applyNumberFormat="1" applyFont="1" applyFill="1" applyBorder="1"/>
    <xf numFmtId="43" fontId="2" fillId="8" borderId="0" xfId="0" applyNumberFormat="1" applyFont="1" applyFill="1" applyBorder="1"/>
    <xf numFmtId="43" fontId="2" fillId="8" borderId="7" xfId="0" applyNumberFormat="1" applyFont="1" applyFill="1" applyBorder="1"/>
    <xf numFmtId="0" fontId="10" fillId="7" borderId="9" xfId="1" applyFont="1" applyFill="1" applyBorder="1"/>
    <xf numFmtId="6" fontId="2" fillId="7" borderId="0" xfId="1" applyNumberFormat="1" applyFont="1" applyFill="1" applyBorder="1"/>
    <xf numFmtId="2" fontId="2" fillId="7" borderId="0" xfId="0" applyNumberFormat="1" applyFont="1" applyFill="1" applyBorder="1"/>
    <xf numFmtId="2" fontId="2" fillId="7" borderId="9" xfId="0" applyNumberFormat="1" applyFont="1" applyFill="1" applyBorder="1"/>
    <xf numFmtId="2" fontId="2" fillId="7" borderId="7" xfId="0" applyNumberFormat="1" applyFont="1" applyFill="1" applyBorder="1"/>
    <xf numFmtId="2" fontId="2" fillId="8" borderId="9" xfId="0" applyNumberFormat="1" applyFont="1" applyFill="1" applyBorder="1"/>
    <xf numFmtId="2" fontId="2" fillId="8" borderId="0" xfId="0" applyNumberFormat="1" applyFont="1" applyFill="1" applyBorder="1"/>
    <xf numFmtId="2" fontId="2" fillId="8" borderId="7" xfId="0" applyNumberFormat="1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2" fontId="2" fillId="6" borderId="9" xfId="0" applyNumberFormat="1" applyFont="1" applyFill="1" applyBorder="1"/>
    <xf numFmtId="0" fontId="2" fillId="6" borderId="9" xfId="1" applyFont="1" applyFill="1" applyBorder="1"/>
    <xf numFmtId="2" fontId="2" fillId="6" borderId="0" xfId="0" applyNumberFormat="1" applyFont="1" applyFill="1" applyBorder="1"/>
    <xf numFmtId="2" fontId="2" fillId="8" borderId="9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 vertical="center"/>
    </xf>
    <xf numFmtId="2" fontId="2" fillId="7" borderId="9" xfId="0" applyNumberFormat="1" applyFont="1" applyFill="1" applyBorder="1" applyAlignment="1">
      <alignment horizontal="right"/>
    </xf>
    <xf numFmtId="0" fontId="2" fillId="7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left"/>
    </xf>
    <xf numFmtId="2" fontId="2" fillId="7" borderId="0" xfId="0" applyNumberFormat="1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6" fillId="8" borderId="9" xfId="0" applyFont="1" applyFill="1" applyBorder="1"/>
    <xf numFmtId="0" fontId="6" fillId="8" borderId="0" xfId="0" applyFont="1" applyFill="1" applyBorder="1"/>
    <xf numFmtId="0" fontId="4" fillId="8" borderId="0" xfId="0" applyFont="1" applyFill="1" applyBorder="1"/>
    <xf numFmtId="0" fontId="6" fillId="8" borderId="7" xfId="0" applyFont="1" applyFill="1" applyBorder="1"/>
    <xf numFmtId="0" fontId="5" fillId="8" borderId="7" xfId="0" applyFont="1" applyFill="1" applyBorder="1"/>
    <xf numFmtId="0" fontId="6" fillId="7" borderId="9" xfId="0" applyFont="1" applyFill="1" applyBorder="1"/>
    <xf numFmtId="0" fontId="6" fillId="7" borderId="0" xfId="0" applyFont="1" applyFill="1" applyBorder="1"/>
    <xf numFmtId="0" fontId="6" fillId="7" borderId="7" xfId="0" applyFont="1" applyFill="1" applyBorder="1"/>
    <xf numFmtId="165" fontId="6" fillId="8" borderId="9" xfId="0" applyNumberFormat="1" applyFont="1" applyFill="1" applyBorder="1"/>
    <xf numFmtId="165" fontId="6" fillId="8" borderId="0" xfId="0" applyNumberFormat="1" applyFont="1" applyFill="1" applyBorder="1"/>
    <xf numFmtId="165" fontId="6" fillId="8" borderId="7" xfId="0" applyNumberFormat="1" applyFont="1" applyFill="1" applyBorder="1"/>
    <xf numFmtId="165" fontId="6" fillId="7" borderId="7" xfId="0" applyNumberFormat="1" applyFont="1" applyFill="1" applyBorder="1"/>
    <xf numFmtId="43" fontId="6" fillId="8" borderId="9" xfId="0" applyNumberFormat="1" applyFont="1" applyFill="1" applyBorder="1"/>
    <xf numFmtId="43" fontId="6" fillId="8" borderId="0" xfId="0" applyNumberFormat="1" applyFont="1" applyFill="1" applyBorder="1"/>
    <xf numFmtId="43" fontId="6" fillId="8" borderId="7" xfId="0" applyNumberFormat="1" applyFont="1" applyFill="1" applyBorder="1"/>
    <xf numFmtId="0" fontId="13" fillId="7" borderId="2" xfId="0" applyFont="1" applyFill="1" applyBorder="1"/>
    <xf numFmtId="0" fontId="13" fillId="7" borderId="3" xfId="0" applyFont="1" applyFill="1" applyBorder="1"/>
    <xf numFmtId="43" fontId="18" fillId="7" borderId="3" xfId="0" applyNumberFormat="1" applyFont="1" applyFill="1" applyBorder="1"/>
    <xf numFmtId="2" fontId="13" fillId="7" borderId="3" xfId="0" applyNumberFormat="1" applyFont="1" applyFill="1" applyBorder="1"/>
    <xf numFmtId="0" fontId="13" fillId="7" borderId="0" xfId="0" applyFont="1" applyFill="1"/>
    <xf numFmtId="0" fontId="13" fillId="7" borderId="0" xfId="0" applyNumberFormat="1" applyFont="1" applyFill="1"/>
    <xf numFmtId="0" fontId="2" fillId="8" borderId="0" xfId="0" applyFont="1" applyFill="1"/>
    <xf numFmtId="2" fontId="2" fillId="7" borderId="0" xfId="0" applyNumberFormat="1" applyFont="1" applyFill="1"/>
    <xf numFmtId="0" fontId="2" fillId="7" borderId="0" xfId="1" applyFont="1" applyFill="1"/>
    <xf numFmtId="2" fontId="2" fillId="7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12" xfId="0" applyFont="1" applyFill="1" applyBorder="1"/>
    <xf numFmtId="0" fontId="2" fillId="7" borderId="13" xfId="0" applyFont="1" applyFill="1" applyBorder="1"/>
    <xf numFmtId="2" fontId="2" fillId="7" borderId="13" xfId="0" applyNumberFormat="1" applyFont="1" applyFill="1" applyBorder="1"/>
    <xf numFmtId="0" fontId="5" fillId="8" borderId="9" xfId="0" applyFont="1" applyFill="1" applyBorder="1"/>
    <xf numFmtId="0" fontId="6" fillId="8" borderId="0" xfId="0" applyFont="1" applyFill="1"/>
    <xf numFmtId="0" fontId="2" fillId="8" borderId="0" xfId="1" applyFont="1" applyFill="1"/>
    <xf numFmtId="0" fontId="6" fillId="7" borderId="0" xfId="0" applyFont="1" applyFill="1"/>
    <xf numFmtId="0" fontId="1" fillId="8" borderId="0" xfId="1" applyFill="1" applyBorder="1"/>
    <xf numFmtId="44" fontId="2" fillId="0" borderId="0" xfId="3" applyFont="1"/>
    <xf numFmtId="2" fontId="2" fillId="0" borderId="0" xfId="3" applyNumberFormat="1" applyFont="1"/>
    <xf numFmtId="1" fontId="2" fillId="0" borderId="0" xfId="3" applyNumberFormat="1" applyFont="1"/>
    <xf numFmtId="1" fontId="2" fillId="0" borderId="0" xfId="0" applyNumberFormat="1" applyFont="1"/>
    <xf numFmtId="0" fontId="2" fillId="6" borderId="0" xfId="0" applyFont="1" applyFill="1"/>
    <xf numFmtId="0" fontId="2" fillId="6" borderId="0" xfId="0" applyNumberFormat="1" applyFont="1" applyFill="1"/>
    <xf numFmtId="2" fontId="2" fillId="6" borderId="0" xfId="0" applyNumberFormat="1" applyFont="1" applyFill="1"/>
    <xf numFmtId="0" fontId="0" fillId="6" borderId="0" xfId="0" applyFill="1"/>
    <xf numFmtId="0" fontId="1" fillId="7" borderId="13" xfId="1" applyFill="1" applyBorder="1"/>
    <xf numFmtId="0" fontId="2" fillId="12" borderId="0" xfId="0" applyFont="1" applyFill="1" applyBorder="1"/>
    <xf numFmtId="2" fontId="2" fillId="12" borderId="0" xfId="0" applyNumberFormat="1" applyFont="1" applyFill="1" applyBorder="1"/>
    <xf numFmtId="0" fontId="2" fillId="12" borderId="0" xfId="0" applyFont="1" applyFill="1"/>
    <xf numFmtId="2" fontId="2" fillId="12" borderId="0" xfId="0" applyNumberFormat="1" applyFont="1" applyFill="1"/>
    <xf numFmtId="0" fontId="1" fillId="7" borderId="0" xfId="1" applyFill="1" applyBorder="1"/>
    <xf numFmtId="0" fontId="2" fillId="12" borderId="9" xfId="0" applyFont="1" applyFill="1" applyBorder="1"/>
    <xf numFmtId="0" fontId="2" fillId="12" borderId="13" xfId="0" applyFont="1" applyFill="1" applyBorder="1"/>
    <xf numFmtId="43" fontId="2" fillId="12" borderId="0" xfId="4" applyFont="1" applyFill="1"/>
    <xf numFmtId="43" fontId="2" fillId="12" borderId="0" xfId="0" applyNumberFormat="1" applyFont="1" applyFill="1"/>
    <xf numFmtId="166" fontId="19" fillId="13" borderId="0" xfId="2" applyNumberFormat="1" applyFont="1" applyFill="1" applyAlignment="1">
      <alignment horizontal="center"/>
    </xf>
    <xf numFmtId="166" fontId="2" fillId="12" borderId="0" xfId="0" applyNumberFormat="1" applyFont="1" applyFill="1"/>
    <xf numFmtId="0" fontId="2" fillId="12" borderId="10" xfId="0" applyFont="1" applyFill="1" applyBorder="1"/>
    <xf numFmtId="0" fontId="2" fillId="12" borderId="0" xfId="1" applyFont="1" applyFill="1" applyBorder="1"/>
    <xf numFmtId="2" fontId="5" fillId="6" borderId="0" xfId="0" applyNumberFormat="1" applyFont="1" applyFill="1" applyBorder="1"/>
    <xf numFmtId="0" fontId="5" fillId="6" borderId="0" xfId="0" applyFont="1" applyFill="1" applyBorder="1"/>
    <xf numFmtId="164" fontId="2" fillId="12" borderId="0" xfId="0" applyNumberFormat="1" applyFont="1" applyFill="1"/>
    <xf numFmtId="165" fontId="6" fillId="7" borderId="0" xfId="0" applyNumberFormat="1" applyFont="1" applyFill="1" applyBorder="1"/>
    <xf numFmtId="14" fontId="20" fillId="7" borderId="0" xfId="0" applyNumberFormat="1" applyFont="1" applyFill="1" applyBorder="1" applyAlignment="1">
      <alignment vertical="center"/>
    </xf>
    <xf numFmtId="0" fontId="20" fillId="7" borderId="0" xfId="0" applyFont="1" applyFill="1" applyBorder="1" applyAlignment="1">
      <alignment vertical="center"/>
    </xf>
    <xf numFmtId="14" fontId="20" fillId="7" borderId="7" xfId="0" applyNumberFormat="1" applyFont="1" applyFill="1" applyBorder="1" applyAlignment="1">
      <alignment vertical="center"/>
    </xf>
    <xf numFmtId="0" fontId="2" fillId="14" borderId="8" xfId="0" applyFont="1" applyFill="1" applyBorder="1"/>
    <xf numFmtId="0" fontId="2" fillId="14" borderId="9" xfId="0" applyFont="1" applyFill="1" applyBorder="1"/>
    <xf numFmtId="0" fontId="2" fillId="14" borderId="0" xfId="0" applyFont="1" applyFill="1" applyBorder="1"/>
    <xf numFmtId="0" fontId="2" fillId="14" borderId="9" xfId="1" applyFont="1" applyFill="1" applyBorder="1"/>
    <xf numFmtId="0" fontId="2" fillId="14" borderId="10" xfId="0" applyFont="1" applyFill="1" applyBorder="1"/>
    <xf numFmtId="165" fontId="6" fillId="14" borderId="0" xfId="0" applyNumberFormat="1" applyFont="1" applyFill="1" applyBorder="1"/>
    <xf numFmtId="0" fontId="2" fillId="14" borderId="0" xfId="1" applyFont="1" applyFill="1" applyBorder="1"/>
    <xf numFmtId="0" fontId="2" fillId="14" borderId="7" xfId="1" applyFont="1" applyFill="1" applyBorder="1"/>
    <xf numFmtId="0" fontId="2" fillId="14" borderId="7" xfId="0" applyFont="1" applyFill="1" applyBorder="1"/>
    <xf numFmtId="0" fontId="20" fillId="14" borderId="0" xfId="0" applyFont="1" applyFill="1" applyBorder="1" applyAlignment="1">
      <alignment vertical="center"/>
    </xf>
    <xf numFmtId="165" fontId="6" fillId="14" borderId="7" xfId="0" applyNumberFormat="1" applyFont="1" applyFill="1" applyBorder="1"/>
    <xf numFmtId="0" fontId="20" fillId="14" borderId="7" xfId="0" applyFont="1" applyFill="1" applyBorder="1" applyAlignment="1">
      <alignment vertical="center"/>
    </xf>
    <xf numFmtId="43" fontId="2" fillId="14" borderId="9" xfId="0" applyNumberFormat="1" applyFont="1" applyFill="1" applyBorder="1"/>
    <xf numFmtId="0" fontId="6" fillId="14" borderId="9" xfId="0" applyFont="1" applyFill="1" applyBorder="1"/>
    <xf numFmtId="43" fontId="2" fillId="14" borderId="0" xfId="0" applyNumberFormat="1" applyFont="1" applyFill="1" applyBorder="1"/>
    <xf numFmtId="0" fontId="6" fillId="14" borderId="0" xfId="0" applyFont="1" applyFill="1" applyBorder="1"/>
    <xf numFmtId="0" fontId="4" fillId="14" borderId="0" xfId="0" applyFont="1" applyFill="1" applyBorder="1"/>
    <xf numFmtId="0" fontId="5" fillId="14" borderId="0" xfId="0" applyFont="1" applyFill="1" applyBorder="1"/>
    <xf numFmtId="14" fontId="20" fillId="14" borderId="0" xfId="0" applyNumberFormat="1" applyFont="1" applyFill="1" applyAlignment="1">
      <alignment vertical="center"/>
    </xf>
    <xf numFmtId="14" fontId="20" fillId="14" borderId="0" xfId="0" applyNumberFormat="1" applyFont="1" applyFill="1" applyBorder="1" applyAlignment="1">
      <alignment vertical="center"/>
    </xf>
    <xf numFmtId="43" fontId="6" fillId="14" borderId="9" xfId="0" applyNumberFormat="1" applyFont="1" applyFill="1" applyBorder="1"/>
    <xf numFmtId="43" fontId="6" fillId="14" borderId="0" xfId="0" applyNumberFormat="1" applyFont="1" applyFill="1" applyBorder="1"/>
    <xf numFmtId="43" fontId="6" fillId="14" borderId="7" xfId="0" applyNumberFormat="1" applyFont="1" applyFill="1" applyBorder="1"/>
    <xf numFmtId="43" fontId="2" fillId="14" borderId="7" xfId="0" applyNumberFormat="1" applyFont="1" applyFill="1" applyBorder="1"/>
    <xf numFmtId="0" fontId="21" fillId="14" borderId="9" xfId="0" applyFont="1" applyFill="1" applyBorder="1"/>
    <xf numFmtId="0" fontId="21" fillId="14" borderId="0" xfId="0" applyFont="1" applyFill="1" applyBorder="1"/>
    <xf numFmtId="0" fontId="5" fillId="6" borderId="9" xfId="0" applyFont="1" applyFill="1" applyBorder="1"/>
    <xf numFmtId="0" fontId="5" fillId="7" borderId="9" xfId="0" applyFont="1" applyFill="1" applyBorder="1"/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</cellXfs>
  <cellStyles count="5">
    <cellStyle name="Comma" xfId="4" builtinId="3"/>
    <cellStyle name="Comma 2" xfId="2" xr:uid="{9B1BB7CD-24B7-5646-A7A6-8426B3EFA124}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Schneider" id="{48B03BF2-284B-444B-869A-A7AAE2AABFE6}" userId="S::schneide@cooper.edu::703c0d88-9fe8-4ea6-bd01-541a13746f4a" providerId="AD"/>
  <person displayName="Sophie Schneider" id="{38C7AEB0-2168-4501-A0BE-5BF2B3D2694A}" userId="S::schneide@cooper.edu::d94b643d-528a-4849-a08f-a305edde32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175C4A1D-E8E5-4281-B5E9-870C1EFD228C}">
    <text xml:space="preserve">Employee and contractor work-related fatalities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0" dT="2020-03-24T20:58:13.62" personId="{48B03BF2-284B-444B-869A-A7AAE2AABFE6}" id="{4B38348D-2412-48AB-85EB-98C2AD6C779F}">
    <text>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ext>
  </threadedComment>
  <threadedComment ref="B115" dT="2020-03-24T20:58:56.52" personId="{48B03BF2-284B-444B-869A-A7AAE2AABFE6}" id="{7CE8BD5C-6E78-468D-9E61-3D1538954366}">
    <text>For purposes of this indicator, significant violations are defined as fines of $100,000 or more.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2" dT="2020-03-24T03:40:11.61" personId="{38C7AEB0-2168-4501-A0BE-5BF2B3D2694A}" id="{3CDDC987-37B6-47D0-922E-6EFFE06D4FD4}">
    <text xml:space="preserve">"Number of lost workday cases incurred per 200,000 hours worked (or for approximately every 100 employees)."
</text>
  </threadedComment>
  <threadedComment ref="B22" dT="2020-03-24T03:47:06.67" personId="{38C7AEB0-2168-4501-A0BE-5BF2B3D2694A}" id="{A21B6293-C426-4E1C-9638-9C6EE157FFFB}">
    <text xml:space="preserve">Employee and contractor work-related fatalities
</text>
  </threadedComment>
  <threadedComment ref="B27" dT="2020-03-24T03:46:15.55" personId="{38C7AEB0-2168-4501-A0BE-5BF2B3D2694A}" id="{719FFF1C-0543-412D-90B2-E7BD745104B9}">
    <text xml:space="preserve">Number of lost workdays per 100 workers.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D1FD024C-4FCA-9A4D-8EBB-EA95744C9F14}">
    <text xml:space="preserve">Employee and contractor work-related fatalities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33" Type="http://schemas.openxmlformats.org/officeDocument/2006/relationships/hyperlink" Target="http://www.nexteraenergy.com/sustainability/overview/about-this-report/by-the-numbers.html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mjbradley.com/content/benchmarking-air-emissions-past-reports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Relationship Id="rId8" Type="http://schemas.openxmlformats.org/officeDocument/2006/relationships/hyperlink" Target="https://sustainabilityreport.duke-energy.com/downloads/2017-Duke-Energy-Sustainability-Report-Complete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s://www.exeloncorp.com/sustainability/interactive-csr?year=2015&amp;page=78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opensecrets.org/federal-lobbying/clients/summary?id=D000000370" TargetMode="External"/><Relationship Id="rId47" Type="http://schemas.openxmlformats.org/officeDocument/2006/relationships/hyperlink" Target="https://www.southerncompany.com/content/dam/southern-company/pdf/corpresponsibility/2016_Corporate_Responsibility_Report.pdf" TargetMode="External"/><Relationship Id="rId50" Type="http://schemas.microsoft.com/office/2017/10/relationships/threadedComment" Target="../threadedComments/threadedComment1.xm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://www.nexteraenergy.com/sustainability/overview/about-this-report/by-the-numbers.html" TargetMode="External"/><Relationship Id="rId40" Type="http://schemas.openxmlformats.org/officeDocument/2006/relationships/hyperlink" Target="https://www.exeloncorp.com/sustainability/interactive-csr?year=2015&amp;page=78" TargetMode="External"/><Relationship Id="rId45" Type="http://schemas.openxmlformats.org/officeDocument/2006/relationships/hyperlink" Target="https://www.southerncompany.com/content/dam/southern-company/pdf/corpresponsibility/2018_Corporate_Responsibility_Report.pdf" TargetMode="Externa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hyperlink" Target="https://www.southerncompany.com/content/dam/southern-company/pdf/corpresponsibility/2016_Corporate_Responsibility_Report.pdf" TargetMode="Externa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hyperlink" Target="https://www.southerncompany.com/content/dam/southern-company/pdf/corpresponsibility/2017_Corporate_Responsibility_Report.pdf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://www.nexteraenergy.com/sustainability/overview/about-this-report/by-the-numbers.html" TargetMode="External"/><Relationship Id="rId46" Type="http://schemas.openxmlformats.org/officeDocument/2006/relationships/hyperlink" Target="https://www.southerncompany.com/content/dam/southern-company/pdf/corpresponsibility/2017_Corporate_Responsibility_Report.pdf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southerncompany.com/content/dam/southern-company/pdf/corpresponsibility/2018_Corporate_Responsibility_Report.pdf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annualreports.com/Company/exelon-corporation%20p220" TargetMode="External"/><Relationship Id="rId21" Type="http://schemas.openxmlformats.org/officeDocument/2006/relationships/hyperlink" Target="https://financialmodelingprep.com/developer/docs/financial-statement-free-api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5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24" Type="http://schemas.openxmlformats.org/officeDocument/2006/relationships/hyperlink" Target="https://financialmodelingprep.com/developer/docs/financial-statement-free-api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3" Type="http://schemas.openxmlformats.org/officeDocument/2006/relationships/hyperlink" Target="https://financialmodelingprep.com/developer/docs/financial-statement-free-api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Relationship Id="rId22" Type="http://schemas.openxmlformats.org/officeDocument/2006/relationships/hyperlink" Target="https://financialmodelingprep.com/developer/docs/financial-statement-free-ap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jbradley.com/content/emissions-benchmarking-generation-charts" TargetMode="External"/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our-company/investors/stock/fundamentals" TargetMode="External"/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://www.annualreports.com/Company/exelon-corporation%20p220" TargetMode="External"/><Relationship Id="rId26" Type="http://schemas.openxmlformats.org/officeDocument/2006/relationships/hyperlink" Target="http://www.annualreports.com/HostedData/AnnualReportArchive/e/NYSE_EXC_2015.pdf%20p.85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7" Type="http://schemas.openxmlformats.org/officeDocument/2006/relationships/hyperlink" Target="https://www.duke-energy.com/our-company/investors/stock/fundamentals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://www.annualreports.com/Company/exelon-corporation%20p220" TargetMode="External"/><Relationship Id="rId25" Type="http://schemas.openxmlformats.org/officeDocument/2006/relationships/hyperlink" Target="http://www.annualreports.com/HostedData/AnnualReportArchive/e/NYSE_EXC_2015.pdf%20p.84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www.duke-energy.com/our-company/investors/stock/fundamentals" TargetMode="External"/><Relationship Id="rId20" Type="http://schemas.openxmlformats.org/officeDocument/2006/relationships/hyperlink" Target="http://www.annualreports.com/Company/exelon-corporation%20p220" TargetMode="External"/><Relationship Id="rId29" Type="http://schemas.openxmlformats.org/officeDocument/2006/relationships/hyperlink" Target="https://www.duke-energy.com/_/media/pdfs/our-company/investors/de-annual-reports/2016/2017dukeenergy10k.pdf?la=en%20p.68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www.duke-energy.com/our-company/investors/stock/fundamentals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2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0" Type="http://schemas.openxmlformats.org/officeDocument/2006/relationships/hyperlink" Target="https://www.duke-energy.com/our-company/investors/stock/fundamentals" TargetMode="External"/><Relationship Id="rId19" Type="http://schemas.openxmlformats.org/officeDocument/2006/relationships/hyperlink" Target="http://www.annualreports.com/Company/exelon-corporation%20p220" TargetMode="External"/><Relationship Id="rId3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www.duke-energy.com/our-company/investors/stock/fundamentals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7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0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Relationship Id="rId35" Type="http://schemas.microsoft.com/office/2017/10/relationships/threadedComment" Target="../threadedComments/threadedComment2.xml"/><Relationship Id="rId8" Type="http://schemas.openxmlformats.org/officeDocument/2006/relationships/hyperlink" Target="https://sustainabilityreport.duke-energy.com/downloads/2015-Duke-Energy-Sustainability-Report-Complete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ustainabilityreport.duke-energy.com/downloads/2018-Duke-Energy-Sustainability-Report-Complete.pdf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://www.nexteraenergy.com/sustainability/overview/about-this-report/by-the-numbers.html" TargetMode="External"/><Relationship Id="rId39" Type="http://schemas.openxmlformats.org/officeDocument/2006/relationships/hyperlink" Target="https://www.exeloncorp.com/sustainability/interactive-csr?year=2018&amp;page=1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sustainabilityreport.duke-energy.com/downloads/2018-Duke-Energy-Sustainability-Report-Operations.pdf" TargetMode="External"/><Relationship Id="rId42" Type="http://schemas.openxmlformats.org/officeDocument/2006/relationships/hyperlink" Target="https://sustainabilityreport.duke-energy.com/2018/" TargetMode="External"/><Relationship Id="rId47" Type="http://schemas.openxmlformats.org/officeDocument/2006/relationships/hyperlink" Target="https://web.archive.org/web/20170508030716/https:/www.coned.com/en/community-affairs/partnerships/conedison-grants-volunteerism" TargetMode="External"/><Relationship Id="rId50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://www.pgecorp.com/corp_responsibility/reports/2018/sa03_workplace_safety.html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9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www.exeloncorp.com/sustainability/interactive-csr?year=2015&amp;page=78" TargetMode="External"/><Relationship Id="rId32" Type="http://schemas.openxmlformats.org/officeDocument/2006/relationships/hyperlink" Target="https://sustainabilityreport.duke-energy.com/downloads/2018-Duke-Energy-Sustainability-Report-Operations.pdf" TargetMode="External"/><Relationship Id="rId37" Type="http://schemas.openxmlformats.org/officeDocument/2006/relationships/hyperlink" Target="https://www.exeloncorp.com/sustainability/interactive-csr?year=2018&amp;page=1" TargetMode="External"/><Relationship Id="rId40" Type="http://schemas.openxmlformats.org/officeDocument/2006/relationships/hyperlink" Target="https://www.exeloncorp.com/sustainability/interactive-csr?year=2018&amp;page=1" TargetMode="External"/><Relationship Id="rId45" Type="http://schemas.openxmlformats.org/officeDocument/2006/relationships/hyperlink" Target="https://sustainabilityreport.duke-energy.com/2014/" TargetMode="External"/><Relationship Id="rId53" Type="http://schemas.openxmlformats.org/officeDocument/2006/relationships/comments" Target="../comments3.xml"/><Relationship Id="rId5" Type="http://schemas.openxmlformats.org/officeDocument/2006/relationships/hyperlink" Target="https://web.archive.org/web/20181222125539/http:/www.nexteraenergy.com/sustainability/employees.html" TargetMode="External"/><Relationship Id="rId10" Type="http://schemas.openxmlformats.org/officeDocument/2006/relationships/hyperlink" Target="http://www.pgecorp.com/corp_responsibility/reports/2019/downloads.html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sustainabilityreport.duke-energy.com/downloads/2018-Duke-Energy-Sustainability-Report-Operations.pdf" TargetMode="External"/><Relationship Id="rId44" Type="http://schemas.openxmlformats.org/officeDocument/2006/relationships/hyperlink" Target="https://sustainabilityreport.duke-energy.com/2015/" TargetMode="External"/><Relationship Id="rId52" Type="http://schemas.openxmlformats.org/officeDocument/2006/relationships/vmlDrawing" Target="../drawings/vmlDrawing3.v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://www.pgecorp.com/corp_responsibility/reports/2018/sa03_workplace_safety.html" TargetMode="External"/><Relationship Id="rId14" Type="http://schemas.openxmlformats.org/officeDocument/2006/relationships/hyperlink" Target="https://sustainabilityreport.duke-energy.com/downloads/2018-Duke-Energy-Sustainability-Report-Complete.pdf" TargetMode="External"/><Relationship Id="rId22" Type="http://schemas.openxmlformats.org/officeDocument/2006/relationships/hyperlink" Target="https://www.exeloncorp.com/sustainability/interactive-csr?year=2017&amp;page=1" TargetMode="External"/><Relationship Id="rId27" Type="http://schemas.openxmlformats.org/officeDocument/2006/relationships/hyperlink" Target="http://www.nexteraenergy.com/sustainability/overview/about-this-report/by-the-numbers.html" TargetMode="External"/><Relationship Id="rId30" Type="http://schemas.openxmlformats.org/officeDocument/2006/relationships/hyperlink" Target="http://www.nexteraenergy.com/sustainability/overview/about-this-report/by-the-numbers.html" TargetMode="External"/><Relationship Id="rId35" Type="http://schemas.openxmlformats.org/officeDocument/2006/relationships/hyperlink" Target="https://sustainabilityreport.duke-energy.com/downloads/2018-Duke-Energy-Sustainability-Report-Operations.pdf" TargetMode="External"/><Relationship Id="rId43" Type="http://schemas.openxmlformats.org/officeDocument/2006/relationships/hyperlink" Target="https://sustainabilityreport.duke-energy.com/2016/" TargetMode="External"/><Relationship Id="rId48" Type="http://schemas.openxmlformats.org/officeDocument/2006/relationships/hyperlink" Target="http://www.nexteraenergy.com/sustainability/overview/about-this-report/by-the-numbers.html" TargetMode="External"/><Relationship Id="rId8" Type="http://schemas.openxmlformats.org/officeDocument/2006/relationships/hyperlink" Target="http://www.pgecorp.com/corp_responsibility/reports/2018/sa03_workplace_safety.html" TargetMode="External"/><Relationship Id="rId51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sustainabilityreport.duke-energy.com/downloads/2018-Duke-Energy-Sustainability-Report-Complete.pdf" TargetMode="External"/><Relationship Id="rId17" Type="http://schemas.openxmlformats.org/officeDocument/2006/relationships/hyperlink" Target="https://sustainabilityreport.duke-energy.com/downloads/2018-Duke-Energy-Sustainability-Report-Complete.pdf" TargetMode="External"/><Relationship Id="rId25" Type="http://schemas.openxmlformats.org/officeDocument/2006/relationships/hyperlink" Target="https://www.exeloncorp.com/sustainability/interactive-csr?year=2015&amp;page=78" TargetMode="External"/><Relationship Id="rId33" Type="http://schemas.openxmlformats.org/officeDocument/2006/relationships/hyperlink" Target="https://sustainabilityreport.duke-energy.com/downloads/2018-Duke-Energy-Sustainability-Report-Operations.pdf" TargetMode="External"/><Relationship Id="rId38" Type="http://schemas.openxmlformats.org/officeDocument/2006/relationships/hyperlink" Target="https://www.exeloncorp.com/sustainability/interactive-csr?year=2018&amp;page=1" TargetMode="External"/><Relationship Id="rId46" Type="http://schemas.openxmlformats.org/officeDocument/2006/relationships/hyperlink" Target="https://www.coned.com/en/community-affairs/partnerships/conedison-grants-volunteerism" TargetMode="External"/><Relationship Id="rId20" Type="http://schemas.openxmlformats.org/officeDocument/2006/relationships/hyperlink" Target="https://sustainabilityreport.duke-energy.com/downloads/2018-Duke-Energy-Sustainability-Report-Complete.pdf" TargetMode="External"/><Relationship Id="rId41" Type="http://schemas.openxmlformats.org/officeDocument/2006/relationships/hyperlink" Target="https://sustainabilityreport.duke-energy.com/2017/" TargetMode="External"/><Relationship Id="rId54" Type="http://schemas.microsoft.com/office/2017/10/relationships/threadedComment" Target="../threadedComments/threadedComment3.xm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5" Type="http://schemas.openxmlformats.org/officeDocument/2006/relationships/hyperlink" Target="https://sustainabilityreport.duke-energy.com/downloads/2018-Duke-Energy-Sustainability-Report-Complete.pdf" TargetMode="External"/><Relationship Id="rId23" Type="http://schemas.openxmlformats.org/officeDocument/2006/relationships/hyperlink" Target="https://www.exeloncorp.com/sustainability/interactive-csr?year=2015&amp;page=78" TargetMode="External"/><Relationship Id="rId28" Type="http://schemas.openxmlformats.org/officeDocument/2006/relationships/hyperlink" Target="http://www.nexteraenergy.com/sustainability/overview/about-this-report/by-the-numbers.html" TargetMode="External"/><Relationship Id="rId36" Type="http://schemas.openxmlformats.org/officeDocument/2006/relationships/hyperlink" Target="https://www.exeloncorp.com/sustainability/interactive-csr?year=2018&amp;page=1" TargetMode="External"/><Relationship Id="rId49" Type="http://schemas.openxmlformats.org/officeDocument/2006/relationships/hyperlink" Target="http://www.nexteraenergy.com/sustainability/overview/about-this-report/by-the-number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s://www.coned.com/en/community-affairs/partnerships/conedison-grants-volunteerism" TargetMode="External"/><Relationship Id="rId40" Type="http://schemas.openxmlformats.org/officeDocument/2006/relationships/hyperlink" Target="http://www.nexteraenergy.com/sustainability/overview/about-this-report/by-the-numbers.html" TargetMode="External"/><Relationship Id="rId45" Type="http://schemas.microsoft.com/office/2017/10/relationships/threadedComment" Target="../threadedComments/threadedComment4.xm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comments" Target="../comments4.x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vmlDrawing" Target="../drawings/vmlDrawing4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s://web.archive.org/web/20170508030716/https:/www.coned.com/en/community-affairs/partnerships/conedison-grants-volunteerism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exeloncorp.com/sustainability/interactive-csr?year=2015&amp;page=78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7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F34-56D3-1741-B11E-22652BC2223A}">
  <dimension ref="A1:K179"/>
  <sheetViews>
    <sheetView tabSelected="1" topLeftCell="A163" zoomScale="115" zoomScaleNormal="115" workbookViewId="0">
      <selection activeCell="B182" sqref="B182"/>
    </sheetView>
  </sheetViews>
  <sheetFormatPr defaultColWidth="11" defaultRowHeight="15"/>
  <cols>
    <col min="1" max="1" width="11" style="1"/>
    <col min="2" max="2" width="46.375" style="1" bestFit="1" customWidth="1"/>
    <col min="3" max="3" width="11" style="1"/>
    <col min="4" max="4" width="7.375" style="1" bestFit="1" customWidth="1"/>
    <col min="5" max="5" width="32.625" style="8" bestFit="1" customWidth="1"/>
    <col min="6" max="6" width="25.125" style="1" bestFit="1" customWidth="1"/>
    <col min="7" max="7" width="15.875" style="1" bestFit="1" customWidth="1"/>
    <col min="8" max="8" width="15.5" style="1" bestFit="1" customWidth="1"/>
    <col min="9" max="9" width="120.125" style="1" bestFit="1" customWidth="1"/>
    <col min="10" max="10" width="11.5" style="12" bestFit="1" customWidth="1"/>
    <col min="11" max="16384" width="11" style="12"/>
  </cols>
  <sheetData>
    <row r="1" spans="1:10" s="151" customFormat="1" ht="14.25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90" customFormat="1">
      <c r="A2" s="89" t="s">
        <v>121</v>
      </c>
      <c r="B2" s="90" t="s">
        <v>122</v>
      </c>
      <c r="C2" s="90" t="s">
        <v>18</v>
      </c>
      <c r="D2" s="90">
        <v>2014</v>
      </c>
      <c r="E2" s="117">
        <v>42.3</v>
      </c>
      <c r="F2" s="90" t="s">
        <v>123</v>
      </c>
      <c r="G2" s="117">
        <f t="shared" ref="G2:G5" si="0">E2</f>
        <v>42.3</v>
      </c>
      <c r="H2" s="90" t="s">
        <v>243</v>
      </c>
      <c r="I2" s="90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2015</v>
      </c>
      <c r="E3" s="117">
        <v>35.200000000000003</v>
      </c>
      <c r="F3" s="90" t="s">
        <v>123</v>
      </c>
      <c r="G3" s="117">
        <f t="shared" si="0"/>
        <v>35.200000000000003</v>
      </c>
      <c r="H3" s="90" t="s">
        <v>243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2016</v>
      </c>
      <c r="E4" s="117">
        <v>33.700000000000003</v>
      </c>
      <c r="F4" s="90" t="s">
        <v>123</v>
      </c>
      <c r="G4" s="117">
        <f t="shared" si="0"/>
        <v>33.700000000000003</v>
      </c>
      <c r="H4" s="90" t="s">
        <v>243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2017</v>
      </c>
      <c r="E5" s="117">
        <v>33.200000000000003</v>
      </c>
      <c r="F5" s="90" t="s">
        <v>123</v>
      </c>
      <c r="G5" s="117">
        <f t="shared" si="0"/>
        <v>33.200000000000003</v>
      </c>
      <c r="H5" s="90" t="s">
        <v>243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2018</v>
      </c>
      <c r="E6" s="117">
        <v>30.3</v>
      </c>
      <c r="F6" s="90" t="s">
        <v>123</v>
      </c>
      <c r="G6" s="117">
        <v>30.3</v>
      </c>
      <c r="H6" s="90" t="s">
        <v>243</v>
      </c>
      <c r="I6" s="90" t="s">
        <v>126</v>
      </c>
      <c r="J6" s="92"/>
    </row>
    <row r="7" spans="1:10" s="90" customFormat="1">
      <c r="A7" s="89" t="s">
        <v>121</v>
      </c>
      <c r="B7" s="90" t="s">
        <v>122</v>
      </c>
      <c r="C7" s="90" t="s">
        <v>15</v>
      </c>
      <c r="D7" s="90">
        <v>2014</v>
      </c>
      <c r="E7" s="117">
        <v>0.1</v>
      </c>
      <c r="F7" s="90" t="s">
        <v>123</v>
      </c>
      <c r="G7" s="117">
        <f t="shared" ref="G7:G10" si="1">E7</f>
        <v>0.1</v>
      </c>
      <c r="H7" s="90" t="s">
        <v>243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15</v>
      </c>
      <c r="D8" s="90">
        <v>2015</v>
      </c>
      <c r="E8" s="117">
        <v>0.1</v>
      </c>
      <c r="F8" s="90" t="s">
        <v>123</v>
      </c>
      <c r="G8" s="117">
        <f t="shared" si="1"/>
        <v>0.1</v>
      </c>
      <c r="H8" s="90" t="s">
        <v>243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15</v>
      </c>
      <c r="D9" s="90">
        <v>2016</v>
      </c>
      <c r="E9" s="117">
        <v>0.1</v>
      </c>
      <c r="F9" s="90" t="s">
        <v>123</v>
      </c>
      <c r="G9" s="117">
        <f t="shared" si="1"/>
        <v>0.1</v>
      </c>
      <c r="H9" s="90" t="s">
        <v>243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15</v>
      </c>
      <c r="D10" s="90">
        <v>2017</v>
      </c>
      <c r="E10" s="117">
        <v>0</v>
      </c>
      <c r="F10" s="90" t="s">
        <v>123</v>
      </c>
      <c r="G10" s="117">
        <f t="shared" si="1"/>
        <v>0</v>
      </c>
      <c r="H10" s="90" t="s">
        <v>243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15</v>
      </c>
      <c r="D11" s="90">
        <v>2018</v>
      </c>
      <c r="E11" s="117">
        <v>0</v>
      </c>
      <c r="F11" s="90" t="s">
        <v>123</v>
      </c>
      <c r="G11" s="90">
        <v>0</v>
      </c>
      <c r="H11" s="90" t="s">
        <v>243</v>
      </c>
      <c r="I11" s="92" t="s">
        <v>127</v>
      </c>
    </row>
    <row r="12" spans="1:10" s="90" customFormat="1">
      <c r="A12" s="89" t="s">
        <v>121</v>
      </c>
      <c r="B12" s="90" t="s">
        <v>122</v>
      </c>
      <c r="C12" s="90" t="s">
        <v>11</v>
      </c>
      <c r="D12" s="90">
        <v>2014</v>
      </c>
      <c r="E12" s="117">
        <v>2.5</v>
      </c>
      <c r="F12" s="90" t="s">
        <v>123</v>
      </c>
      <c r="G12" s="117">
        <f t="shared" ref="G12:G16" si="2">E12</f>
        <v>2.5</v>
      </c>
      <c r="H12" s="90" t="s">
        <v>243</v>
      </c>
      <c r="I12" s="92" t="s">
        <v>24</v>
      </c>
    </row>
    <row r="13" spans="1:10" s="90" customFormat="1">
      <c r="A13" s="89" t="s">
        <v>121</v>
      </c>
      <c r="B13" s="90" t="s">
        <v>122</v>
      </c>
      <c r="C13" s="90" t="s">
        <v>11</v>
      </c>
      <c r="D13" s="90">
        <v>2015</v>
      </c>
      <c r="E13" s="117">
        <v>2.7</v>
      </c>
      <c r="F13" s="90" t="s">
        <v>123</v>
      </c>
      <c r="G13" s="117">
        <f t="shared" si="2"/>
        <v>2.7</v>
      </c>
      <c r="H13" s="90" t="s">
        <v>243</v>
      </c>
      <c r="I13" s="92" t="s">
        <v>24</v>
      </c>
    </row>
    <row r="14" spans="1:10" s="90" customFormat="1">
      <c r="A14" s="89" t="s">
        <v>121</v>
      </c>
      <c r="B14" s="90" t="s">
        <v>122</v>
      </c>
      <c r="C14" s="90" t="s">
        <v>11</v>
      </c>
      <c r="D14" s="90">
        <v>2016</v>
      </c>
      <c r="E14" s="117">
        <v>2.2000000000000002</v>
      </c>
      <c r="F14" s="90" t="s">
        <v>123</v>
      </c>
      <c r="G14" s="117">
        <f t="shared" si="2"/>
        <v>2.2000000000000002</v>
      </c>
      <c r="H14" s="90" t="s">
        <v>243</v>
      </c>
      <c r="I14" s="92" t="s">
        <v>24</v>
      </c>
    </row>
    <row r="15" spans="1:10" s="90" customFormat="1">
      <c r="A15" s="89" t="s">
        <v>121</v>
      </c>
      <c r="B15" s="90" t="s">
        <v>122</v>
      </c>
      <c r="C15" s="90" t="s">
        <v>11</v>
      </c>
      <c r="D15" s="90">
        <v>2017</v>
      </c>
      <c r="E15" s="117">
        <v>2.4</v>
      </c>
      <c r="F15" s="90" t="s">
        <v>123</v>
      </c>
      <c r="G15" s="117">
        <f t="shared" si="2"/>
        <v>2.4</v>
      </c>
      <c r="H15" s="90" t="s">
        <v>243</v>
      </c>
      <c r="I15" s="92" t="s">
        <v>24</v>
      </c>
    </row>
    <row r="16" spans="1:10" s="90" customFormat="1">
      <c r="A16" s="89" t="s">
        <v>121</v>
      </c>
      <c r="B16" s="90" t="s">
        <v>122</v>
      </c>
      <c r="C16" s="90" t="s">
        <v>11</v>
      </c>
      <c r="D16" s="90">
        <v>2018</v>
      </c>
      <c r="E16" s="117">
        <v>1.5</v>
      </c>
      <c r="F16" s="90" t="s">
        <v>123</v>
      </c>
      <c r="G16" s="117">
        <f t="shared" si="2"/>
        <v>1.5</v>
      </c>
      <c r="H16" s="90" t="s">
        <v>243</v>
      </c>
      <c r="I16" s="92" t="s">
        <v>24</v>
      </c>
    </row>
    <row r="17" spans="1:9" s="179" customFormat="1">
      <c r="A17" s="190" t="s">
        <v>121</v>
      </c>
      <c r="B17" s="179" t="s">
        <v>122</v>
      </c>
      <c r="C17" s="179" t="s">
        <v>248</v>
      </c>
      <c r="D17" s="179">
        <v>2014</v>
      </c>
      <c r="E17" s="180">
        <v>42</v>
      </c>
      <c r="F17" s="179" t="s">
        <v>123</v>
      </c>
      <c r="G17" s="180">
        <f>E17</f>
        <v>42</v>
      </c>
      <c r="H17" s="179" t="s">
        <v>243</v>
      </c>
      <c r="I17" s="191" t="s">
        <v>255</v>
      </c>
    </row>
    <row r="18" spans="1:9" s="179" customFormat="1">
      <c r="A18" s="190" t="s">
        <v>121</v>
      </c>
      <c r="B18" s="179" t="s">
        <v>122</v>
      </c>
      <c r="C18" s="179" t="s">
        <v>248</v>
      </c>
      <c r="D18" s="179">
        <v>2015</v>
      </c>
      <c r="E18" s="180">
        <v>34</v>
      </c>
      <c r="F18" s="179" t="s">
        <v>123</v>
      </c>
      <c r="G18" s="180">
        <f>E18</f>
        <v>34</v>
      </c>
      <c r="H18" s="179" t="s">
        <v>243</v>
      </c>
      <c r="I18" s="191" t="s">
        <v>255</v>
      </c>
    </row>
    <row r="19" spans="1:9" s="179" customFormat="1">
      <c r="A19" s="190" t="s">
        <v>121</v>
      </c>
      <c r="B19" s="179" t="s">
        <v>122</v>
      </c>
      <c r="C19" s="179" t="s">
        <v>248</v>
      </c>
      <c r="D19" s="179">
        <v>2016</v>
      </c>
      <c r="E19" s="180">
        <v>33</v>
      </c>
      <c r="F19" s="179" t="s">
        <v>123</v>
      </c>
      <c r="G19" s="180">
        <f>E19</f>
        <v>33</v>
      </c>
      <c r="H19" s="179" t="s">
        <v>243</v>
      </c>
      <c r="I19" s="191" t="s">
        <v>255</v>
      </c>
    </row>
    <row r="20" spans="1:9" s="179" customFormat="1">
      <c r="A20" s="190" t="s">
        <v>121</v>
      </c>
      <c r="B20" s="179" t="s">
        <v>122</v>
      </c>
      <c r="C20" s="179" t="s">
        <v>248</v>
      </c>
      <c r="D20" s="179">
        <v>2017</v>
      </c>
      <c r="E20" s="180">
        <v>30</v>
      </c>
      <c r="F20" s="179" t="s">
        <v>123</v>
      </c>
      <c r="G20" s="180">
        <f>E20</f>
        <v>30</v>
      </c>
      <c r="H20" s="179" t="s">
        <v>243</v>
      </c>
      <c r="I20" s="191" t="s">
        <v>255</v>
      </c>
    </row>
    <row r="21" spans="1:9" s="179" customFormat="1">
      <c r="A21" s="190" t="s">
        <v>121</v>
      </c>
      <c r="B21" s="179" t="s">
        <v>122</v>
      </c>
      <c r="C21" s="179" t="s">
        <v>248</v>
      </c>
      <c r="D21" s="179">
        <v>2018</v>
      </c>
      <c r="E21" s="180">
        <v>27</v>
      </c>
      <c r="F21" s="179" t="s">
        <v>123</v>
      </c>
      <c r="G21" s="180">
        <f>E21</f>
        <v>27</v>
      </c>
      <c r="H21" s="179" t="s">
        <v>243</v>
      </c>
      <c r="I21" s="191" t="s">
        <v>255</v>
      </c>
    </row>
    <row r="22" spans="1:9" s="86" customFormat="1" ht="15" customHeight="1">
      <c r="A22" s="99" t="s">
        <v>121</v>
      </c>
      <c r="B22" s="99" t="s">
        <v>128</v>
      </c>
      <c r="C22" s="99" t="s">
        <v>18</v>
      </c>
      <c r="D22" s="99">
        <v>2018</v>
      </c>
      <c r="E22" s="114">
        <f>105000*1000</f>
        <v>105000000</v>
      </c>
      <c r="F22" s="99" t="s">
        <v>129</v>
      </c>
      <c r="G22" s="99" cm="1">
        <f t="array" ref="G22">E22/VLOOKUP(D22,net_generation!$A:$D,MATCH(C22,net_generation!$1:$1,FALSE),FALSE)</f>
        <v>0.45039634878693252</v>
      </c>
      <c r="H22" s="99" t="s">
        <v>130</v>
      </c>
      <c r="I22" s="87" t="s">
        <v>237</v>
      </c>
    </row>
    <row r="23" spans="1:9" s="76" customFormat="1">
      <c r="A23" s="75" t="s">
        <v>121</v>
      </c>
      <c r="B23" s="76" t="s">
        <v>128</v>
      </c>
      <c r="C23" s="76" t="s">
        <v>18</v>
      </c>
      <c r="D23" s="76">
        <v>2017</v>
      </c>
      <c r="E23" s="113">
        <v>104619272</v>
      </c>
      <c r="F23" s="76" t="s">
        <v>129</v>
      </c>
      <c r="G23" s="76" cm="1">
        <f t="array" ref="G23">E23/VLOOKUP(D23,net_generation!$A:$D,MATCH(C23,net_generation!$1:$1,FALSE),FALSE)</f>
        <v>0.46031614285651429</v>
      </c>
      <c r="H23" s="76" t="s">
        <v>130</v>
      </c>
      <c r="I23" s="76" t="s">
        <v>131</v>
      </c>
    </row>
    <row r="24" spans="1:9" s="76" customFormat="1">
      <c r="A24" s="75" t="s">
        <v>121</v>
      </c>
      <c r="B24" s="76" t="s">
        <v>128</v>
      </c>
      <c r="C24" s="76" t="s">
        <v>18</v>
      </c>
      <c r="D24" s="76">
        <v>2016</v>
      </c>
      <c r="E24" s="113">
        <v>106376761</v>
      </c>
      <c r="F24" s="76" t="s">
        <v>129</v>
      </c>
      <c r="G24" s="76" cm="1">
        <f t="array" ref="G24">E24/VLOOKUP(D24,net_generation!$A:$D,MATCH(C24,net_generation!$1:$1,FALSE),FALSE)</f>
        <v>0.48510733064277084</v>
      </c>
      <c r="H24" s="76" t="s">
        <v>130</v>
      </c>
      <c r="I24" s="76" t="s">
        <v>131</v>
      </c>
    </row>
    <row r="25" spans="1:9" s="76" customFormat="1" ht="15" customHeight="1">
      <c r="A25" s="75" t="s">
        <v>121</v>
      </c>
      <c r="B25" s="76" t="s">
        <v>128</v>
      </c>
      <c r="C25" s="76" t="s">
        <v>18</v>
      </c>
      <c r="D25" s="76">
        <v>2015</v>
      </c>
      <c r="E25" s="113">
        <v>107913913</v>
      </c>
      <c r="F25" s="76" t="s">
        <v>129</v>
      </c>
      <c r="G25" s="76" cm="1">
        <f t="array" ref="G25">E25/VLOOKUP(D25,net_generation!$A:$D,MATCH(C25,net_generation!$1:$1,FALSE),FALSE)</f>
        <v>0.49339066564861761</v>
      </c>
      <c r="H25" s="76" t="s">
        <v>130</v>
      </c>
      <c r="I25" s="76" t="s">
        <v>131</v>
      </c>
    </row>
    <row r="26" spans="1:9" s="76" customFormat="1" ht="15" customHeight="1">
      <c r="A26" s="75" t="s">
        <v>121</v>
      </c>
      <c r="B26" s="76" t="s">
        <v>128</v>
      </c>
      <c r="C26" s="76" t="s">
        <v>18</v>
      </c>
      <c r="D26" s="76">
        <v>2014</v>
      </c>
      <c r="E26" s="113">
        <v>138347641</v>
      </c>
      <c r="F26" s="76" t="s">
        <v>129</v>
      </c>
      <c r="G26" s="76" cm="1">
        <f t="array" ref="G26">E26/VLOOKUP(D26,net_generation!$A:$D,MATCH(C26,net_generation!$1:$1,FALSE),FALSE)</f>
        <v>0.5659154037150208</v>
      </c>
      <c r="H26" s="76" t="s">
        <v>130</v>
      </c>
      <c r="I26" s="76" t="s">
        <v>131</v>
      </c>
    </row>
    <row r="27" spans="1:9" s="76" customFormat="1">
      <c r="A27" s="75" t="s">
        <v>121</v>
      </c>
      <c r="B27" s="76" t="s">
        <v>128</v>
      </c>
      <c r="C27" s="76" t="s">
        <v>15</v>
      </c>
      <c r="D27" s="76">
        <v>2018</v>
      </c>
      <c r="E27" s="113">
        <f>9.7*10^6</f>
        <v>9700000</v>
      </c>
      <c r="F27" s="76" t="s">
        <v>129</v>
      </c>
      <c r="G27" s="51" cm="1">
        <f t="array" ref="G27">E27/VLOOKUP(D27,net_generation!$A:$D,MATCH(C27,net_generation!$1:$1,FALSE),FALSE)</f>
        <v>4.994233462393937E-2</v>
      </c>
      <c r="H27" s="76" t="s">
        <v>130</v>
      </c>
      <c r="I27" s="76" t="s">
        <v>237</v>
      </c>
    </row>
    <row r="28" spans="1:9" s="76" customFormat="1">
      <c r="A28" s="75" t="s">
        <v>121</v>
      </c>
      <c r="B28" s="76" t="s">
        <v>128</v>
      </c>
      <c r="C28" s="76" t="s">
        <v>15</v>
      </c>
      <c r="D28" s="76">
        <v>2017</v>
      </c>
      <c r="E28" s="113">
        <v>10394551</v>
      </c>
      <c r="F28" s="76" t="s">
        <v>129</v>
      </c>
      <c r="G28" s="76" cm="1">
        <f t="array" ref="G28">E28/VLOOKUP(D28,net_generation!$A:$D,MATCH(C28,net_generation!$1:$1,FALSE),FALSE)</f>
        <v>5.3379599215083957E-2</v>
      </c>
      <c r="H28" s="76" t="s">
        <v>130</v>
      </c>
      <c r="I28" s="76" t="s">
        <v>131</v>
      </c>
    </row>
    <row r="29" spans="1:9" s="76" customFormat="1">
      <c r="A29" s="75" t="s">
        <v>121</v>
      </c>
      <c r="B29" s="76" t="s">
        <v>128</v>
      </c>
      <c r="C29" s="76" t="s">
        <v>15</v>
      </c>
      <c r="D29" s="76">
        <v>2016</v>
      </c>
      <c r="E29" s="113">
        <v>9836775</v>
      </c>
      <c r="F29" s="76" t="s">
        <v>129</v>
      </c>
      <c r="G29" s="76" cm="1">
        <f t="array" ref="G29">E29/VLOOKUP(D29,net_generation!$A:$D,MATCH(C29,net_generation!$1:$1,FALSE),FALSE)</f>
        <v>5.2643731945379545E-2</v>
      </c>
      <c r="H29" s="76" t="s">
        <v>130</v>
      </c>
      <c r="I29" s="76" t="s">
        <v>131</v>
      </c>
    </row>
    <row r="30" spans="1:9" s="76" customFormat="1">
      <c r="A30" s="75" t="s">
        <v>121</v>
      </c>
      <c r="B30" s="76" t="s">
        <v>128</v>
      </c>
      <c r="C30" s="76" t="s">
        <v>15</v>
      </c>
      <c r="D30" s="76">
        <v>2015</v>
      </c>
      <c r="E30" s="113">
        <v>7397355</v>
      </c>
      <c r="F30" s="76" t="s">
        <v>129</v>
      </c>
      <c r="G30" s="76" cm="1">
        <f t="array" ref="G30">E30/VLOOKUP(D30,net_generation!$A:$D,MATCH(C30,net_generation!$1:$1,FALSE),FALSE)</f>
        <v>4.1088898163858717E-2</v>
      </c>
      <c r="H30" s="76" t="s">
        <v>130</v>
      </c>
      <c r="I30" s="76" t="s">
        <v>131</v>
      </c>
    </row>
    <row r="31" spans="1:9" s="76" customFormat="1">
      <c r="A31" s="75" t="s">
        <v>121</v>
      </c>
      <c r="B31" s="76" t="s">
        <v>128</v>
      </c>
      <c r="C31" s="76" t="s">
        <v>15</v>
      </c>
      <c r="D31" s="76">
        <v>2014</v>
      </c>
      <c r="E31" s="113">
        <v>7138620</v>
      </c>
      <c r="F31" s="76" t="s">
        <v>129</v>
      </c>
      <c r="G31" s="76" cm="1">
        <f t="array" ref="G31">E31/VLOOKUP(D31,net_generation!$A:$D,MATCH(C31,net_generation!$1:$1,FALSE),FALSE)</f>
        <v>4.0111155370209629E-2</v>
      </c>
      <c r="H31" s="76" t="s">
        <v>130</v>
      </c>
      <c r="I31" s="76" t="s">
        <v>131</v>
      </c>
    </row>
    <row r="32" spans="1:9" s="76" customFormat="1">
      <c r="A32" s="75" t="s">
        <v>121</v>
      </c>
      <c r="B32" s="76" t="s">
        <v>128</v>
      </c>
      <c r="C32" s="76" t="s">
        <v>11</v>
      </c>
      <c r="D32" s="76">
        <v>2018</v>
      </c>
      <c r="E32" s="113">
        <v>42097424</v>
      </c>
      <c r="F32" s="76" t="s">
        <v>129</v>
      </c>
      <c r="G32" s="76" cm="1">
        <f t="array" ref="G32">E32/VLOOKUP(D32,net_generation!$A:$D,MATCH(C32,net_generation!$1:$1,FALSE),FALSE)</f>
        <v>0.21802396199923654</v>
      </c>
      <c r="H32" s="76" t="s">
        <v>130</v>
      </c>
      <c r="I32" s="76" t="s">
        <v>24</v>
      </c>
    </row>
    <row r="33" spans="1:9" s="76" customFormat="1">
      <c r="A33" s="75" t="s">
        <v>121</v>
      </c>
      <c r="B33" s="76" t="s">
        <v>128</v>
      </c>
      <c r="C33" s="76" t="s">
        <v>11</v>
      </c>
      <c r="D33" s="76">
        <v>2017</v>
      </c>
      <c r="E33" s="113">
        <v>42194852</v>
      </c>
      <c r="F33" s="76" t="s">
        <v>129</v>
      </c>
      <c r="G33" s="76" cm="1">
        <f t="array" ref="G33">E33/VLOOKUP(D33,net_generation!$A:$D,MATCH(C33,net_generation!$1:$1,FALSE),FALSE)</f>
        <v>0.22306434646297132</v>
      </c>
      <c r="H33" s="76" t="s">
        <v>130</v>
      </c>
      <c r="I33" s="76" t="s">
        <v>131</v>
      </c>
    </row>
    <row r="34" spans="1:9" s="76" customFormat="1">
      <c r="A34" s="75" t="s">
        <v>121</v>
      </c>
      <c r="B34" s="76" t="s">
        <v>128</v>
      </c>
      <c r="C34" s="76" t="s">
        <v>11</v>
      </c>
      <c r="D34" s="76">
        <v>2016</v>
      </c>
      <c r="E34" s="113">
        <v>43199657</v>
      </c>
      <c r="F34" s="76" t="s">
        <v>129</v>
      </c>
      <c r="G34" s="76" cm="1">
        <f t="array" ref="G34">E34/VLOOKUP(D34,net_generation!$A:$D,MATCH(C34,net_generation!$1:$1,FALSE),FALSE)</f>
        <v>0.22305106948131606</v>
      </c>
      <c r="H34" s="76" t="s">
        <v>130</v>
      </c>
      <c r="I34" s="76" t="s">
        <v>131</v>
      </c>
    </row>
    <row r="35" spans="1:9" s="76" customFormat="1">
      <c r="A35" s="75" t="s">
        <v>121</v>
      </c>
      <c r="B35" s="76" t="s">
        <v>128</v>
      </c>
      <c r="C35" s="76" t="s">
        <v>11</v>
      </c>
      <c r="D35" s="76">
        <v>2015</v>
      </c>
      <c r="E35" s="113">
        <v>52793763</v>
      </c>
      <c r="F35" s="76" t="s">
        <v>129</v>
      </c>
      <c r="G35" s="76" cm="1">
        <f t="array" ref="G35">E35/VLOOKUP(D35,net_generation!$A:$D,MATCH(C35,net_generation!$1:$1,FALSE),FALSE)</f>
        <v>0.26566694081735337</v>
      </c>
      <c r="H35" s="76" t="s">
        <v>130</v>
      </c>
      <c r="I35" s="76" t="s">
        <v>131</v>
      </c>
    </row>
    <row r="36" spans="1:9" s="163" customFormat="1" ht="15.75">
      <c r="A36" s="162" t="s">
        <v>121</v>
      </c>
      <c r="B36" s="163" t="s">
        <v>128</v>
      </c>
      <c r="C36" s="163" t="s">
        <v>11</v>
      </c>
      <c r="D36" s="163">
        <v>2014</v>
      </c>
      <c r="E36" s="164">
        <v>48573857</v>
      </c>
      <c r="F36" s="163" t="s">
        <v>129</v>
      </c>
      <c r="G36" s="163" cm="1">
        <f t="array" ref="G36">E36/VLOOKUP(D36,net_generation!$A:$D,MATCH(C36,net_generation!$1:$1,FALSE),FALSE)</f>
        <v>0.26069887329655578</v>
      </c>
      <c r="H36" s="163" t="s">
        <v>130</v>
      </c>
      <c r="I36" s="178" t="s">
        <v>131</v>
      </c>
    </row>
    <row r="37" spans="1:9" s="181" customFormat="1">
      <c r="A37" s="181" t="s">
        <v>121</v>
      </c>
      <c r="B37" s="185" t="s">
        <v>128</v>
      </c>
      <c r="C37" s="181" t="s">
        <v>248</v>
      </c>
      <c r="D37" s="181">
        <v>2018</v>
      </c>
      <c r="E37" s="186">
        <v>102000000</v>
      </c>
      <c r="F37" s="181" t="s">
        <v>129</v>
      </c>
      <c r="G37" s="187">
        <f>E37/net_generation!E6</f>
        <v>0.51</v>
      </c>
      <c r="H37" s="181" t="s">
        <v>130</v>
      </c>
    </row>
    <row r="38" spans="1:9" s="181" customFormat="1">
      <c r="A38" s="181" t="s">
        <v>121</v>
      </c>
      <c r="B38" s="185" t="s">
        <v>128</v>
      </c>
      <c r="C38" s="181" t="s">
        <v>248</v>
      </c>
      <c r="D38" s="181">
        <v>2017</v>
      </c>
      <c r="E38" s="188">
        <v>99475023.743085787</v>
      </c>
      <c r="F38" s="181" t="s">
        <v>129</v>
      </c>
      <c r="G38" s="189">
        <f>E38/net_generation!E5</f>
        <v>0.51675419153178392</v>
      </c>
      <c r="H38" s="181" t="s">
        <v>130</v>
      </c>
    </row>
    <row r="39" spans="1:9" s="181" customFormat="1">
      <c r="A39" s="181" t="s">
        <v>121</v>
      </c>
      <c r="B39" s="185" t="s">
        <v>128</v>
      </c>
      <c r="C39" s="181" t="s">
        <v>248</v>
      </c>
      <c r="D39" s="181">
        <v>2016</v>
      </c>
      <c r="E39" s="188">
        <v>102330565.93870176</v>
      </c>
      <c r="F39" s="181" t="s">
        <v>129</v>
      </c>
      <c r="G39" s="189">
        <f>E39/net_generation!E4</f>
        <v>0.54712491584426315</v>
      </c>
      <c r="H39" s="181" t="s">
        <v>130</v>
      </c>
    </row>
    <row r="40" spans="1:9" s="181" customFormat="1">
      <c r="A40" s="181" t="s">
        <v>121</v>
      </c>
      <c r="B40" s="185" t="s">
        <v>128</v>
      </c>
      <c r="C40" s="181" t="s">
        <v>248</v>
      </c>
      <c r="D40" s="181">
        <v>2015</v>
      </c>
      <c r="E40" s="188">
        <v>106727972.16702433</v>
      </c>
      <c r="F40" s="181" t="s">
        <v>129</v>
      </c>
      <c r="G40" s="189">
        <f>E40/net_generation!E3</f>
        <v>0.57408439339176842</v>
      </c>
      <c r="H40" s="181" t="s">
        <v>130</v>
      </c>
    </row>
    <row r="41" spans="1:9" s="181" customFormat="1">
      <c r="A41" s="181" t="s">
        <v>121</v>
      </c>
      <c r="B41" s="185" t="s">
        <v>128</v>
      </c>
      <c r="C41" s="181" t="s">
        <v>248</v>
      </c>
      <c r="D41" s="185">
        <v>2014</v>
      </c>
      <c r="E41" s="188">
        <v>117634394.10691267</v>
      </c>
      <c r="F41" s="181" t="s">
        <v>129</v>
      </c>
      <c r="G41" s="189">
        <f>E41/net_generation!E2</f>
        <v>0.61620616526840122</v>
      </c>
      <c r="H41" s="181" t="s">
        <v>130</v>
      </c>
    </row>
    <row r="42" spans="1:9" s="86" customFormat="1">
      <c r="A42" s="85" t="s">
        <v>121</v>
      </c>
      <c r="B42" s="86" t="s">
        <v>132</v>
      </c>
      <c r="C42" s="86" t="s">
        <v>18</v>
      </c>
      <c r="D42" s="86">
        <v>2017</v>
      </c>
      <c r="E42" s="116">
        <v>0.15</v>
      </c>
      <c r="F42" s="86" t="s">
        <v>129</v>
      </c>
      <c r="H42" s="86" t="s">
        <v>130</v>
      </c>
      <c r="I42" s="86" t="s">
        <v>131</v>
      </c>
    </row>
    <row r="43" spans="1:9" s="90" customFormat="1">
      <c r="A43" s="89" t="s">
        <v>121</v>
      </c>
      <c r="B43" s="90" t="s">
        <v>132</v>
      </c>
      <c r="C43" s="90" t="s">
        <v>18</v>
      </c>
      <c r="D43" s="90">
        <v>2016</v>
      </c>
      <c r="E43" s="117">
        <v>0.17</v>
      </c>
      <c r="F43" s="90" t="s">
        <v>129</v>
      </c>
      <c r="H43" s="90" t="s">
        <v>130</v>
      </c>
      <c r="I43" s="90" t="s">
        <v>131</v>
      </c>
    </row>
    <row r="44" spans="1:9" s="90" customFormat="1">
      <c r="A44" s="89" t="s">
        <v>121</v>
      </c>
      <c r="B44" s="90" t="s">
        <v>132</v>
      </c>
      <c r="C44" s="90" t="s">
        <v>18</v>
      </c>
      <c r="D44" s="90">
        <v>2015</v>
      </c>
      <c r="E44" s="117">
        <v>0.31</v>
      </c>
      <c r="F44" s="90" t="s">
        <v>129</v>
      </c>
      <c r="H44" s="90" t="s">
        <v>130</v>
      </c>
      <c r="I44" s="90" t="s">
        <v>131</v>
      </c>
    </row>
    <row r="45" spans="1:9" s="90" customFormat="1" ht="15" customHeight="1">
      <c r="A45" s="89" t="s">
        <v>121</v>
      </c>
      <c r="B45" s="90" t="s">
        <v>132</v>
      </c>
      <c r="C45" s="90" t="s">
        <v>18</v>
      </c>
      <c r="D45" s="90">
        <v>2014</v>
      </c>
      <c r="E45" s="117">
        <v>0.5</v>
      </c>
      <c r="F45" s="90" t="s">
        <v>129</v>
      </c>
      <c r="H45" s="90" t="s">
        <v>130</v>
      </c>
      <c r="I45" s="90" t="s">
        <v>131</v>
      </c>
    </row>
    <row r="46" spans="1:9" s="90" customFormat="1">
      <c r="A46" s="89" t="s">
        <v>121</v>
      </c>
      <c r="B46" s="90" t="s">
        <v>132</v>
      </c>
      <c r="C46" s="90" t="s">
        <v>15</v>
      </c>
      <c r="D46" s="90">
        <v>2017</v>
      </c>
      <c r="E46" s="117">
        <v>0</v>
      </c>
      <c r="F46" s="90" t="s">
        <v>129</v>
      </c>
      <c r="H46" s="90" t="s">
        <v>130</v>
      </c>
      <c r="I46" s="90" t="s">
        <v>131</v>
      </c>
    </row>
    <row r="47" spans="1:9" s="90" customFormat="1">
      <c r="A47" s="89" t="s">
        <v>121</v>
      </c>
      <c r="B47" s="90" t="s">
        <v>132</v>
      </c>
      <c r="C47" s="90" t="s">
        <v>15</v>
      </c>
      <c r="D47" s="90">
        <v>2016</v>
      </c>
      <c r="E47" s="117">
        <v>0</v>
      </c>
      <c r="F47" s="90" t="s">
        <v>129</v>
      </c>
      <c r="H47" s="90" t="s">
        <v>130</v>
      </c>
      <c r="I47" s="90" t="s">
        <v>131</v>
      </c>
    </row>
    <row r="48" spans="1:9" s="90" customFormat="1">
      <c r="A48" s="89" t="s">
        <v>121</v>
      </c>
      <c r="B48" s="90" t="s">
        <v>132</v>
      </c>
      <c r="C48" s="90" t="s">
        <v>15</v>
      </c>
      <c r="D48" s="90">
        <v>2015</v>
      </c>
      <c r="E48" s="117">
        <v>0</v>
      </c>
      <c r="F48" s="90" t="s">
        <v>129</v>
      </c>
      <c r="H48" s="90" t="s">
        <v>130</v>
      </c>
      <c r="I48" s="90" t="s">
        <v>131</v>
      </c>
    </row>
    <row r="49" spans="1:9" s="90" customFormat="1">
      <c r="A49" s="89" t="s">
        <v>121</v>
      </c>
      <c r="B49" s="90" t="s">
        <v>132</v>
      </c>
      <c r="C49" s="90" t="s">
        <v>15</v>
      </c>
      <c r="D49" s="90">
        <v>2014</v>
      </c>
      <c r="E49" s="117">
        <v>0</v>
      </c>
      <c r="F49" s="90" t="s">
        <v>129</v>
      </c>
      <c r="H49" s="90" t="s">
        <v>130</v>
      </c>
      <c r="I49" s="90" t="s">
        <v>131</v>
      </c>
    </row>
    <row r="50" spans="1:9" s="90" customFormat="1">
      <c r="A50" s="89" t="s">
        <v>121</v>
      </c>
      <c r="B50" s="90" t="s">
        <v>132</v>
      </c>
      <c r="C50" s="90" t="s">
        <v>11</v>
      </c>
      <c r="D50" s="90">
        <v>2017</v>
      </c>
      <c r="E50" s="117">
        <v>0.01</v>
      </c>
      <c r="F50" s="90" t="s">
        <v>129</v>
      </c>
      <c r="H50" s="90" t="s">
        <v>130</v>
      </c>
      <c r="I50" s="90" t="s">
        <v>131</v>
      </c>
    </row>
    <row r="51" spans="1:9" s="90" customFormat="1">
      <c r="A51" s="89" t="s">
        <v>121</v>
      </c>
      <c r="B51" s="90" t="s">
        <v>132</v>
      </c>
      <c r="C51" s="90" t="s">
        <v>11</v>
      </c>
      <c r="D51" s="90">
        <v>2016</v>
      </c>
      <c r="E51" s="117">
        <v>0.02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11</v>
      </c>
      <c r="D52" s="90">
        <v>2015</v>
      </c>
      <c r="E52" s="117">
        <v>0.3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11</v>
      </c>
      <c r="D53" s="90">
        <v>2014</v>
      </c>
      <c r="E53" s="117">
        <v>0.04</v>
      </c>
      <c r="F53" s="90" t="s">
        <v>129</v>
      </c>
      <c r="H53" s="90" t="s">
        <v>130</v>
      </c>
      <c r="I53" s="90" t="s">
        <v>131</v>
      </c>
    </row>
    <row r="54" spans="1:9" s="99" customFormat="1">
      <c r="A54" s="98" t="s">
        <v>121</v>
      </c>
      <c r="B54" s="99" t="s">
        <v>133</v>
      </c>
      <c r="C54" s="99" t="s">
        <v>18</v>
      </c>
      <c r="D54" s="99">
        <v>2017</v>
      </c>
      <c r="E54" s="114">
        <v>61022</v>
      </c>
      <c r="F54" s="99" t="s">
        <v>129</v>
      </c>
      <c r="H54" s="99" t="s">
        <v>130</v>
      </c>
      <c r="I54" s="99" t="s">
        <v>131</v>
      </c>
    </row>
    <row r="55" spans="1:9" s="76" customFormat="1">
      <c r="A55" s="75" t="s">
        <v>121</v>
      </c>
      <c r="B55" s="76" t="s">
        <v>133</v>
      </c>
      <c r="C55" s="76" t="s">
        <v>18</v>
      </c>
      <c r="D55" s="76">
        <v>2016</v>
      </c>
      <c r="E55" s="113">
        <v>72246</v>
      </c>
      <c r="F55" s="76" t="s">
        <v>129</v>
      </c>
      <c r="H55" s="76" t="s">
        <v>130</v>
      </c>
      <c r="I55" s="76" t="s">
        <v>131</v>
      </c>
    </row>
    <row r="56" spans="1:9" s="76" customFormat="1">
      <c r="A56" s="75" t="s">
        <v>121</v>
      </c>
      <c r="B56" s="76" t="s">
        <v>133</v>
      </c>
      <c r="C56" s="76" t="s">
        <v>18</v>
      </c>
      <c r="D56" s="76">
        <v>2015</v>
      </c>
      <c r="E56" s="113">
        <v>78257</v>
      </c>
      <c r="F56" s="76" t="s">
        <v>129</v>
      </c>
      <c r="H56" s="76" t="s">
        <v>130</v>
      </c>
      <c r="I56" s="76" t="s">
        <v>131</v>
      </c>
    </row>
    <row r="57" spans="1:9" s="76" customFormat="1">
      <c r="A57" s="75" t="s">
        <v>121</v>
      </c>
      <c r="B57" s="76" t="s">
        <v>133</v>
      </c>
      <c r="C57" s="76" t="s">
        <v>18</v>
      </c>
      <c r="D57" s="76">
        <v>2014</v>
      </c>
      <c r="E57" s="113">
        <v>100852</v>
      </c>
      <c r="F57" s="76" t="s">
        <v>129</v>
      </c>
      <c r="H57" s="76" t="s">
        <v>130</v>
      </c>
      <c r="I57" s="76" t="s">
        <v>131</v>
      </c>
    </row>
    <row r="58" spans="1:9" s="76" customFormat="1">
      <c r="A58" s="75" t="s">
        <v>121</v>
      </c>
      <c r="B58" s="76" t="s">
        <v>133</v>
      </c>
      <c r="C58" s="76" t="s">
        <v>15</v>
      </c>
      <c r="D58" s="76">
        <v>2017</v>
      </c>
      <c r="E58" s="113">
        <v>1823</v>
      </c>
      <c r="F58" s="76" t="s">
        <v>129</v>
      </c>
      <c r="H58" s="76" t="s">
        <v>130</v>
      </c>
      <c r="I58" s="76" t="s">
        <v>131</v>
      </c>
    </row>
    <row r="59" spans="1:9" s="76" customFormat="1">
      <c r="A59" s="75" t="s">
        <v>121</v>
      </c>
      <c r="B59" s="76" t="s">
        <v>133</v>
      </c>
      <c r="C59" s="76" t="s">
        <v>15</v>
      </c>
      <c r="D59" s="76">
        <v>2016</v>
      </c>
      <c r="E59" s="113">
        <v>2421</v>
      </c>
      <c r="F59" s="76" t="s">
        <v>129</v>
      </c>
      <c r="H59" s="76" t="s">
        <v>130</v>
      </c>
      <c r="I59" s="76" t="s">
        <v>131</v>
      </c>
    </row>
    <row r="60" spans="1:9" s="76" customFormat="1" ht="15" customHeight="1">
      <c r="A60" s="75" t="s">
        <v>121</v>
      </c>
      <c r="B60" s="76" t="s">
        <v>133</v>
      </c>
      <c r="C60" s="76" t="s">
        <v>15</v>
      </c>
      <c r="D60" s="76">
        <v>2015</v>
      </c>
      <c r="E60" s="113">
        <v>2356</v>
      </c>
      <c r="F60" s="76" t="s">
        <v>129</v>
      </c>
      <c r="H60" s="76" t="s">
        <v>130</v>
      </c>
      <c r="I60" s="76" t="s">
        <v>131</v>
      </c>
    </row>
    <row r="61" spans="1:9" s="76" customFormat="1">
      <c r="A61" s="75" t="s">
        <v>121</v>
      </c>
      <c r="B61" s="76" t="s">
        <v>133</v>
      </c>
      <c r="C61" s="76" t="s">
        <v>15</v>
      </c>
      <c r="D61" s="76">
        <v>2014</v>
      </c>
      <c r="E61" s="113">
        <v>2282</v>
      </c>
      <c r="F61" s="76" t="s">
        <v>129</v>
      </c>
      <c r="H61" s="76" t="s">
        <v>130</v>
      </c>
      <c r="I61" s="76" t="s">
        <v>131</v>
      </c>
    </row>
    <row r="62" spans="1:9" s="76" customFormat="1">
      <c r="A62" s="75" t="s">
        <v>121</v>
      </c>
      <c r="B62" s="76" t="s">
        <v>133</v>
      </c>
      <c r="C62" s="76" t="s">
        <v>11</v>
      </c>
      <c r="D62" s="76">
        <v>2018</v>
      </c>
      <c r="E62" s="113">
        <v>9825</v>
      </c>
      <c r="F62" s="76" t="s">
        <v>129</v>
      </c>
      <c r="H62" s="76" t="s">
        <v>130</v>
      </c>
      <c r="I62" s="76" t="s">
        <v>24</v>
      </c>
    </row>
    <row r="63" spans="1:9" s="76" customFormat="1">
      <c r="A63" s="75" t="s">
        <v>121</v>
      </c>
      <c r="B63" s="76" t="s">
        <v>133</v>
      </c>
      <c r="C63" s="76" t="s">
        <v>11</v>
      </c>
      <c r="D63" s="76">
        <v>2017</v>
      </c>
      <c r="E63" s="113">
        <v>12407</v>
      </c>
      <c r="F63" s="76" t="s">
        <v>129</v>
      </c>
      <c r="H63" s="76" t="s">
        <v>130</v>
      </c>
      <c r="I63" s="76" t="s">
        <v>131</v>
      </c>
    </row>
    <row r="64" spans="1:9" s="76" customFormat="1">
      <c r="A64" s="75" t="s">
        <v>121</v>
      </c>
      <c r="B64" s="76" t="s">
        <v>133</v>
      </c>
      <c r="C64" s="76" t="s">
        <v>11</v>
      </c>
      <c r="D64" s="76">
        <v>2016</v>
      </c>
      <c r="E64" s="113">
        <v>13199</v>
      </c>
      <c r="F64" s="76" t="s">
        <v>129</v>
      </c>
      <c r="H64" s="76" t="s">
        <v>130</v>
      </c>
      <c r="I64" s="76" t="s">
        <v>131</v>
      </c>
    </row>
    <row r="65" spans="1:9" s="76" customFormat="1">
      <c r="A65" s="75" t="s">
        <v>121</v>
      </c>
      <c r="B65" s="76" t="s">
        <v>133</v>
      </c>
      <c r="C65" s="76" t="s">
        <v>11</v>
      </c>
      <c r="D65" s="76">
        <v>2015</v>
      </c>
      <c r="E65" s="113">
        <v>17088</v>
      </c>
      <c r="F65" s="76" t="s">
        <v>129</v>
      </c>
      <c r="H65" s="76" t="s">
        <v>130</v>
      </c>
      <c r="I65" s="76" t="s">
        <v>131</v>
      </c>
    </row>
    <row r="66" spans="1:9" s="76" customFormat="1">
      <c r="A66" s="75" t="s">
        <v>121</v>
      </c>
      <c r="B66" s="76" t="s">
        <v>133</v>
      </c>
      <c r="C66" s="76" t="s">
        <v>11</v>
      </c>
      <c r="D66" s="76">
        <v>2014</v>
      </c>
      <c r="E66" s="113">
        <v>15681</v>
      </c>
      <c r="F66" s="76" t="s">
        <v>129</v>
      </c>
      <c r="H66" s="76" t="s">
        <v>130</v>
      </c>
      <c r="I66" s="76" t="s">
        <v>131</v>
      </c>
    </row>
    <row r="67" spans="1:9" s="86" customFormat="1">
      <c r="A67" s="85" t="s">
        <v>121</v>
      </c>
      <c r="B67" s="86" t="s">
        <v>134</v>
      </c>
      <c r="C67" s="86" t="s">
        <v>18</v>
      </c>
      <c r="D67" s="86">
        <v>2017</v>
      </c>
      <c r="E67" s="116">
        <v>47661</v>
      </c>
      <c r="F67" s="86" t="s">
        <v>129</v>
      </c>
      <c r="H67" s="86" t="s">
        <v>130</v>
      </c>
      <c r="I67" s="86" t="s">
        <v>131</v>
      </c>
    </row>
    <row r="68" spans="1:9" s="90" customFormat="1">
      <c r="A68" s="89" t="s">
        <v>121</v>
      </c>
      <c r="B68" s="90" t="s">
        <v>134</v>
      </c>
      <c r="C68" s="90" t="s">
        <v>18</v>
      </c>
      <c r="D68" s="90">
        <v>2016</v>
      </c>
      <c r="E68" s="117">
        <v>56173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134</v>
      </c>
      <c r="C69" s="90" t="s">
        <v>18</v>
      </c>
      <c r="D69" s="90">
        <v>2015</v>
      </c>
      <c r="E69" s="117">
        <v>101918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134</v>
      </c>
      <c r="C70" s="90" t="s">
        <v>18</v>
      </c>
      <c r="D70" s="90">
        <v>2014</v>
      </c>
      <c r="E70" s="117">
        <v>164089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134</v>
      </c>
      <c r="C71" s="90" t="s">
        <v>15</v>
      </c>
      <c r="D71" s="90">
        <v>2017</v>
      </c>
      <c r="E71" s="117">
        <v>559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134</v>
      </c>
      <c r="C72" s="90" t="s">
        <v>15</v>
      </c>
      <c r="D72" s="90">
        <v>2016</v>
      </c>
      <c r="E72" s="117">
        <v>1095</v>
      </c>
      <c r="F72" s="90" t="s">
        <v>129</v>
      </c>
      <c r="H72" s="90" t="s">
        <v>130</v>
      </c>
      <c r="I72" s="92" t="s">
        <v>131</v>
      </c>
    </row>
    <row r="73" spans="1:9" s="90" customFormat="1">
      <c r="A73" s="89" t="s">
        <v>121</v>
      </c>
      <c r="B73" s="90" t="s">
        <v>134</v>
      </c>
      <c r="C73" s="90" t="s">
        <v>15</v>
      </c>
      <c r="D73" s="90">
        <v>2015</v>
      </c>
      <c r="E73" s="117">
        <v>1317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134</v>
      </c>
      <c r="C74" s="90" t="s">
        <v>15</v>
      </c>
      <c r="D74" s="90">
        <v>2014</v>
      </c>
      <c r="E74" s="117">
        <v>1812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134</v>
      </c>
      <c r="C75" s="90" t="s">
        <v>11</v>
      </c>
      <c r="D75" s="90">
        <v>2018</v>
      </c>
      <c r="E75" s="117">
        <v>1907</v>
      </c>
      <c r="F75" s="90" t="s">
        <v>129</v>
      </c>
      <c r="H75" s="90" t="s">
        <v>130</v>
      </c>
      <c r="I75" s="90" t="s">
        <v>24</v>
      </c>
    </row>
    <row r="76" spans="1:9" s="90" customFormat="1">
      <c r="A76" s="89" t="s">
        <v>121</v>
      </c>
      <c r="B76" s="90" t="s">
        <v>134</v>
      </c>
      <c r="C76" s="90" t="s">
        <v>11</v>
      </c>
      <c r="D76" s="90">
        <v>2017</v>
      </c>
      <c r="E76" s="117">
        <v>2401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134</v>
      </c>
      <c r="C77" s="90" t="s">
        <v>11</v>
      </c>
      <c r="D77" s="90">
        <v>2016</v>
      </c>
      <c r="E77" s="117">
        <v>3682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134</v>
      </c>
      <c r="C78" s="90" t="s">
        <v>11</v>
      </c>
      <c r="D78" s="90">
        <v>2015</v>
      </c>
      <c r="E78" s="117">
        <v>4742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134</v>
      </c>
      <c r="C79" s="90" t="s">
        <v>11</v>
      </c>
      <c r="D79" s="90">
        <v>2014</v>
      </c>
      <c r="E79" s="117">
        <v>7116</v>
      </c>
      <c r="F79" s="90" t="s">
        <v>129</v>
      </c>
      <c r="H79" s="90" t="s">
        <v>130</v>
      </c>
      <c r="I79" s="90" t="s">
        <v>131</v>
      </c>
    </row>
    <row r="80" spans="1:9" s="99" customFormat="1">
      <c r="A80" s="98" t="s">
        <v>135</v>
      </c>
      <c r="B80" s="99" t="s">
        <v>136</v>
      </c>
      <c r="C80" s="99" t="s">
        <v>11</v>
      </c>
      <c r="D80" s="99">
        <v>2014</v>
      </c>
      <c r="E80" s="114">
        <v>0</v>
      </c>
      <c r="F80" s="99" t="s">
        <v>137</v>
      </c>
      <c r="G80" s="99" cm="1">
        <f t="array" ref="G80">E80/(VLOOKUP(D80,net_generation!$A:$D,MATCH(C80,net_generation!$1:$1,FALSE),FALSE)/10^6)</f>
        <v>0</v>
      </c>
      <c r="H80" s="99" t="s">
        <v>238</v>
      </c>
      <c r="I80" s="99" t="s">
        <v>24</v>
      </c>
    </row>
    <row r="81" spans="1:9" s="76" customFormat="1">
      <c r="A81" s="75" t="s">
        <v>135</v>
      </c>
      <c r="B81" s="76" t="s">
        <v>136</v>
      </c>
      <c r="C81" s="76" t="s">
        <v>11</v>
      </c>
      <c r="D81" s="76">
        <v>2015</v>
      </c>
      <c r="E81" s="113">
        <v>2</v>
      </c>
      <c r="F81" s="76" t="s">
        <v>137</v>
      </c>
      <c r="G81" s="99" cm="1">
        <f t="array" ref="G81">E81/(VLOOKUP(D81,net_generation!$A:$D,MATCH(C81,net_generation!$1:$1,FALSE),FALSE)/10^6)</f>
        <v>1.0064330546672847E-2</v>
      </c>
      <c r="H81" s="99" t="s">
        <v>238</v>
      </c>
      <c r="I81" s="76" t="s">
        <v>24</v>
      </c>
    </row>
    <row r="82" spans="1:9" s="76" customFormat="1">
      <c r="A82" s="75" t="s">
        <v>135</v>
      </c>
      <c r="B82" s="76" t="s">
        <v>136</v>
      </c>
      <c r="C82" s="76" t="s">
        <v>11</v>
      </c>
      <c r="D82" s="76">
        <v>2016</v>
      </c>
      <c r="E82" s="113">
        <v>0</v>
      </c>
      <c r="F82" s="76" t="s">
        <v>137</v>
      </c>
      <c r="G82" s="99" cm="1">
        <f t="array" ref="G82">E82/(VLOOKUP(D82,net_generation!$A:$D,MATCH(C82,net_generation!$1:$1,FALSE),FALSE)/10^6)</f>
        <v>0</v>
      </c>
      <c r="H82" s="99" t="s">
        <v>238</v>
      </c>
      <c r="I82" s="76" t="s">
        <v>24</v>
      </c>
    </row>
    <row r="83" spans="1:9" s="76" customFormat="1" ht="15" customHeight="1">
      <c r="A83" s="75" t="s">
        <v>135</v>
      </c>
      <c r="B83" s="76" t="s">
        <v>136</v>
      </c>
      <c r="C83" s="76" t="s">
        <v>11</v>
      </c>
      <c r="D83" s="76">
        <v>2017</v>
      </c>
      <c r="E83" s="113">
        <v>1</v>
      </c>
      <c r="F83" s="76" t="s">
        <v>137</v>
      </c>
      <c r="G83" s="99" cm="1">
        <f t="array" ref="G83">E83/(VLOOKUP(D83,net_generation!$A:$D,MATCH(C83,net_generation!$1:$1,FALSE),FALSE)/10^6)</f>
        <v>5.2865298938119592E-3</v>
      </c>
      <c r="H83" s="99" t="s">
        <v>238</v>
      </c>
      <c r="I83" s="76" t="s">
        <v>24</v>
      </c>
    </row>
    <row r="84" spans="1:9" s="76" customFormat="1">
      <c r="A84" s="75" t="s">
        <v>135</v>
      </c>
      <c r="B84" s="76" t="s">
        <v>136</v>
      </c>
      <c r="C84" s="76" t="s">
        <v>11</v>
      </c>
      <c r="D84" s="76">
        <v>2018</v>
      </c>
      <c r="E84" s="113">
        <v>0</v>
      </c>
      <c r="F84" s="76" t="s">
        <v>137</v>
      </c>
      <c r="G84" s="99" cm="1">
        <f t="array" ref="G84">E84/(VLOOKUP(D84,net_generation!$A:$D,MATCH(C84,net_generation!$1:$1,FALSE),FALSE)/10^6)</f>
        <v>0</v>
      </c>
      <c r="H84" s="99" t="s">
        <v>238</v>
      </c>
      <c r="I84" s="76" t="s">
        <v>24</v>
      </c>
    </row>
    <row r="85" spans="1:9" s="76" customFormat="1">
      <c r="A85" s="75" t="s">
        <v>135</v>
      </c>
      <c r="B85" s="76" t="s">
        <v>136</v>
      </c>
      <c r="C85" s="76" t="s">
        <v>15</v>
      </c>
      <c r="D85" s="76">
        <v>2014</v>
      </c>
      <c r="E85" s="113">
        <v>592</v>
      </c>
      <c r="F85" s="76" t="s">
        <v>137</v>
      </c>
      <c r="G85" s="99" cm="1">
        <f t="array" ref="G85">E85/(VLOOKUP(D85,net_generation!$A:$D,MATCH(C85,net_generation!$1:$1,FALSE),FALSE)/10^6)</f>
        <v>3.3263857691212166</v>
      </c>
      <c r="H85" s="99" t="s">
        <v>238</v>
      </c>
      <c r="I85" s="79" t="s">
        <v>17</v>
      </c>
    </row>
    <row r="86" spans="1:9" s="76" customFormat="1">
      <c r="A86" s="75" t="s">
        <v>135</v>
      </c>
      <c r="B86" s="76" t="s">
        <v>136</v>
      </c>
      <c r="C86" s="76" t="s">
        <v>15</v>
      </c>
      <c r="D86" s="76">
        <v>2015</v>
      </c>
      <c r="E86" s="113">
        <v>726</v>
      </c>
      <c r="F86" s="76" t="s">
        <v>137</v>
      </c>
      <c r="G86" s="99" cm="1">
        <f t="array" ref="G86">E86/(VLOOKUP(D86,net_generation!$A:$D,MATCH(C86,net_generation!$1:$1,FALSE),FALSE)/10^6)</f>
        <v>4.0325954435012825</v>
      </c>
      <c r="H86" s="99" t="s">
        <v>238</v>
      </c>
      <c r="I86" s="79" t="s">
        <v>17</v>
      </c>
    </row>
    <row r="87" spans="1:9" s="76" customFormat="1">
      <c r="A87" s="75" t="s">
        <v>135</v>
      </c>
      <c r="B87" s="76" t="s">
        <v>136</v>
      </c>
      <c r="C87" s="76" t="s">
        <v>15</v>
      </c>
      <c r="D87" s="76">
        <v>2016</v>
      </c>
      <c r="E87" s="113">
        <v>777</v>
      </c>
      <c r="F87" s="76" t="s">
        <v>137</v>
      </c>
      <c r="G87" s="99" cm="1">
        <f t="array" ref="G87">E87/(VLOOKUP(D87,net_generation!$A:$D,MATCH(C87,net_generation!$1:$1,FALSE),FALSE)/10^6)</f>
        <v>4.1582916882372434</v>
      </c>
      <c r="H87" s="99" t="s">
        <v>238</v>
      </c>
      <c r="I87" s="79" t="s">
        <v>17</v>
      </c>
    </row>
    <row r="88" spans="1:9" s="76" customFormat="1">
      <c r="A88" s="75" t="s">
        <v>135</v>
      </c>
      <c r="B88" s="76" t="s">
        <v>136</v>
      </c>
      <c r="C88" s="76" t="s">
        <v>15</v>
      </c>
      <c r="D88" s="76">
        <v>2017</v>
      </c>
      <c r="E88" s="113">
        <v>746</v>
      </c>
      <c r="F88" s="76" t="s">
        <v>137</v>
      </c>
      <c r="G88" s="99" cm="1">
        <f t="array" ref="G88">E88/(VLOOKUP(D88,net_generation!$A:$D,MATCH(C88,net_generation!$1:$1,FALSE),FALSE)/10^6)</f>
        <v>3.8309669185761495</v>
      </c>
      <c r="H88" s="99" t="s">
        <v>238</v>
      </c>
      <c r="I88" s="79" t="s">
        <v>17</v>
      </c>
    </row>
    <row r="89" spans="1:9" s="76" customFormat="1">
      <c r="A89" s="75" t="s">
        <v>135</v>
      </c>
      <c r="B89" s="76" t="s">
        <v>136</v>
      </c>
      <c r="C89" s="76" t="s">
        <v>15</v>
      </c>
      <c r="D89" s="76">
        <v>2018</v>
      </c>
      <c r="E89" s="113">
        <v>805</v>
      </c>
      <c r="F89" s="76" t="s">
        <v>137</v>
      </c>
      <c r="G89" s="99" cm="1">
        <f t="array" ref="G89">E89/(VLOOKUP(D89,net_generation!$A:$D,MATCH(C89,net_generation!$1:$1,FALSE),FALSE)/10^6)</f>
        <v>4.1446989043578553</v>
      </c>
      <c r="H89" s="99" t="s">
        <v>238</v>
      </c>
      <c r="I89" s="79" t="s">
        <v>17</v>
      </c>
    </row>
    <row r="90" spans="1:9" s="76" customFormat="1">
      <c r="A90" s="75" t="s">
        <v>135</v>
      </c>
      <c r="B90" s="76" t="s">
        <v>136</v>
      </c>
      <c r="C90" s="76" t="s">
        <v>18</v>
      </c>
      <c r="D90" s="76">
        <v>2014</v>
      </c>
      <c r="E90" s="113">
        <v>26</v>
      </c>
      <c r="F90" s="76" t="s">
        <v>137</v>
      </c>
      <c r="G90" s="99" cm="1">
        <f t="array" ref="G90">E90/(VLOOKUP(D90,net_generation!$A:$D,MATCH(C90,net_generation!$1:$1,FALSE),FALSE)/10^6)</f>
        <v>0.10635382280635014</v>
      </c>
      <c r="H90" s="99" t="s">
        <v>238</v>
      </c>
      <c r="I90" s="79" t="s">
        <v>139</v>
      </c>
    </row>
    <row r="91" spans="1:9" s="76" customFormat="1">
      <c r="A91" s="75" t="s">
        <v>135</v>
      </c>
      <c r="B91" s="76" t="s">
        <v>136</v>
      </c>
      <c r="C91" s="76" t="s">
        <v>18</v>
      </c>
      <c r="D91" s="76">
        <v>2015</v>
      </c>
      <c r="E91" s="113">
        <v>23</v>
      </c>
      <c r="F91" s="76" t="s">
        <v>137</v>
      </c>
      <c r="G91" s="99" cm="1">
        <f t="array" ref="G91">E91/(VLOOKUP(D91,net_generation!$A:$D,MATCH(C91,net_generation!$1:$1,FALSE),FALSE)/10^6)</f>
        <v>0.10515775949963195</v>
      </c>
      <c r="H91" s="99" t="s">
        <v>238</v>
      </c>
      <c r="I91" s="79" t="s">
        <v>140</v>
      </c>
    </row>
    <row r="92" spans="1:9" s="76" customFormat="1">
      <c r="A92" s="75" t="s">
        <v>135</v>
      </c>
      <c r="B92" s="76" t="s">
        <v>136</v>
      </c>
      <c r="C92" s="76" t="s">
        <v>18</v>
      </c>
      <c r="D92" s="76">
        <v>2016</v>
      </c>
      <c r="E92" s="113">
        <v>23</v>
      </c>
      <c r="F92" s="76" t="s">
        <v>137</v>
      </c>
      <c r="G92" s="99" cm="1">
        <f t="array" ref="G92">E92/(VLOOKUP(D92,net_generation!$A:$D,MATCH(C92,net_generation!$1:$1,FALSE),FALSE)/10^6)</f>
        <v>0.10488633513464213</v>
      </c>
      <c r="H92" s="99" t="s">
        <v>238</v>
      </c>
      <c r="I92" s="79" t="s">
        <v>141</v>
      </c>
    </row>
    <row r="93" spans="1:9" s="76" customFormat="1">
      <c r="A93" s="75" t="s">
        <v>135</v>
      </c>
      <c r="B93" s="76" t="s">
        <v>136</v>
      </c>
      <c r="C93" s="76" t="s">
        <v>18</v>
      </c>
      <c r="D93" s="76">
        <v>2017</v>
      </c>
      <c r="E93" s="113">
        <v>18</v>
      </c>
      <c r="F93" s="76" t="s">
        <v>137</v>
      </c>
      <c r="G93" s="99" cm="1">
        <f t="array" ref="G93">E93/(VLOOKUP(D93,net_generation!$A:$D,MATCH(C93,net_generation!$1:$1,FALSE),FALSE)/10^6)</f>
        <v>7.9198511067991931E-2</v>
      </c>
      <c r="H93" s="99" t="s">
        <v>238</v>
      </c>
      <c r="I93" s="79" t="s">
        <v>142</v>
      </c>
    </row>
    <row r="94" spans="1:9" s="81" customFormat="1">
      <c r="A94" s="80" t="s">
        <v>135</v>
      </c>
      <c r="B94" s="81" t="s">
        <v>136</v>
      </c>
      <c r="C94" s="81" t="s">
        <v>18</v>
      </c>
      <c r="D94" s="81">
        <v>2018</v>
      </c>
      <c r="E94" s="115">
        <v>28</v>
      </c>
      <c r="F94" s="81" t="s">
        <v>137</v>
      </c>
      <c r="G94" s="99" cm="1">
        <f t="array" ref="G94">E94/(VLOOKUP(D94,net_generation!$A:$D,MATCH(C94,net_generation!$1:$1,FALSE),FALSE)/10^6)</f>
        <v>0.12010569300984868</v>
      </c>
      <c r="H94" s="99" t="s">
        <v>238</v>
      </c>
      <c r="I94" s="84" t="s">
        <v>19</v>
      </c>
    </row>
    <row r="95" spans="1:9" s="76" customFormat="1">
      <c r="A95" s="80" t="s">
        <v>135</v>
      </c>
      <c r="B95" s="81" t="s">
        <v>136</v>
      </c>
      <c r="C95" s="76" t="s">
        <v>248</v>
      </c>
      <c r="D95" s="76">
        <v>2014</v>
      </c>
      <c r="E95" s="113"/>
      <c r="F95" s="81" t="s">
        <v>137</v>
      </c>
      <c r="G95" s="226">
        <v>0</v>
      </c>
      <c r="H95" s="99" t="s">
        <v>238</v>
      </c>
      <c r="I95" s="79"/>
    </row>
    <row r="96" spans="1:9" s="76" customFormat="1">
      <c r="A96" s="80" t="s">
        <v>135</v>
      </c>
      <c r="B96" s="81" t="s">
        <v>136</v>
      </c>
      <c r="C96" s="76" t="s">
        <v>248</v>
      </c>
      <c r="D96" s="76">
        <v>2015</v>
      </c>
      <c r="E96" s="113"/>
      <c r="F96" s="81" t="s">
        <v>137</v>
      </c>
      <c r="G96" s="226">
        <v>0</v>
      </c>
      <c r="H96" s="99" t="s">
        <v>238</v>
      </c>
      <c r="I96" s="79"/>
    </row>
    <row r="97" spans="1:9" s="76" customFormat="1">
      <c r="A97" s="80" t="s">
        <v>135</v>
      </c>
      <c r="B97" s="81" t="s">
        <v>136</v>
      </c>
      <c r="C97" s="76" t="s">
        <v>248</v>
      </c>
      <c r="D97" s="76">
        <v>2016</v>
      </c>
      <c r="E97" s="113"/>
      <c r="F97" s="81" t="s">
        <v>137</v>
      </c>
      <c r="G97" s="226">
        <v>0</v>
      </c>
      <c r="H97" s="99" t="s">
        <v>238</v>
      </c>
      <c r="I97" s="79"/>
    </row>
    <row r="98" spans="1:9" s="76" customFormat="1">
      <c r="A98" s="80" t="s">
        <v>135</v>
      </c>
      <c r="B98" s="81" t="s">
        <v>136</v>
      </c>
      <c r="C98" s="76" t="s">
        <v>248</v>
      </c>
      <c r="D98" s="76">
        <v>2017</v>
      </c>
      <c r="E98" s="113"/>
      <c r="F98" s="81" t="s">
        <v>137</v>
      </c>
      <c r="G98" s="226">
        <v>0</v>
      </c>
      <c r="H98" s="99" t="s">
        <v>238</v>
      </c>
      <c r="I98" s="79"/>
    </row>
    <row r="99" spans="1:9" s="76" customFormat="1">
      <c r="A99" s="80" t="s">
        <v>135</v>
      </c>
      <c r="B99" s="81" t="s">
        <v>136</v>
      </c>
      <c r="C99" s="76" t="s">
        <v>248</v>
      </c>
      <c r="D99" s="81">
        <v>2018</v>
      </c>
      <c r="E99" s="113"/>
      <c r="F99" s="81" t="s">
        <v>137</v>
      </c>
      <c r="G99" s="226">
        <v>0</v>
      </c>
      <c r="H99" s="99" t="s">
        <v>238</v>
      </c>
      <c r="I99" s="79"/>
    </row>
    <row r="100" spans="1:9" s="69" customFormat="1">
      <c r="A100" s="119" t="s">
        <v>135</v>
      </c>
      <c r="B100" s="120" t="s">
        <v>240</v>
      </c>
      <c r="C100" s="120" t="s">
        <v>11</v>
      </c>
      <c r="D100" s="120">
        <v>2014</v>
      </c>
      <c r="E100" s="121"/>
      <c r="F100" s="120" t="s">
        <v>129</v>
      </c>
      <c r="G100" s="120">
        <f>AVERAGE(G103:G104)</f>
        <v>479.40494421325656</v>
      </c>
      <c r="H100" s="120" t="s">
        <v>239</v>
      </c>
      <c r="I100" s="122"/>
    </row>
    <row r="101" spans="1:9" s="44" customFormat="1">
      <c r="A101" s="70" t="s">
        <v>135</v>
      </c>
      <c r="B101" s="120" t="s">
        <v>240</v>
      </c>
      <c r="C101" s="71" t="s">
        <v>11</v>
      </c>
      <c r="D101" s="71">
        <v>2015</v>
      </c>
      <c r="E101" s="123"/>
      <c r="F101" s="71" t="s">
        <v>129</v>
      </c>
      <c r="G101" s="120">
        <f>AVERAGE(G103:G104)</f>
        <v>479.40494421325656</v>
      </c>
      <c r="H101" s="120" t="s">
        <v>239</v>
      </c>
      <c r="I101" s="73"/>
    </row>
    <row r="102" spans="1:9" s="44" customFormat="1">
      <c r="A102" s="70" t="s">
        <v>135</v>
      </c>
      <c r="B102" s="120" t="s">
        <v>240</v>
      </c>
      <c r="C102" s="71" t="s">
        <v>11</v>
      </c>
      <c r="D102" s="71">
        <v>2016</v>
      </c>
      <c r="E102" s="123"/>
      <c r="F102" s="71" t="s">
        <v>129</v>
      </c>
      <c r="G102" s="120">
        <f>AVERAGE(G103:G104)</f>
        <v>479.40494421325656</v>
      </c>
      <c r="H102" s="120" t="s">
        <v>239</v>
      </c>
      <c r="I102" s="73"/>
    </row>
    <row r="103" spans="1:9" s="90" customFormat="1">
      <c r="A103" s="89" t="s">
        <v>135</v>
      </c>
      <c r="B103" s="86" t="s">
        <v>240</v>
      </c>
      <c r="C103" s="90" t="s">
        <v>11</v>
      </c>
      <c r="D103" s="90">
        <v>2017</v>
      </c>
      <c r="E103" s="117">
        <v>37207.5</v>
      </c>
      <c r="F103" s="90" t="s">
        <v>129</v>
      </c>
      <c r="G103" s="86" cm="1">
        <f t="array" ref="G103">E103/(VLOOKUP(D103,net_generation!$A:$D,MATCH(C103,net_generation!$1:$1,FALSE),FALSE)/10^6)</f>
        <v>196.69856102400846</v>
      </c>
      <c r="H103" s="120" t="s">
        <v>239</v>
      </c>
      <c r="I103" s="90" t="s">
        <v>24</v>
      </c>
    </row>
    <row r="104" spans="1:9" s="90" customFormat="1">
      <c r="A104" s="89" t="s">
        <v>135</v>
      </c>
      <c r="B104" s="86" t="s">
        <v>240</v>
      </c>
      <c r="C104" s="90" t="s">
        <v>11</v>
      </c>
      <c r="D104" s="90">
        <v>2018</v>
      </c>
      <c r="E104" s="117">
        <v>147153.20000000001</v>
      </c>
      <c r="F104" s="90" t="s">
        <v>129</v>
      </c>
      <c r="G104" s="86" cm="1">
        <f t="array" ref="G104">E104/(VLOOKUP(D104,net_generation!$A:$D,MATCH(C104,net_generation!$1:$1,FALSE),FALSE)/10^6)</f>
        <v>762.11132740250468</v>
      </c>
      <c r="H104" s="120" t="s">
        <v>239</v>
      </c>
      <c r="I104" s="90" t="s">
        <v>24</v>
      </c>
    </row>
    <row r="105" spans="1:9" s="44" customFormat="1">
      <c r="A105" s="70" t="s">
        <v>135</v>
      </c>
      <c r="B105" s="120" t="s">
        <v>240</v>
      </c>
      <c r="C105" s="71" t="s">
        <v>18</v>
      </c>
      <c r="D105" s="71">
        <v>2014</v>
      </c>
      <c r="E105" s="123"/>
      <c r="F105" s="71" t="s">
        <v>129</v>
      </c>
      <c r="G105" s="120">
        <f>AVERAGE(G106:G109)</f>
        <v>448.29716759597494</v>
      </c>
      <c r="H105" s="120" t="s">
        <v>239</v>
      </c>
      <c r="I105" s="71"/>
    </row>
    <row r="106" spans="1:9" s="90" customFormat="1">
      <c r="A106" s="89" t="s">
        <v>135</v>
      </c>
      <c r="B106" s="86" t="s">
        <v>240</v>
      </c>
      <c r="C106" s="90" t="s">
        <v>18</v>
      </c>
      <c r="D106" s="90">
        <v>2015</v>
      </c>
      <c r="E106" s="117">
        <v>88000</v>
      </c>
      <c r="F106" s="90" t="s">
        <v>129</v>
      </c>
      <c r="G106" s="86" cm="1">
        <f t="array" ref="G106">E106/(VLOOKUP(D106,net_generation!$A:$D,MATCH(C106,net_generation!$1:$1,FALSE),FALSE)/10^6)</f>
        <v>402.34273199859183</v>
      </c>
      <c r="H106" s="120" t="s">
        <v>239</v>
      </c>
      <c r="I106" s="90" t="s">
        <v>144</v>
      </c>
    </row>
    <row r="107" spans="1:9" s="90" customFormat="1">
      <c r="A107" s="89" t="s">
        <v>135</v>
      </c>
      <c r="B107" s="86" t="s">
        <v>240</v>
      </c>
      <c r="C107" s="90" t="s">
        <v>18</v>
      </c>
      <c r="D107" s="90">
        <v>2016</v>
      </c>
      <c r="E107" s="117">
        <v>102000</v>
      </c>
      <c r="F107" s="90" t="s">
        <v>129</v>
      </c>
      <c r="G107" s="86" cm="1">
        <f t="array" ref="G107">E107/(VLOOKUP(D107,net_generation!$A:$D,MATCH(C107,net_generation!$1:$1,FALSE),FALSE)/10^6)</f>
        <v>465.14809494493466</v>
      </c>
      <c r="H107" s="120" t="s">
        <v>239</v>
      </c>
      <c r="I107" s="90" t="s">
        <v>144</v>
      </c>
    </row>
    <row r="108" spans="1:9" s="90" customFormat="1">
      <c r="A108" s="89" t="s">
        <v>135</v>
      </c>
      <c r="B108" s="86" t="s">
        <v>240</v>
      </c>
      <c r="C108" s="90" t="s">
        <v>18</v>
      </c>
      <c r="D108" s="90">
        <v>2017</v>
      </c>
      <c r="E108" s="117">
        <v>109000</v>
      </c>
      <c r="F108" s="90" t="s">
        <v>129</v>
      </c>
      <c r="G108" s="86" cm="1">
        <f t="array" ref="G108">E108/(VLOOKUP(D108,net_generation!$A:$D,MATCH(C108,net_generation!$1:$1,FALSE),FALSE)/10^6)</f>
        <v>479.59098368950669</v>
      </c>
      <c r="H108" s="120" t="s">
        <v>239</v>
      </c>
      <c r="I108" s="90" t="s">
        <v>144</v>
      </c>
    </row>
    <row r="109" spans="1:9" s="90" customFormat="1">
      <c r="A109" s="89" t="s">
        <v>135</v>
      </c>
      <c r="B109" s="86" t="s">
        <v>240</v>
      </c>
      <c r="C109" s="90" t="s">
        <v>18</v>
      </c>
      <c r="D109" s="90">
        <v>2018</v>
      </c>
      <c r="E109" s="117">
        <v>104000</v>
      </c>
      <c r="F109" s="90" t="s">
        <v>129</v>
      </c>
      <c r="G109" s="86" cm="1">
        <f t="array" ref="G109">E109/(VLOOKUP(D109,net_generation!$A:$D,MATCH(C109,net_generation!$1:$1,FALSE),FALSE)/10^6)</f>
        <v>446.10685975086648</v>
      </c>
      <c r="H109" s="120" t="s">
        <v>239</v>
      </c>
      <c r="I109" s="90" t="s">
        <v>144</v>
      </c>
    </row>
    <row r="110" spans="1:9" s="44" customFormat="1">
      <c r="A110" s="70" t="s">
        <v>135</v>
      </c>
      <c r="B110" s="120" t="s">
        <v>240</v>
      </c>
      <c r="C110" s="71" t="s">
        <v>15</v>
      </c>
      <c r="D110" s="71">
        <v>2014</v>
      </c>
      <c r="E110" s="123"/>
      <c r="F110" s="71" t="s">
        <v>129</v>
      </c>
      <c r="G110" s="120">
        <f>AVERAGE(G112:G114)</f>
        <v>531.8047795372496</v>
      </c>
      <c r="H110" s="120" t="s">
        <v>239</v>
      </c>
      <c r="I110" s="71"/>
    </row>
    <row r="111" spans="1:9" s="44" customFormat="1">
      <c r="A111" s="70" t="s">
        <v>135</v>
      </c>
      <c r="B111" s="120" t="s">
        <v>240</v>
      </c>
      <c r="C111" s="71" t="s">
        <v>15</v>
      </c>
      <c r="D111" s="71">
        <v>2015</v>
      </c>
      <c r="E111" s="123"/>
      <c r="F111" s="71" t="s">
        <v>129</v>
      </c>
      <c r="G111" s="120">
        <f>AVERAGE(G112:G114)</f>
        <v>531.8047795372496</v>
      </c>
      <c r="H111" s="120" t="s">
        <v>239</v>
      </c>
      <c r="I111" s="71"/>
    </row>
    <row r="112" spans="1:9" s="90" customFormat="1" ht="15" customHeight="1">
      <c r="A112" s="90" t="s">
        <v>135</v>
      </c>
      <c r="B112" s="90" t="s">
        <v>240</v>
      </c>
      <c r="C112" s="90" t="s">
        <v>15</v>
      </c>
      <c r="D112" s="90">
        <v>2016</v>
      </c>
      <c r="E112" s="117">
        <v>104000</v>
      </c>
      <c r="F112" s="90" t="s">
        <v>129</v>
      </c>
      <c r="G112" s="90" cm="1">
        <f t="array" ref="G112">E112/(VLOOKUP(D112,net_generation!$A:$D,MATCH(C112,net_generation!$1:$1,FALSE),FALSE)/10^6)</f>
        <v>556.57958246676105</v>
      </c>
      <c r="H112" s="90" t="s">
        <v>239</v>
      </c>
    </row>
    <row r="113" spans="1:11" s="90" customFormat="1">
      <c r="A113" s="90" t="s">
        <v>135</v>
      </c>
      <c r="B113" s="90" t="s">
        <v>240</v>
      </c>
      <c r="C113" s="90" t="s">
        <v>15</v>
      </c>
      <c r="D113" s="90">
        <v>2017</v>
      </c>
      <c r="E113" s="117">
        <v>90000</v>
      </c>
      <c r="F113" s="90" t="s">
        <v>129</v>
      </c>
      <c r="G113" s="90" cm="1">
        <f t="array" ref="G113">E113/(VLOOKUP(D113,net_generation!$A:$D,MATCH(C113,net_generation!$1:$1,FALSE),FALSE)/10^6)</f>
        <v>462.18099553867756</v>
      </c>
      <c r="H113" s="90" t="s">
        <v>239</v>
      </c>
    </row>
    <row r="114" spans="1:11" s="90" customFormat="1" ht="15" customHeight="1">
      <c r="A114" s="90" t="s">
        <v>135</v>
      </c>
      <c r="B114" s="90" t="s">
        <v>240</v>
      </c>
      <c r="C114" s="90" t="s">
        <v>15</v>
      </c>
      <c r="D114" s="90">
        <v>2018</v>
      </c>
      <c r="E114" s="117">
        <v>112000</v>
      </c>
      <c r="F114" s="90" t="s">
        <v>129</v>
      </c>
      <c r="G114" s="90" cm="1">
        <f t="array" ref="G114">E114/(VLOOKUP(D114,net_generation!$A:$D,MATCH(C114,net_generation!$1:$1,FALSE),FALSE)/10^6)</f>
        <v>576.65376060631024</v>
      </c>
      <c r="H114" s="90" t="s">
        <v>239</v>
      </c>
    </row>
    <row r="115" spans="1:11" s="120" customFormat="1" ht="15" customHeight="1">
      <c r="A115" s="120" t="s">
        <v>135</v>
      </c>
      <c r="B115" s="120" t="s">
        <v>240</v>
      </c>
      <c r="C115" s="120" t="s">
        <v>248</v>
      </c>
      <c r="D115" s="120">
        <v>2014</v>
      </c>
      <c r="E115" s="121"/>
      <c r="F115" s="120" t="s">
        <v>129</v>
      </c>
      <c r="G115" s="225">
        <v>0</v>
      </c>
      <c r="H115" s="120" t="s">
        <v>239</v>
      </c>
    </row>
    <row r="116" spans="1:11" s="71" customFormat="1" ht="15" customHeight="1">
      <c r="A116" s="71" t="s">
        <v>135</v>
      </c>
      <c r="B116" s="71" t="s">
        <v>240</v>
      </c>
      <c r="C116" s="71" t="s">
        <v>248</v>
      </c>
      <c r="D116" s="71">
        <v>2015</v>
      </c>
      <c r="E116" s="192">
        <f>2.25*10^6</f>
        <v>2250000</v>
      </c>
      <c r="F116" s="193" t="s">
        <v>129</v>
      </c>
      <c r="G116" s="193">
        <f>E116/(VLOOKUP(D116,net_generation!$A:$E,MATCH(C116,net_generation!$1:$1,FALSE),FALSE)/10^6)</f>
        <v>12102.636814930243</v>
      </c>
      <c r="H116" s="120" t="s">
        <v>239</v>
      </c>
    </row>
    <row r="117" spans="1:11" s="71" customFormat="1" ht="15" customHeight="1">
      <c r="A117" s="71" t="s">
        <v>135</v>
      </c>
      <c r="B117" s="71" t="s">
        <v>240</v>
      </c>
      <c r="C117" s="71" t="s">
        <v>248</v>
      </c>
      <c r="D117" s="71">
        <v>2016</v>
      </c>
      <c r="E117" s="123"/>
      <c r="F117" s="71" t="s">
        <v>129</v>
      </c>
      <c r="G117" s="193">
        <v>0</v>
      </c>
      <c r="H117" s="120" t="s">
        <v>239</v>
      </c>
    </row>
    <row r="118" spans="1:11" s="71" customFormat="1" ht="15" customHeight="1">
      <c r="A118" s="71" t="s">
        <v>135</v>
      </c>
      <c r="B118" s="71" t="s">
        <v>240</v>
      </c>
      <c r="C118" s="71" t="s">
        <v>248</v>
      </c>
      <c r="D118" s="71">
        <v>2017</v>
      </c>
      <c r="E118" s="123"/>
      <c r="F118" s="71" t="s">
        <v>129</v>
      </c>
      <c r="G118" s="193">
        <v>0</v>
      </c>
      <c r="H118" s="120" t="s">
        <v>239</v>
      </c>
    </row>
    <row r="119" spans="1:11" s="71" customFormat="1" ht="15" customHeight="1">
      <c r="A119" s="71" t="s">
        <v>135</v>
      </c>
      <c r="B119" s="71" t="s">
        <v>240</v>
      </c>
      <c r="C119" s="71" t="s">
        <v>248</v>
      </c>
      <c r="D119" s="71">
        <v>2018</v>
      </c>
      <c r="E119" s="123"/>
      <c r="F119" s="71" t="s">
        <v>129</v>
      </c>
      <c r="G119" s="193">
        <v>0</v>
      </c>
      <c r="H119" s="120" t="s">
        <v>239</v>
      </c>
    </row>
    <row r="120" spans="1:11" s="69" customFormat="1">
      <c r="A120" s="70" t="s">
        <v>135</v>
      </c>
      <c r="B120" s="71" t="s">
        <v>145</v>
      </c>
      <c r="C120" s="71" t="s">
        <v>11</v>
      </c>
      <c r="D120" s="71">
        <v>2014</v>
      </c>
      <c r="E120" s="123"/>
      <c r="F120" s="71" t="s">
        <v>129</v>
      </c>
      <c r="G120" s="71">
        <f>AVERAGE(G123:G124)</f>
        <v>0.8534620753672022</v>
      </c>
      <c r="H120" s="71" t="s">
        <v>239</v>
      </c>
      <c r="I120" s="71"/>
      <c r="J120" s="44"/>
      <c r="K120" s="44"/>
    </row>
    <row r="121" spans="1:11" s="44" customFormat="1">
      <c r="A121" s="70" t="s">
        <v>135</v>
      </c>
      <c r="B121" s="71" t="s">
        <v>145</v>
      </c>
      <c r="C121" s="71" t="s">
        <v>11</v>
      </c>
      <c r="D121" s="174">
        <v>2015</v>
      </c>
      <c r="E121" s="123"/>
      <c r="F121" s="71" t="s">
        <v>129</v>
      </c>
      <c r="G121" s="120">
        <f>AVERAGE(G123:G124)</f>
        <v>0.8534620753672022</v>
      </c>
      <c r="H121" s="120" t="s">
        <v>239</v>
      </c>
      <c r="I121" s="71"/>
    </row>
    <row r="122" spans="1:11" s="44" customFormat="1">
      <c r="A122" s="70" t="s">
        <v>135</v>
      </c>
      <c r="B122" s="71" t="s">
        <v>145</v>
      </c>
      <c r="C122" s="71" t="s">
        <v>11</v>
      </c>
      <c r="D122" s="174">
        <v>2016</v>
      </c>
      <c r="E122" s="123"/>
      <c r="F122" s="71" t="s">
        <v>129</v>
      </c>
      <c r="G122" s="120">
        <f>AVERAGE(G123:G124)</f>
        <v>0.8534620753672022</v>
      </c>
      <c r="H122" s="120" t="s">
        <v>239</v>
      </c>
      <c r="I122" s="71"/>
    </row>
    <row r="123" spans="1:11" s="76" customFormat="1" ht="15.75">
      <c r="A123" s="75" t="s">
        <v>135</v>
      </c>
      <c r="B123" s="76" t="s">
        <v>145</v>
      </c>
      <c r="C123" s="76" t="s">
        <v>11</v>
      </c>
      <c r="D123" s="51">
        <v>2017</v>
      </c>
      <c r="E123" s="113">
        <v>105.2</v>
      </c>
      <c r="F123" s="76" t="s">
        <v>129</v>
      </c>
      <c r="G123" s="120" cm="1">
        <f t="array" ref="G123">E123/(VLOOKUP(D123,net_generation!$A:$D,MATCH(C123,net_generation!$1:$1,FALSE),FALSE)/10^6)</f>
        <v>0.55614294482901805</v>
      </c>
      <c r="H123" s="120" t="s">
        <v>239</v>
      </c>
      <c r="I123" s="183" t="s">
        <v>24</v>
      </c>
    </row>
    <row r="124" spans="1:11" s="76" customFormat="1">
      <c r="A124" s="75" t="s">
        <v>135</v>
      </c>
      <c r="B124" s="76" t="s">
        <v>145</v>
      </c>
      <c r="C124" s="76" t="s">
        <v>11</v>
      </c>
      <c r="D124" s="76">
        <v>2018</v>
      </c>
      <c r="E124" s="113">
        <v>222.2</v>
      </c>
      <c r="F124" s="76" t="s">
        <v>129</v>
      </c>
      <c r="G124" s="120" cm="1">
        <f t="array" ref="G124">E124/(VLOOKUP(D124,net_generation!$A:$D,MATCH(C124,net_generation!$1:$1,FALSE),FALSE)/10^6)</f>
        <v>1.1507812059053864</v>
      </c>
      <c r="H124" s="120" t="s">
        <v>239</v>
      </c>
      <c r="I124" s="76" t="s">
        <v>24</v>
      </c>
    </row>
    <row r="125" spans="1:11" s="44" customFormat="1">
      <c r="A125" s="70" t="s">
        <v>135</v>
      </c>
      <c r="B125" s="71" t="s">
        <v>145</v>
      </c>
      <c r="C125" s="71" t="s">
        <v>18</v>
      </c>
      <c r="D125" s="71">
        <v>2014</v>
      </c>
      <c r="E125" s="123"/>
      <c r="F125" s="71" t="s">
        <v>129</v>
      </c>
      <c r="G125" s="120">
        <f>AVERAGE(G126:G129)</f>
        <v>2.1646533496665445</v>
      </c>
      <c r="H125" s="120" t="s">
        <v>239</v>
      </c>
      <c r="I125" s="71"/>
    </row>
    <row r="126" spans="1:11" s="76" customFormat="1">
      <c r="A126" s="75" t="s">
        <v>135</v>
      </c>
      <c r="B126" s="76" t="s">
        <v>145</v>
      </c>
      <c r="C126" s="76" t="s">
        <v>18</v>
      </c>
      <c r="D126" s="76">
        <v>2015</v>
      </c>
      <c r="E126" s="113">
        <v>317</v>
      </c>
      <c r="F126" s="76" t="s">
        <v>129</v>
      </c>
      <c r="G126" s="120" cm="1">
        <f t="array" ref="G126">E126/(VLOOKUP(D126,net_generation!$A:$D,MATCH(C126,net_generation!$1:$1,FALSE),FALSE)/10^6)</f>
        <v>1.4493482504949273</v>
      </c>
      <c r="H126" s="120" t="s">
        <v>239</v>
      </c>
      <c r="I126" s="76" t="s">
        <v>144</v>
      </c>
    </row>
    <row r="127" spans="1:11" s="76" customFormat="1">
      <c r="A127" s="75" t="s">
        <v>135</v>
      </c>
      <c r="B127" s="76" t="s">
        <v>145</v>
      </c>
      <c r="C127" s="76" t="s">
        <v>18</v>
      </c>
      <c r="D127" s="76">
        <v>2016</v>
      </c>
      <c r="E127" s="113">
        <v>1195</v>
      </c>
      <c r="F127" s="76" t="s">
        <v>129</v>
      </c>
      <c r="G127" s="120" cm="1">
        <f t="array" ref="G127">E127/(VLOOKUP(D127,net_generation!$A:$D,MATCH(C127,net_generation!$1:$1,FALSE),FALSE)/10^6)</f>
        <v>5.4495291515607542</v>
      </c>
      <c r="H127" s="120" t="s">
        <v>239</v>
      </c>
      <c r="I127" s="76" t="s">
        <v>144</v>
      </c>
    </row>
    <row r="128" spans="1:11" s="76" customFormat="1">
      <c r="A128" s="75" t="s">
        <v>135</v>
      </c>
      <c r="B128" s="76" t="s">
        <v>145</v>
      </c>
      <c r="C128" s="76" t="s">
        <v>18</v>
      </c>
      <c r="D128" s="76">
        <v>2017</v>
      </c>
      <c r="E128" s="113">
        <v>126</v>
      </c>
      <c r="F128" s="76" t="s">
        <v>129</v>
      </c>
      <c r="G128" s="120" cm="1">
        <f t="array" ref="G128">E128/(VLOOKUP(D128,net_generation!$A:$D,MATCH(C128,net_generation!$1:$1,FALSE),FALSE)/10^6)</f>
        <v>0.55438957747594353</v>
      </c>
      <c r="H128" s="120" t="s">
        <v>239</v>
      </c>
      <c r="I128" s="76" t="s">
        <v>144</v>
      </c>
    </row>
    <row r="129" spans="1:9" s="76" customFormat="1">
      <c r="A129" s="75" t="s">
        <v>135</v>
      </c>
      <c r="B129" s="76" t="s">
        <v>145</v>
      </c>
      <c r="C129" s="76" t="s">
        <v>18</v>
      </c>
      <c r="D129" s="76">
        <v>2018</v>
      </c>
      <c r="E129" s="113">
        <v>281</v>
      </c>
      <c r="F129" s="76" t="s">
        <v>129</v>
      </c>
      <c r="G129" s="120" cm="1">
        <f t="array" ref="G129">E129/(VLOOKUP(D129,net_generation!$A:$D,MATCH(C129,net_generation!$1:$1,FALSE),FALSE)/10^6)</f>
        <v>1.2053464191345529</v>
      </c>
      <c r="H129" s="120" t="s">
        <v>239</v>
      </c>
      <c r="I129" s="76" t="s">
        <v>144</v>
      </c>
    </row>
    <row r="130" spans="1:9" s="44" customFormat="1">
      <c r="A130" s="70" t="s">
        <v>135</v>
      </c>
      <c r="B130" s="71" t="s">
        <v>145</v>
      </c>
      <c r="C130" s="71" t="s">
        <v>15</v>
      </c>
      <c r="D130" s="71">
        <v>2014</v>
      </c>
      <c r="E130" s="123"/>
      <c r="F130" s="71" t="s">
        <v>129</v>
      </c>
      <c r="G130" s="120">
        <f>AVERAGE(G132:G134)</f>
        <v>10.510937171243803</v>
      </c>
      <c r="H130" s="120" t="s">
        <v>239</v>
      </c>
      <c r="I130" s="71"/>
    </row>
    <row r="131" spans="1:9" s="44" customFormat="1">
      <c r="A131" s="70" t="s">
        <v>135</v>
      </c>
      <c r="B131" s="71" t="s">
        <v>145</v>
      </c>
      <c r="C131" s="71" t="s">
        <v>15</v>
      </c>
      <c r="D131" s="71">
        <v>2015</v>
      </c>
      <c r="E131" s="123"/>
      <c r="F131" s="71" t="s">
        <v>129</v>
      </c>
      <c r="G131" s="120">
        <f>AVERAGE(G132:G134)</f>
        <v>10.510937171243803</v>
      </c>
      <c r="H131" s="120" t="s">
        <v>239</v>
      </c>
      <c r="I131" s="71"/>
    </row>
    <row r="132" spans="1:9" s="76" customFormat="1">
      <c r="A132" s="75" t="s">
        <v>135</v>
      </c>
      <c r="B132" s="76" t="s">
        <v>145</v>
      </c>
      <c r="C132" s="76" t="s">
        <v>15</v>
      </c>
      <c r="D132" s="76">
        <v>2016</v>
      </c>
      <c r="E132" s="113">
        <v>3668</v>
      </c>
      <c r="F132" s="76" t="s">
        <v>129</v>
      </c>
      <c r="G132" s="120" cm="1">
        <f t="array" ref="G132">E132/(VLOOKUP(D132,net_generation!$A:$D,MATCH(C132,net_generation!$1:$1,FALSE),FALSE)/10^6)</f>
        <v>19.630133735462302</v>
      </c>
      <c r="H132" s="120" t="s">
        <v>239</v>
      </c>
      <c r="I132" s="76" t="s">
        <v>146</v>
      </c>
    </row>
    <row r="133" spans="1:9" s="76" customFormat="1">
      <c r="A133" s="75" t="s">
        <v>135</v>
      </c>
      <c r="B133" s="76" t="s">
        <v>145</v>
      </c>
      <c r="C133" s="76" t="s">
        <v>15</v>
      </c>
      <c r="D133" s="76">
        <v>2017</v>
      </c>
      <c r="E133" s="113">
        <v>854</v>
      </c>
      <c r="F133" s="76" t="s">
        <v>129</v>
      </c>
      <c r="G133" s="120" cm="1">
        <f t="array" ref="G133">E133/(VLOOKUP(D133,net_generation!$A:$D,MATCH(C133,net_generation!$1:$1,FALSE),FALSE)/10^6)</f>
        <v>4.3855841132225626</v>
      </c>
      <c r="H133" s="120" t="s">
        <v>239</v>
      </c>
      <c r="I133" s="76" t="s">
        <v>146</v>
      </c>
    </row>
    <row r="134" spans="1:9" s="81" customFormat="1">
      <c r="A134" s="80" t="s">
        <v>135</v>
      </c>
      <c r="B134" s="81" t="s">
        <v>145</v>
      </c>
      <c r="C134" s="81" t="s">
        <v>15</v>
      </c>
      <c r="D134" s="81">
        <v>2018</v>
      </c>
      <c r="E134" s="115">
        <v>1460</v>
      </c>
      <c r="F134" s="81" t="s">
        <v>129</v>
      </c>
      <c r="G134" s="120" cm="1">
        <f t="array" ref="G134">E134/(VLOOKUP(D134,net_generation!$A:$D,MATCH(C134,net_generation!$1:$1,FALSE),FALSE)/10^6)</f>
        <v>7.517093665046545</v>
      </c>
      <c r="H134" s="120" t="s">
        <v>239</v>
      </c>
      <c r="I134" s="81" t="s">
        <v>146</v>
      </c>
    </row>
    <row r="135" spans="1:9" s="71" customFormat="1">
      <c r="A135" s="71" t="s">
        <v>135</v>
      </c>
      <c r="B135" s="71" t="s">
        <v>145</v>
      </c>
      <c r="C135" s="71" t="s">
        <v>248</v>
      </c>
      <c r="D135" s="71">
        <v>2014</v>
      </c>
      <c r="E135" s="123"/>
      <c r="F135" s="71" t="s">
        <v>257</v>
      </c>
      <c r="G135" s="71">
        <f>AVERAGE(G136:G139)</f>
        <v>1.4163360503985045</v>
      </c>
      <c r="H135" s="71" t="s">
        <v>239</v>
      </c>
    </row>
    <row r="136" spans="1:9" s="179" customFormat="1">
      <c r="A136" s="179" t="s">
        <v>135</v>
      </c>
      <c r="B136" s="179" t="s">
        <v>145</v>
      </c>
      <c r="C136" s="179" t="s">
        <v>248</v>
      </c>
      <c r="D136" s="179">
        <v>2015</v>
      </c>
      <c r="E136" s="180">
        <v>229.71600000000001</v>
      </c>
      <c r="F136" s="179" t="s">
        <v>257</v>
      </c>
      <c r="G136" s="179">
        <f>E136/(VLOOKUP(D136,net_generation!$A:$E,MATCH(C136,net_generation!$1:$1,FALSE),FALSE)/10^6)</f>
        <v>1.2356308082571181</v>
      </c>
      <c r="H136" s="179" t="s">
        <v>239</v>
      </c>
      <c r="I136" s="179" t="s">
        <v>249</v>
      </c>
    </row>
    <row r="137" spans="1:9" s="179" customFormat="1">
      <c r="A137" s="179" t="s">
        <v>135</v>
      </c>
      <c r="B137" s="179" t="s">
        <v>145</v>
      </c>
      <c r="C137" s="179" t="s">
        <v>248</v>
      </c>
      <c r="D137" s="179">
        <v>2016</v>
      </c>
      <c r="E137" s="180">
        <v>208.48400000000001</v>
      </c>
      <c r="F137" s="179" t="s">
        <v>257</v>
      </c>
      <c r="G137" s="179">
        <f>E137/(VLOOKUP(D137,net_generation!$A:$E,MATCH(C137,net_generation!$1:$1,FALSE),FALSE)/10^6)</f>
        <v>1.114689339480482</v>
      </c>
      <c r="H137" s="179" t="s">
        <v>239</v>
      </c>
      <c r="I137" s="179" t="s">
        <v>249</v>
      </c>
    </row>
    <row r="138" spans="1:9" s="179" customFormat="1">
      <c r="A138" s="179" t="s">
        <v>135</v>
      </c>
      <c r="B138" s="179" t="s">
        <v>145</v>
      </c>
      <c r="C138" s="179" t="s">
        <v>248</v>
      </c>
      <c r="D138" s="179">
        <v>2017</v>
      </c>
      <c r="E138" s="180">
        <v>396.55399999999997</v>
      </c>
      <c r="F138" s="179" t="s">
        <v>257</v>
      </c>
      <c r="G138" s="179">
        <f>E138/(VLOOKUP(D138,net_generation!$A:$E,MATCH(C138,net_generation!$1:$1,FALSE),FALSE)/10^6)</f>
        <v>2.0600240538564178</v>
      </c>
      <c r="H138" s="179" t="s">
        <v>239</v>
      </c>
      <c r="I138" s="179" t="s">
        <v>249</v>
      </c>
    </row>
    <row r="139" spans="1:9" s="181" customFormat="1">
      <c r="A139" s="181" t="s">
        <v>135</v>
      </c>
      <c r="B139" s="181" t="s">
        <v>145</v>
      </c>
      <c r="C139" s="181" t="s">
        <v>248</v>
      </c>
      <c r="D139" s="181">
        <v>2018</v>
      </c>
      <c r="E139" s="182">
        <v>251</v>
      </c>
      <c r="F139" s="181" t="s">
        <v>257</v>
      </c>
      <c r="G139" s="181">
        <f>E139/(VLOOKUP(D139,net_generation!$A:$E,MATCH(C139,net_generation!$1:$1,FALSE),FALSE)/10^6)</f>
        <v>1.2549999999999999</v>
      </c>
      <c r="H139" s="181" t="s">
        <v>239</v>
      </c>
      <c r="I139" s="181" t="s">
        <v>247</v>
      </c>
    </row>
    <row r="140" spans="1:9" s="86" customFormat="1">
      <c r="A140" s="85" t="s">
        <v>147</v>
      </c>
      <c r="B140" s="86" t="s">
        <v>148</v>
      </c>
      <c r="C140" s="86" t="s">
        <v>11</v>
      </c>
      <c r="D140" s="86">
        <v>2014</v>
      </c>
      <c r="E140" s="124">
        <v>1752000000000</v>
      </c>
      <c r="F140" s="86" t="s">
        <v>149</v>
      </c>
      <c r="G140" s="86" cm="1">
        <f t="array" ref="G140">E140/(VLOOKUP(D140,net_generation!$A:$D,MATCH(C140,net_generation!$1:$1,FALSE),FALSE)*1000)</f>
        <v>9.4030915851620698</v>
      </c>
      <c r="H140" s="86" t="s">
        <v>241</v>
      </c>
      <c r="I140" s="86" t="s">
        <v>24</v>
      </c>
    </row>
    <row r="141" spans="1:9" s="90" customFormat="1">
      <c r="A141" s="89" t="s">
        <v>147</v>
      </c>
      <c r="B141" s="90" t="s">
        <v>148</v>
      </c>
      <c r="C141" s="90" t="s">
        <v>11</v>
      </c>
      <c r="D141" s="90">
        <v>2015</v>
      </c>
      <c r="E141" s="125">
        <v>1857000000000</v>
      </c>
      <c r="F141" s="90" t="s">
        <v>149</v>
      </c>
      <c r="G141" s="86" cm="1">
        <f t="array" ref="G141">E141/(VLOOKUP(D141,net_generation!$A:$D,MATCH(C141,net_generation!$1:$1,FALSE),FALSE)*1000)</f>
        <v>9.3447309125857387</v>
      </c>
      <c r="H141" s="86" t="s">
        <v>241</v>
      </c>
      <c r="I141" s="90" t="s">
        <v>24</v>
      </c>
    </row>
    <row r="142" spans="1:9" s="90" customFormat="1">
      <c r="A142" s="89" t="s">
        <v>147</v>
      </c>
      <c r="B142" s="90" t="s">
        <v>148</v>
      </c>
      <c r="C142" s="90" t="s">
        <v>11</v>
      </c>
      <c r="D142" s="90">
        <v>2016</v>
      </c>
      <c r="E142" s="125">
        <v>1960000000000</v>
      </c>
      <c r="F142" s="90" t="s">
        <v>149</v>
      </c>
      <c r="G142" s="86" cm="1">
        <f t="array" ref="G142">E142/(VLOOKUP(D142,net_generation!$A:$D,MATCH(C142,net_generation!$1:$1,FALSE),FALSE)*1000)</f>
        <v>10.119989984720933</v>
      </c>
      <c r="H142" s="86" t="s">
        <v>241</v>
      </c>
      <c r="I142" s="90" t="s">
        <v>24</v>
      </c>
    </row>
    <row r="143" spans="1:9" s="90" customFormat="1">
      <c r="A143" s="89" t="s">
        <v>147</v>
      </c>
      <c r="B143" s="90" t="s">
        <v>148</v>
      </c>
      <c r="C143" s="90" t="s">
        <v>11</v>
      </c>
      <c r="D143" s="90">
        <v>2017</v>
      </c>
      <c r="E143" s="125">
        <v>2025000000000</v>
      </c>
      <c r="F143" s="90" t="s">
        <v>149</v>
      </c>
      <c r="G143" s="86" cm="1">
        <f t="array" ref="G143">E143/(VLOOKUP(D143,net_generation!$A:$D,MATCH(C143,net_generation!$1:$1,FALSE),FALSE)*1000)</f>
        <v>10.705223034969217</v>
      </c>
      <c r="H143" s="86" t="s">
        <v>241</v>
      </c>
      <c r="I143" s="90" t="s">
        <v>24</v>
      </c>
    </row>
    <row r="144" spans="1:9" s="90" customFormat="1">
      <c r="A144" s="89" t="s">
        <v>147</v>
      </c>
      <c r="B144" s="90" t="s">
        <v>148</v>
      </c>
      <c r="C144" s="90" t="s">
        <v>11</v>
      </c>
      <c r="D144" s="90">
        <v>2018</v>
      </c>
      <c r="E144" s="125">
        <v>1960000000000</v>
      </c>
      <c r="F144" s="90" t="s">
        <v>149</v>
      </c>
      <c r="G144" s="86" cm="1">
        <f t="array" ref="G144">E144/(VLOOKUP(D144,net_generation!$A:$D,MATCH(C144,net_generation!$1:$1,FALSE),FALSE)*1000)</f>
        <v>10.150905326618171</v>
      </c>
      <c r="H144" s="86" t="s">
        <v>241</v>
      </c>
      <c r="I144" s="90" t="s">
        <v>24</v>
      </c>
    </row>
    <row r="145" spans="1:10" s="90" customFormat="1">
      <c r="A145" s="89" t="s">
        <v>147</v>
      </c>
      <c r="B145" s="90" t="s">
        <v>148</v>
      </c>
      <c r="C145" s="90" t="s">
        <v>15</v>
      </c>
      <c r="D145" s="90">
        <v>2014</v>
      </c>
      <c r="E145" s="117">
        <v>13849574000000</v>
      </c>
      <c r="F145" s="90" t="s">
        <v>149</v>
      </c>
      <c r="G145" s="86" cm="1">
        <f t="array" ref="G145">E145/(VLOOKUP(D145,net_generation!$A:$D,MATCH(C145,net_generation!$1:$1,FALSE),FALSE)*1000)</f>
        <v>77.819300442552702</v>
      </c>
      <c r="H145" s="86" t="s">
        <v>241</v>
      </c>
      <c r="I145" s="92" t="s">
        <v>151</v>
      </c>
    </row>
    <row r="146" spans="1:10" s="90" customFormat="1">
      <c r="A146" s="89" t="s">
        <v>147</v>
      </c>
      <c r="B146" s="90" t="s">
        <v>148</v>
      </c>
      <c r="C146" s="90" t="s">
        <v>15</v>
      </c>
      <c r="D146" s="90">
        <v>2015</v>
      </c>
      <c r="E146" s="117">
        <v>13440737000000</v>
      </c>
      <c r="F146" s="90" t="s">
        <v>149</v>
      </c>
      <c r="G146" s="86" cm="1">
        <f t="array" ref="G146">E146/(VLOOKUP(D146,net_generation!$A:$D,MATCH(C146,net_generation!$1:$1,FALSE),FALSE)*1000)</f>
        <v>74.65710025275358</v>
      </c>
      <c r="H146" s="86" t="s">
        <v>241</v>
      </c>
      <c r="I146" s="92" t="s">
        <v>152</v>
      </c>
    </row>
    <row r="147" spans="1:10" s="90" customFormat="1">
      <c r="A147" s="89" t="s">
        <v>147</v>
      </c>
      <c r="B147" s="90" t="s">
        <v>148</v>
      </c>
      <c r="C147" s="90" t="s">
        <v>15</v>
      </c>
      <c r="D147" s="90">
        <v>2016</v>
      </c>
      <c r="E147" s="117">
        <v>13456099000000</v>
      </c>
      <c r="F147" s="90" t="s">
        <v>149</v>
      </c>
      <c r="G147" s="86" cm="1">
        <f t="array" ref="G147">E147/(VLOOKUP(D147,net_generation!$A:$D,MATCH(C147,net_generation!$1:$1,FALSE),FALSE)*1000)</f>
        <v>72.013365029340392</v>
      </c>
      <c r="H147" s="86" t="s">
        <v>241</v>
      </c>
      <c r="I147" s="92" t="s">
        <v>153</v>
      </c>
    </row>
    <row r="148" spans="1:10" s="90" customFormat="1">
      <c r="A148" s="89" t="s">
        <v>147</v>
      </c>
      <c r="B148" s="90" t="s">
        <v>148</v>
      </c>
      <c r="C148" s="90" t="s">
        <v>15</v>
      </c>
      <c r="D148" s="90">
        <v>2017</v>
      </c>
      <c r="E148" s="126">
        <v>15833678000000</v>
      </c>
      <c r="F148" s="90" t="s">
        <v>149</v>
      </c>
      <c r="G148" s="86" cm="1">
        <f t="array" ref="G148">E148/(VLOOKUP(D148,net_generation!$A:$D,MATCH(C148,net_generation!$1:$1,FALSE),FALSE)*1000)</f>
        <v>81.311389567542847</v>
      </c>
      <c r="H148" s="86" t="s">
        <v>241</v>
      </c>
      <c r="I148" s="92" t="s">
        <v>154</v>
      </c>
    </row>
    <row r="149" spans="1:10" s="90" customFormat="1">
      <c r="A149" s="89" t="s">
        <v>147</v>
      </c>
      <c r="B149" s="90" t="s">
        <v>148</v>
      </c>
      <c r="C149" s="90" t="s">
        <v>15</v>
      </c>
      <c r="D149" s="90">
        <v>2018</v>
      </c>
      <c r="E149" s="117">
        <v>18986062000000</v>
      </c>
      <c r="F149" s="90" t="s">
        <v>149</v>
      </c>
      <c r="G149" s="86" cm="1">
        <f t="array" ref="G149">E149/(VLOOKUP(D149,net_generation!$A:$D,MATCH(C149,net_generation!$1:$1,FALSE),FALSE)*1000)</f>
        <v>97.753429030397896</v>
      </c>
      <c r="H149" s="86" t="s">
        <v>241</v>
      </c>
      <c r="I149" s="92" t="s">
        <v>23</v>
      </c>
    </row>
    <row r="150" spans="1:10" s="90" customFormat="1">
      <c r="A150" s="89" t="s">
        <v>147</v>
      </c>
      <c r="B150" s="90" t="s">
        <v>148</v>
      </c>
      <c r="C150" s="90" t="s">
        <v>18</v>
      </c>
      <c r="D150" s="90">
        <v>2014</v>
      </c>
      <c r="E150" s="117">
        <v>5799000000000</v>
      </c>
      <c r="F150" s="90" t="s">
        <v>149</v>
      </c>
      <c r="G150" s="86" cm="1">
        <f t="array" ref="G150">E150/(VLOOKUP(D150,net_generation!$A:$D,MATCH(C150,net_generation!$1:$1,FALSE),FALSE)*1000)</f>
        <v>23.720993017462479</v>
      </c>
      <c r="H150" s="86" t="s">
        <v>241</v>
      </c>
      <c r="I150" s="92" t="s">
        <v>139</v>
      </c>
    </row>
    <row r="151" spans="1:10" s="90" customFormat="1">
      <c r="A151" s="89" t="s">
        <v>147</v>
      </c>
      <c r="B151" s="90" t="s">
        <v>148</v>
      </c>
      <c r="C151" s="90" t="s">
        <v>18</v>
      </c>
      <c r="D151" s="90">
        <v>2015</v>
      </c>
      <c r="E151" s="117">
        <v>6250000000000</v>
      </c>
      <c r="F151" s="90" t="s">
        <v>149</v>
      </c>
      <c r="G151" s="86" cm="1">
        <f t="array" ref="G151">E151/(VLOOKUP(D151,net_generation!$A:$D,MATCH(C151,net_generation!$1:$1,FALSE),FALSE)*1000)</f>
        <v>28.575478124899984</v>
      </c>
      <c r="H151" s="86" t="s">
        <v>241</v>
      </c>
      <c r="I151" s="92" t="s">
        <v>140</v>
      </c>
    </row>
    <row r="152" spans="1:10" s="90" customFormat="1">
      <c r="A152" s="89" t="s">
        <v>147</v>
      </c>
      <c r="B152" s="90" t="s">
        <v>148</v>
      </c>
      <c r="C152" s="90" t="s">
        <v>18</v>
      </c>
      <c r="D152" s="90">
        <v>2016</v>
      </c>
      <c r="E152" s="117">
        <v>5341000000000</v>
      </c>
      <c r="F152" s="90" t="s">
        <v>149</v>
      </c>
      <c r="G152" s="86" cm="1">
        <f t="array" ref="G152">E152/(VLOOKUP(D152,net_generation!$A:$D,MATCH(C152,net_generation!$1:$1,FALSE),FALSE)*1000)</f>
        <v>24.356431128440157</v>
      </c>
      <c r="H152" s="86" t="s">
        <v>241</v>
      </c>
      <c r="I152" s="92" t="s">
        <v>141</v>
      </c>
    </row>
    <row r="153" spans="1:10" s="90" customFormat="1">
      <c r="A153" s="89" t="s">
        <v>147</v>
      </c>
      <c r="B153" s="90" t="s">
        <v>148</v>
      </c>
      <c r="C153" s="90" t="s">
        <v>18</v>
      </c>
      <c r="D153" s="90">
        <v>2017</v>
      </c>
      <c r="E153" s="117">
        <v>5293000000000</v>
      </c>
      <c r="F153" s="90" t="s">
        <v>149</v>
      </c>
      <c r="G153" s="86" cm="1">
        <f t="array" ref="G153">E153/(VLOOKUP(D153,net_generation!$A:$D,MATCH(C153,net_generation!$1:$1,FALSE),FALSE)*1000)</f>
        <v>23.288762171271181</v>
      </c>
      <c r="H153" s="86" t="s">
        <v>241</v>
      </c>
      <c r="I153" s="92" t="s">
        <v>142</v>
      </c>
    </row>
    <row r="154" spans="1:10" s="95" customFormat="1">
      <c r="A154" s="89" t="s">
        <v>147</v>
      </c>
      <c r="B154" s="90" t="s">
        <v>148</v>
      </c>
      <c r="C154" s="90" t="s">
        <v>18</v>
      </c>
      <c r="D154" s="90">
        <v>2018</v>
      </c>
      <c r="E154" s="117">
        <v>4991000000000</v>
      </c>
      <c r="F154" s="90" t="s">
        <v>149</v>
      </c>
      <c r="G154" s="86" cm="1">
        <f t="array" ref="G154">E154/(VLOOKUP(D154,net_generation!$A:$D,MATCH(C154,net_generation!$1:$1,FALSE),FALSE)*1000)</f>
        <v>21.408839779005525</v>
      </c>
      <c r="H154" s="86" t="s">
        <v>241</v>
      </c>
      <c r="I154" s="92" t="s">
        <v>19</v>
      </c>
      <c r="J154" s="90"/>
    </row>
    <row r="155" spans="1:10" s="179" customFormat="1">
      <c r="A155" s="190" t="s">
        <v>147</v>
      </c>
      <c r="B155" s="179" t="s">
        <v>148</v>
      </c>
      <c r="C155" s="179" t="s">
        <v>248</v>
      </c>
      <c r="D155" s="179">
        <v>2014</v>
      </c>
      <c r="E155" s="180">
        <f>365*4564000000</f>
        <v>1665860000000</v>
      </c>
      <c r="F155" s="179" t="s">
        <v>149</v>
      </c>
      <c r="G155" s="181">
        <f>E155/(VLOOKUP(D155,net_generation!$A:$E,MATCH(C155,net_generation!$1:$1,FALSE),FALSE)*1000)</f>
        <v>8.7263016081934897</v>
      </c>
      <c r="H155" s="179" t="s">
        <v>241</v>
      </c>
      <c r="I155" s="191"/>
    </row>
    <row r="156" spans="1:10" s="179" customFormat="1">
      <c r="A156" s="190" t="s">
        <v>147</v>
      </c>
      <c r="B156" s="179" t="s">
        <v>148</v>
      </c>
      <c r="C156" s="179" t="s">
        <v>248</v>
      </c>
      <c r="D156" s="179">
        <v>2015</v>
      </c>
      <c r="E156" s="180">
        <f>365*3761000000</f>
        <v>1372765000000</v>
      </c>
      <c r="F156" s="179" t="s">
        <v>149</v>
      </c>
      <c r="G156" s="181">
        <f>E156/(VLOOKUP(D156,net_generation!$A:$E,MATCH(C156,net_generation!$1:$1,FALSE),FALSE)*1000)</f>
        <v>7.3840338787767621</v>
      </c>
      <c r="H156" s="179" t="s">
        <v>241</v>
      </c>
      <c r="I156" s="191"/>
    </row>
    <row r="157" spans="1:10" s="179" customFormat="1">
      <c r="A157" s="190" t="s">
        <v>147</v>
      </c>
      <c r="B157" s="179" t="s">
        <v>148</v>
      </c>
      <c r="C157" s="179" t="s">
        <v>248</v>
      </c>
      <c r="D157" s="179">
        <v>2016</v>
      </c>
      <c r="E157" s="180">
        <f>365*2968000000</f>
        <v>1083320000000</v>
      </c>
      <c r="F157" s="179" t="s">
        <v>149</v>
      </c>
      <c r="G157" s="181">
        <f>E157/(VLOOKUP(D157,net_generation!$A:$E,MATCH(C157,net_generation!$1:$1,FALSE),FALSE)*1000)</f>
        <v>5.7921243608430171</v>
      </c>
      <c r="H157" s="179" t="s">
        <v>241</v>
      </c>
      <c r="I157" s="191"/>
    </row>
    <row r="158" spans="1:10" s="179" customFormat="1">
      <c r="A158" s="190" t="s">
        <v>147</v>
      </c>
      <c r="B158" s="179" t="s">
        <v>148</v>
      </c>
      <c r="C158" s="179" t="s">
        <v>248</v>
      </c>
      <c r="D158" s="179">
        <v>2017</v>
      </c>
      <c r="E158" s="180">
        <f>365*2962000000</f>
        <v>1081130000000</v>
      </c>
      <c r="F158" s="179" t="s">
        <v>149</v>
      </c>
      <c r="G158" s="181">
        <f>E158/(VLOOKUP(D158,net_generation!$A:$E,MATCH(C158,net_generation!$1:$1,FALSE),FALSE)*1000)</f>
        <v>5.6162686679387654</v>
      </c>
      <c r="H158" s="179" t="s">
        <v>241</v>
      </c>
      <c r="I158" s="191"/>
    </row>
    <row r="159" spans="1:10" s="179" customFormat="1">
      <c r="A159" s="190" t="s">
        <v>147</v>
      </c>
      <c r="B159" s="179" t="s">
        <v>148</v>
      </c>
      <c r="C159" s="179" t="s">
        <v>248</v>
      </c>
      <c r="D159" s="179">
        <v>2018</v>
      </c>
      <c r="E159" s="180">
        <f>365*3282000000</f>
        <v>1197930000000</v>
      </c>
      <c r="F159" s="179" t="s">
        <v>149</v>
      </c>
      <c r="G159" s="194">
        <f>E159/(VLOOKUP(D159,net_generation!$A:$E,MATCH(C159,net_generation!$1:$1,FALSE),FALSE)*1000)</f>
        <v>5.9896500000000001</v>
      </c>
      <c r="H159" s="179" t="s">
        <v>241</v>
      </c>
      <c r="I159" s="191"/>
    </row>
    <row r="160" spans="1:10" s="99" customFormat="1">
      <c r="A160" s="75" t="s">
        <v>147</v>
      </c>
      <c r="B160" s="76" t="s">
        <v>155</v>
      </c>
      <c r="C160" s="76" t="s">
        <v>11</v>
      </c>
      <c r="D160" s="76">
        <v>2014</v>
      </c>
      <c r="E160" s="130">
        <v>1.6</v>
      </c>
      <c r="F160" s="131" t="s">
        <v>156</v>
      </c>
      <c r="G160" s="113">
        <v>1.6</v>
      </c>
      <c r="H160" s="132" t="s">
        <v>156</v>
      </c>
      <c r="I160" s="76" t="s">
        <v>24</v>
      </c>
      <c r="J160" s="76"/>
    </row>
    <row r="161" spans="1:9" s="76" customFormat="1">
      <c r="A161" s="75" t="s">
        <v>147</v>
      </c>
      <c r="B161" s="76" t="s">
        <v>155</v>
      </c>
      <c r="C161" s="76" t="s">
        <v>11</v>
      </c>
      <c r="D161" s="76">
        <v>2015</v>
      </c>
      <c r="E161" s="130">
        <v>2.2000000000000002</v>
      </c>
      <c r="F161" s="131" t="s">
        <v>156</v>
      </c>
      <c r="G161" s="113">
        <v>2.2000000000000002</v>
      </c>
      <c r="H161" s="132" t="s">
        <v>156</v>
      </c>
      <c r="I161" s="76" t="s">
        <v>24</v>
      </c>
    </row>
    <row r="162" spans="1:9" s="76" customFormat="1">
      <c r="A162" s="75" t="s">
        <v>147</v>
      </c>
      <c r="B162" s="76" t="s">
        <v>155</v>
      </c>
      <c r="C162" s="76" t="s">
        <v>11</v>
      </c>
      <c r="D162" s="76">
        <v>2016</v>
      </c>
      <c r="E162" s="130">
        <v>1.5</v>
      </c>
      <c r="F162" s="131" t="s">
        <v>156</v>
      </c>
      <c r="G162" s="113">
        <v>1.5</v>
      </c>
      <c r="H162" s="132" t="s">
        <v>156</v>
      </c>
      <c r="I162" s="76" t="s">
        <v>24</v>
      </c>
    </row>
    <row r="163" spans="1:9" s="76" customFormat="1">
      <c r="A163" s="75" t="s">
        <v>147</v>
      </c>
      <c r="B163" s="76" t="s">
        <v>155</v>
      </c>
      <c r="C163" s="76" t="s">
        <v>11</v>
      </c>
      <c r="D163" s="76">
        <v>2017</v>
      </c>
      <c r="E163" s="130">
        <v>1.5</v>
      </c>
      <c r="F163" s="131" t="s">
        <v>156</v>
      </c>
      <c r="G163" s="113">
        <v>1.5</v>
      </c>
      <c r="H163" s="132" t="s">
        <v>156</v>
      </c>
      <c r="I163" s="76" t="s">
        <v>24</v>
      </c>
    </row>
    <row r="164" spans="1:9" s="76" customFormat="1">
      <c r="A164" s="75" t="s">
        <v>147</v>
      </c>
      <c r="B164" s="76" t="s">
        <v>155</v>
      </c>
      <c r="C164" s="76" t="s">
        <v>11</v>
      </c>
      <c r="D164" s="76">
        <v>2018</v>
      </c>
      <c r="E164" s="130">
        <v>1.5</v>
      </c>
      <c r="F164" s="131" t="s">
        <v>156</v>
      </c>
      <c r="G164" s="113">
        <v>1.5</v>
      </c>
      <c r="H164" s="132" t="s">
        <v>156</v>
      </c>
      <c r="I164" s="76" t="s">
        <v>24</v>
      </c>
    </row>
    <row r="165" spans="1:9" s="76" customFormat="1" ht="16.5" customHeight="1">
      <c r="A165" s="75" t="s">
        <v>147</v>
      </c>
      <c r="B165" s="76" t="s">
        <v>155</v>
      </c>
      <c r="C165" s="76" t="s">
        <v>15</v>
      </c>
      <c r="D165" s="76">
        <v>2014</v>
      </c>
      <c r="E165" s="113">
        <f>233408/13849574 * 100</f>
        <v>1.6853081546046109</v>
      </c>
      <c r="F165" s="131" t="s">
        <v>156</v>
      </c>
      <c r="G165" s="113">
        <v>1.6853081546046109</v>
      </c>
      <c r="H165" s="132" t="s">
        <v>156</v>
      </c>
      <c r="I165" s="79" t="s">
        <v>151</v>
      </c>
    </row>
    <row r="166" spans="1:9" s="76" customFormat="1">
      <c r="A166" s="75" t="s">
        <v>147</v>
      </c>
      <c r="B166" s="76" t="s">
        <v>155</v>
      </c>
      <c r="C166" s="76" t="s">
        <v>15</v>
      </c>
      <c r="D166" s="76">
        <v>2015</v>
      </c>
      <c r="E166" s="113">
        <f>250513/13440737 *100</f>
        <v>1.8638338061372675</v>
      </c>
      <c r="F166" s="131" t="s">
        <v>156</v>
      </c>
      <c r="G166" s="113">
        <v>1.8638338061372675</v>
      </c>
      <c r="H166" s="132" t="s">
        <v>156</v>
      </c>
      <c r="I166" s="79" t="s">
        <v>152</v>
      </c>
    </row>
    <row r="167" spans="1:9" s="76" customFormat="1">
      <c r="A167" s="75" t="s">
        <v>147</v>
      </c>
      <c r="B167" s="76" t="s">
        <v>155</v>
      </c>
      <c r="C167" s="76" t="s">
        <v>15</v>
      </c>
      <c r="D167" s="76">
        <v>2016</v>
      </c>
      <c r="E167" s="113">
        <f>234351/13456099 *100</f>
        <v>1.741596877371369</v>
      </c>
      <c r="F167" s="131" t="s">
        <v>156</v>
      </c>
      <c r="G167" s="113">
        <v>1.741596877371369</v>
      </c>
      <c r="H167" s="132" t="s">
        <v>156</v>
      </c>
      <c r="I167" s="79" t="s">
        <v>153</v>
      </c>
    </row>
    <row r="168" spans="1:9" s="76" customFormat="1">
      <c r="A168" s="75" t="s">
        <v>147</v>
      </c>
      <c r="B168" s="76" t="s">
        <v>155</v>
      </c>
      <c r="C168" s="76" t="s">
        <v>15</v>
      </c>
      <c r="D168" s="76">
        <v>2017</v>
      </c>
      <c r="E168" s="113">
        <f>221516/15833678 *100</f>
        <v>1.3990179666404736</v>
      </c>
      <c r="F168" s="131" t="s">
        <v>156</v>
      </c>
      <c r="G168" s="113">
        <v>1.3990179666404736</v>
      </c>
      <c r="H168" s="132" t="s">
        <v>156</v>
      </c>
      <c r="I168" s="79" t="s">
        <v>154</v>
      </c>
    </row>
    <row r="169" spans="1:9" s="76" customFormat="1">
      <c r="A169" s="75" t="s">
        <v>147</v>
      </c>
      <c r="B169" s="76" t="s">
        <v>155</v>
      </c>
      <c r="C169" s="76" t="s">
        <v>15</v>
      </c>
      <c r="D169" s="76">
        <v>2018</v>
      </c>
      <c r="E169" s="113">
        <f>228422/18986062 *100</f>
        <v>1.2031036241217372</v>
      </c>
      <c r="F169" s="131" t="s">
        <v>156</v>
      </c>
      <c r="G169" s="113">
        <v>1.2031036241217372</v>
      </c>
      <c r="H169" s="132" t="s">
        <v>156</v>
      </c>
      <c r="I169" s="79" t="s">
        <v>23</v>
      </c>
    </row>
    <row r="170" spans="1:9" s="76" customFormat="1">
      <c r="A170" s="75" t="s">
        <v>147</v>
      </c>
      <c r="B170" s="76" t="s">
        <v>155</v>
      </c>
      <c r="C170" s="76" t="s">
        <v>18</v>
      </c>
      <c r="D170" s="76">
        <v>2014</v>
      </c>
      <c r="E170" s="113">
        <f>93/5799*100</f>
        <v>1.603724780134506</v>
      </c>
      <c r="F170" s="131" t="s">
        <v>156</v>
      </c>
      <c r="G170" s="113">
        <v>1.603724780134506</v>
      </c>
      <c r="H170" s="132" t="s">
        <v>156</v>
      </c>
      <c r="I170" s="79" t="s">
        <v>139</v>
      </c>
    </row>
    <row r="171" spans="1:9" s="76" customFormat="1">
      <c r="A171" s="75" t="s">
        <v>147</v>
      </c>
      <c r="B171" s="76" t="s">
        <v>155</v>
      </c>
      <c r="C171" s="76" t="s">
        <v>18</v>
      </c>
      <c r="D171" s="76">
        <v>2015</v>
      </c>
      <c r="E171" s="113">
        <f>79/6250*100</f>
        <v>1.264</v>
      </c>
      <c r="F171" s="131" t="s">
        <v>156</v>
      </c>
      <c r="G171" s="113">
        <v>1.264</v>
      </c>
      <c r="H171" s="132" t="s">
        <v>156</v>
      </c>
      <c r="I171" s="79" t="s">
        <v>140</v>
      </c>
    </row>
    <row r="172" spans="1:9" s="76" customFormat="1">
      <c r="A172" s="75" t="s">
        <v>147</v>
      </c>
      <c r="B172" s="76" t="s">
        <v>155</v>
      </c>
      <c r="C172" s="76" t="s">
        <v>18</v>
      </c>
      <c r="D172" s="76">
        <v>2016</v>
      </c>
      <c r="E172" s="113">
        <f>74/5341*100</f>
        <v>1.3855083317730763</v>
      </c>
      <c r="F172" s="131" t="s">
        <v>156</v>
      </c>
      <c r="G172" s="113">
        <v>1.3855083317730763</v>
      </c>
      <c r="H172" s="132" t="s">
        <v>156</v>
      </c>
      <c r="I172" s="79" t="s">
        <v>141</v>
      </c>
    </row>
    <row r="173" spans="1:9" s="76" customFormat="1">
      <c r="A173" s="75" t="s">
        <v>147</v>
      </c>
      <c r="B173" s="76" t="s">
        <v>155</v>
      </c>
      <c r="C173" s="76" t="s">
        <v>18</v>
      </c>
      <c r="D173" s="76">
        <v>2017</v>
      </c>
      <c r="E173" s="113">
        <f>71/5293*100</f>
        <v>1.3413942943510295</v>
      </c>
      <c r="F173" s="131" t="s">
        <v>156</v>
      </c>
      <c r="G173" s="113">
        <v>1.3413942943510295</v>
      </c>
      <c r="H173" s="132" t="s">
        <v>156</v>
      </c>
      <c r="I173" s="79" t="s">
        <v>142</v>
      </c>
    </row>
    <row r="174" spans="1:9" s="81" customFormat="1">
      <c r="A174" s="80" t="s">
        <v>147</v>
      </c>
      <c r="B174" s="81" t="s">
        <v>155</v>
      </c>
      <c r="C174" s="81" t="s">
        <v>18</v>
      </c>
      <c r="D174" s="81">
        <v>2018</v>
      </c>
      <c r="E174" s="115">
        <f>84/4991*100</f>
        <v>1.6830294530154277</v>
      </c>
      <c r="F174" s="133" t="s">
        <v>156</v>
      </c>
      <c r="G174" s="115">
        <v>1.6830294530154277</v>
      </c>
      <c r="H174" s="134" t="s">
        <v>156</v>
      </c>
      <c r="I174" s="84" t="s">
        <v>19</v>
      </c>
    </row>
    <row r="175" spans="1:9" s="181" customFormat="1">
      <c r="A175" s="190" t="s">
        <v>147</v>
      </c>
      <c r="B175" s="181" t="s">
        <v>155</v>
      </c>
      <c r="C175" s="181" t="s">
        <v>248</v>
      </c>
      <c r="D175" s="184">
        <v>2014</v>
      </c>
      <c r="E175" s="182">
        <f>((308000000*365)/E155)*100</f>
        <v>6.7484662576687118</v>
      </c>
      <c r="F175" s="181" t="s">
        <v>156</v>
      </c>
      <c r="G175" s="182">
        <f>E175</f>
        <v>6.7484662576687118</v>
      </c>
      <c r="H175" s="181" t="s">
        <v>156</v>
      </c>
      <c r="I175" s="181" t="s">
        <v>247</v>
      </c>
    </row>
    <row r="176" spans="1:9" s="181" customFormat="1">
      <c r="A176" s="190" t="s">
        <v>147</v>
      </c>
      <c r="B176" s="181" t="s">
        <v>155</v>
      </c>
      <c r="C176" s="181" t="s">
        <v>248</v>
      </c>
      <c r="D176" s="181">
        <v>2015</v>
      </c>
      <c r="E176" s="182">
        <f>((273000000*365)/E156)*100</f>
        <v>7.258707790481254</v>
      </c>
      <c r="F176" s="181" t="s">
        <v>156</v>
      </c>
      <c r="G176" s="182">
        <f>E176</f>
        <v>7.258707790481254</v>
      </c>
      <c r="H176" s="181" t="s">
        <v>156</v>
      </c>
      <c r="I176" s="181" t="s">
        <v>247</v>
      </c>
    </row>
    <row r="177" spans="1:9" s="181" customFormat="1">
      <c r="A177" s="190" t="s">
        <v>147</v>
      </c>
      <c r="B177" s="181" t="s">
        <v>155</v>
      </c>
      <c r="C177" s="181" t="s">
        <v>248</v>
      </c>
      <c r="D177" s="181">
        <v>2016</v>
      </c>
      <c r="E177" s="182">
        <f>((237000000*365)/E157)*100</f>
        <v>7.9851752021563343</v>
      </c>
      <c r="F177" s="181" t="s">
        <v>156</v>
      </c>
      <c r="G177" s="182">
        <f>E177</f>
        <v>7.9851752021563343</v>
      </c>
      <c r="H177" s="181" t="s">
        <v>156</v>
      </c>
      <c r="I177" s="181" t="s">
        <v>247</v>
      </c>
    </row>
    <row r="178" spans="1:9" s="181" customFormat="1">
      <c r="A178" s="190" t="s">
        <v>147</v>
      </c>
      <c r="B178" s="181" t="s">
        <v>155</v>
      </c>
      <c r="C178" s="181" t="s">
        <v>248</v>
      </c>
      <c r="D178" s="181">
        <v>2017</v>
      </c>
      <c r="E178" s="182">
        <f>((226000000*365)/E158)*100</f>
        <v>7.6299797434166106</v>
      </c>
      <c r="F178" s="181" t="s">
        <v>156</v>
      </c>
      <c r="G178" s="182">
        <f>E178</f>
        <v>7.6299797434166106</v>
      </c>
      <c r="H178" s="181" t="s">
        <v>156</v>
      </c>
      <c r="I178" s="181" t="s">
        <v>247</v>
      </c>
    </row>
    <row r="179" spans="1:9" s="181" customFormat="1">
      <c r="A179" s="190" t="s">
        <v>147</v>
      </c>
      <c r="B179" s="181" t="s">
        <v>155</v>
      </c>
      <c r="C179" s="181" t="s">
        <v>248</v>
      </c>
      <c r="D179" s="181">
        <v>2018</v>
      </c>
      <c r="E179" s="182">
        <f>((260000000*365)/E159)*100</f>
        <v>7.9219987812309576</v>
      </c>
      <c r="F179" s="181" t="s">
        <v>156</v>
      </c>
      <c r="G179" s="182">
        <f>E179</f>
        <v>7.9219987812309576</v>
      </c>
      <c r="H179" s="181" t="s">
        <v>156</v>
      </c>
      <c r="I179" s="181" t="s">
        <v>247</v>
      </c>
    </row>
  </sheetData>
  <autoFilter ref="A1:I174" xr:uid="{3614E37E-F4C3-4B0E-9466-023FE8460AE8}"/>
  <sortState xmlns:xlrd2="http://schemas.microsoft.com/office/spreadsheetml/2017/richdata2" ref="A23:J26">
    <sortCondition descending="1" ref="A22"/>
  </sortState>
  <hyperlinks>
    <hyperlink ref="I16" r:id="rId1" xr:uid="{34D2E7DD-E715-4B28-B985-4D381DA1B5BD}"/>
    <hyperlink ref="I52:I53" r:id="rId2" display="http://www.nexteraenergy.com/sustainability/overview/about-this-report/by-the-numbers.html" xr:uid="{1EFAAD91-7D5C-4EC2-B1EC-44FA8C336740}"/>
    <hyperlink ref="I14" r:id="rId3" xr:uid="{6702E583-B39A-B048-8CFF-0745B279AA4C}"/>
    <hyperlink ref="I54:I57" r:id="rId4" display="http://www.nexteraenergy.com/sustainability/overview/about-this-report/by-the-numbers.html" xr:uid="{E7239E18-526F-4C46-9EA1-6FE331D8188F}"/>
    <hyperlink ref="I10" r:id="rId5" display="http://www.nexteraenergy.com/sustainability/overview/about-this-report/by-the-numbers.html" xr:uid="{167C8664-AF29-664F-8264-5B7814E5A9A4}"/>
    <hyperlink ref="I150" r:id="rId6" xr:uid="{792E7F79-31ED-4EFE-98A9-92FD35885F63}"/>
    <hyperlink ref="I151" r:id="rId7" xr:uid="{84F51E96-B639-4720-826D-534256AEF578}"/>
    <hyperlink ref="I153" r:id="rId8" xr:uid="{F78428F1-116A-47CF-AE59-260652F0B575}"/>
    <hyperlink ref="I154" r:id="rId9" xr:uid="{3C651A37-6F67-42BD-ADEE-422F2CD50DE5}"/>
    <hyperlink ref="I152" r:id="rId10" xr:uid="{93A1BA7D-5BF1-4879-BD34-28EFEF4E6ADD}"/>
    <hyperlink ref="I149" r:id="rId11" xr:uid="{5F984559-B689-4D98-9F66-FB31534F4036}"/>
    <hyperlink ref="I2:I4" r:id="rId12" display="https://www.exeloncorp.com/sustainability/interactive-csr?year=2015&amp;page=78" xr:uid="{10AE4339-3501-4562-A773-2B1248276E46}"/>
    <hyperlink ref="I169" r:id="rId13" xr:uid="{8EDBF17F-7C19-4699-8AE6-6C74202D49C7}"/>
    <hyperlink ref="I10:I11" r:id="rId14" display="https://www.exeloncorp.com/sustainability/interactive-csr?year=2015&amp;page=78" xr:uid="{A549E395-662B-4170-875C-E93C429B00F1}"/>
    <hyperlink ref="I170" r:id="rId15" xr:uid="{70001B76-F677-406F-B9B1-BC88FF8E6B41}"/>
    <hyperlink ref="I171" r:id="rId16" xr:uid="{2F39148C-EF20-4F41-B8AF-8578834578BF}"/>
    <hyperlink ref="I173" r:id="rId17" xr:uid="{E49F34BD-2071-41F8-937D-FD05BA00C67D}"/>
    <hyperlink ref="I174" r:id="rId18" xr:uid="{AEAD4E2A-2E4C-4587-93B3-6A37391D9EA0}"/>
    <hyperlink ref="I172" r:id="rId19" xr:uid="{FB5BE655-778A-4D6B-9CB9-E0E40CC4EB4C}"/>
    <hyperlink ref="I85" r:id="rId20" xr:uid="{9716A8B1-D099-4A18-859A-DD88A5F3CECC}"/>
    <hyperlink ref="I86" r:id="rId21" xr:uid="{560B16C4-A0A4-4437-BEBC-64E182AA62C4}"/>
    <hyperlink ref="I88" r:id="rId22" xr:uid="{8D0A228C-7CEA-4398-9D81-E8216DEE5994}"/>
    <hyperlink ref="I89" r:id="rId23" xr:uid="{274D911F-5F72-4EA8-8F7F-C183E3A5E54A}"/>
    <hyperlink ref="I87" r:id="rId24" xr:uid="{CF80821D-B943-479C-BA10-D21B8D2C7C19}"/>
    <hyperlink ref="I90" r:id="rId25" xr:uid="{99DBE994-18C2-4DE3-8A0B-4F5C5AE1B864}"/>
    <hyperlink ref="I91" r:id="rId26" xr:uid="{278D648C-7B77-4BB4-B705-2082D0D35664}"/>
    <hyperlink ref="I93" r:id="rId27" xr:uid="{97A61A2D-10E9-499B-911B-A807988FD035}"/>
    <hyperlink ref="I94" r:id="rId28" xr:uid="{C6476C8A-B51F-4BC7-AC94-B624E07BA670}"/>
    <hyperlink ref="I92" r:id="rId29" xr:uid="{D4524B02-77C9-4D14-9A93-B99F3B8CFAD2}"/>
    <hyperlink ref="I72" r:id="rId30" location="overlay-context=content/benchmarking-air-emissions-past-reports" xr:uid="{23FE0437-745A-B84D-93B5-5DD14F56606C}"/>
    <hyperlink ref="I11" r:id="rId31" xr:uid="{AAB7525C-1F8A-4A79-9232-65086B3F6C92}"/>
    <hyperlink ref="I36" r:id="rId32" location="overlay-context=content/benchmarking-air-emissions-past-reports" xr:uid="{190F4296-A555-8144-BB49-4227623DC022}"/>
    <hyperlink ref="I123" r:id="rId33" xr:uid="{7D6CC500-C72F-0C44-B7F2-7CB689BADCD3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AD5-753B-734A-9286-6F80E891437C}">
  <dimension ref="A1:I105"/>
  <sheetViews>
    <sheetView zoomScale="69" workbookViewId="0">
      <selection activeCell="B98" sqref="B98"/>
    </sheetView>
  </sheetViews>
  <sheetFormatPr defaultColWidth="11" defaultRowHeight="15"/>
  <cols>
    <col min="1" max="1" width="11" style="1"/>
    <col min="2" max="2" width="31.625" style="1" bestFit="1" customWidth="1"/>
    <col min="3" max="3" width="9" style="1"/>
    <col min="4" max="4" width="11.5" style="1" bestFit="1" customWidth="1"/>
    <col min="5" max="5" width="29.625" style="52" bestFit="1" customWidth="1"/>
    <col min="6" max="6" width="37.5" style="1" bestFit="1" customWidth="1"/>
    <col min="7" max="7" width="17.3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 ht="14.25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245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86" t="s">
        <v>245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86" t="s">
        <v>245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86" t="s">
        <v>245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86" t="s">
        <v>245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86" t="s">
        <v>245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86" t="s">
        <v>245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86" t="s">
        <v>245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86" t="s">
        <v>245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86" t="s">
        <v>245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86" t="s">
        <v>245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86" t="s">
        <v>245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86" t="s">
        <v>245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86" t="s">
        <v>245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86" t="s">
        <v>245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90" customFormat="1">
      <c r="A56" s="89" t="s">
        <v>36</v>
      </c>
      <c r="B56" s="90" t="s">
        <v>40</v>
      </c>
      <c r="C56" s="90" t="s">
        <v>18</v>
      </c>
      <c r="D56" s="90">
        <v>2018</v>
      </c>
      <c r="E56" s="91">
        <v>5345592</v>
      </c>
      <c r="F56" s="90" t="s">
        <v>41</v>
      </c>
      <c r="G56" s="90" cm="1">
        <f t="array" ref="G56">E56/VLOOKUP(D56,operating_revenue!$A:$D,MATCH(C56,operating_revenue!$1:$1,FALSE),FALSE) *100</f>
        <v>1.4857946522875089E-2</v>
      </c>
      <c r="H56" s="90" t="s">
        <v>42</v>
      </c>
      <c r="I56" s="90" t="s">
        <v>44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2017</v>
      </c>
      <c r="E57" s="91">
        <v>6631595</v>
      </c>
      <c r="F57" s="90" t="s">
        <v>41</v>
      </c>
      <c r="G57" s="90" cm="1">
        <f t="array" ref="G57">E57/VLOOKUP(D57,operating_revenue!$A:$D,MATCH(C57,operating_revenue!$1:$1,FALSE),FALSE) *100</f>
        <v>1.9761591870790868E-2</v>
      </c>
      <c r="H57" s="90" t="s">
        <v>42</v>
      </c>
      <c r="I57" s="90" t="s">
        <v>45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2016</v>
      </c>
      <c r="E58" s="91">
        <v>6770000</v>
      </c>
      <c r="F58" s="90" t="s">
        <v>41</v>
      </c>
      <c r="G58" s="90" cm="1">
        <f t="array" ref="G58">E58/VLOOKUP(D58,operating_revenue!$A:$D,MATCH(C58,operating_revenue!$1:$1,FALSE),FALSE) *100</f>
        <v>2.1588010204081635E-2</v>
      </c>
      <c r="H58" s="90" t="s">
        <v>42</v>
      </c>
      <c r="I58" s="90" t="s">
        <v>46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2015</v>
      </c>
      <c r="E59" s="91">
        <v>5762000</v>
      </c>
      <c r="F59" s="90" t="s">
        <v>41</v>
      </c>
      <c r="G59" s="90" cm="1">
        <f t="array" ref="G59">E59/VLOOKUP(D59,operating_revenue!$A:$D,MATCH(C59,operating_revenue!$1:$1,FALSE),FALSE) *100</f>
        <v>1.9567358304750909E-2</v>
      </c>
      <c r="H59" s="90" t="s">
        <v>42</v>
      </c>
      <c r="I59" s="90" t="s">
        <v>47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2014</v>
      </c>
      <c r="E60" s="91">
        <v>5870000</v>
      </c>
      <c r="F60" s="90" t="s">
        <v>41</v>
      </c>
      <c r="G60" s="90" cm="1">
        <f t="array" ref="G60">E60/VLOOKUP(D60,operating_revenue!$A:$D,MATCH(C60,operating_revenue!$1:$1,FALSE),FALSE) *100</f>
        <v>2.1400707280615407E-2</v>
      </c>
      <c r="H60" s="90" t="s">
        <v>42</v>
      </c>
      <c r="I60" s="90" t="s">
        <v>48</v>
      </c>
    </row>
    <row r="61" spans="1:9" s="90" customFormat="1">
      <c r="A61" s="89" t="s">
        <v>36</v>
      </c>
      <c r="B61" s="90" t="s">
        <v>40</v>
      </c>
      <c r="C61" s="90" t="s">
        <v>15</v>
      </c>
      <c r="D61" s="90">
        <v>2018</v>
      </c>
      <c r="E61" s="91">
        <v>5625000</v>
      </c>
      <c r="F61" s="90" t="s">
        <v>41</v>
      </c>
      <c r="G61" s="90" cm="1">
        <f t="array" ref="G61">E61/VLOOKUP(D61,operating_revenue!$A:$D,MATCH(C61,operating_revenue!$1:$1,FALSE),FALSE) *100</f>
        <v>2.2939521226703639E-2</v>
      </c>
      <c r="H61" s="90" t="s">
        <v>42</v>
      </c>
      <c r="I61" s="90" t="s">
        <v>61</v>
      </c>
    </row>
    <row r="62" spans="1:9" s="90" customFormat="1" ht="15.75">
      <c r="A62" s="89" t="s">
        <v>36</v>
      </c>
      <c r="B62" s="90" t="s">
        <v>40</v>
      </c>
      <c r="C62" s="90" t="s">
        <v>15</v>
      </c>
      <c r="D62" s="90">
        <v>2017</v>
      </c>
      <c r="E62" s="91">
        <v>4520000</v>
      </c>
      <c r="F62" s="90" t="s">
        <v>41</v>
      </c>
      <c r="G62" s="90" cm="1">
        <f t="array" ref="G62">E62/VLOOKUP(D62,operating_revenue!$A:$D,MATCH(C62,operating_revenue!$1:$1,FALSE),FALSE) *100</f>
        <v>1.9180988754508806E-2</v>
      </c>
      <c r="H62" s="90" t="s">
        <v>42</v>
      </c>
      <c r="I62" s="169" t="s">
        <v>62</v>
      </c>
    </row>
    <row r="63" spans="1:9" s="90" customFormat="1">
      <c r="A63" s="89" t="s">
        <v>36</v>
      </c>
      <c r="B63" s="90" t="s">
        <v>40</v>
      </c>
      <c r="C63" s="90" t="s">
        <v>15</v>
      </c>
      <c r="D63" s="90">
        <v>2016</v>
      </c>
      <c r="E63" s="91">
        <v>5230000</v>
      </c>
      <c r="F63" s="90" t="s">
        <v>41</v>
      </c>
      <c r="G63" s="90" cm="1">
        <f t="array" ref="G63">E63/VLOOKUP(D63,operating_revenue!$A:$D,MATCH(C63,operating_revenue!$1:$1,FALSE),FALSE) *100</f>
        <v>2.2996086707998065E-2</v>
      </c>
      <c r="H63" s="90" t="s">
        <v>42</v>
      </c>
      <c r="I63" s="90" t="s">
        <v>63</v>
      </c>
    </row>
    <row r="64" spans="1:9" s="90" customFormat="1">
      <c r="A64" s="89" t="s">
        <v>36</v>
      </c>
      <c r="B64" s="90" t="s">
        <v>40</v>
      </c>
      <c r="C64" s="90" t="s">
        <v>15</v>
      </c>
      <c r="D64" s="90">
        <v>2015</v>
      </c>
      <c r="E64" s="91">
        <v>6100000</v>
      </c>
      <c r="F64" s="90" t="s">
        <v>41</v>
      </c>
      <c r="G64" s="90" cm="1">
        <f t="array" ref="G64">E64/VLOOKUP(D64,operating_revenue!$A:$D,MATCH(C64,operating_revenue!$1:$1,FALSE),FALSE) *100</f>
        <v>2.7267444459344689E-2</v>
      </c>
      <c r="H64" s="90" t="s">
        <v>42</v>
      </c>
      <c r="I64" s="90" t="s">
        <v>64</v>
      </c>
    </row>
    <row r="65" spans="1:9" s="90" customFormat="1">
      <c r="A65" s="89" t="s">
        <v>36</v>
      </c>
      <c r="B65" s="90" t="s">
        <v>40</v>
      </c>
      <c r="C65" s="90" t="s">
        <v>15</v>
      </c>
      <c r="D65" s="90">
        <v>2014</v>
      </c>
      <c r="E65" s="91">
        <v>5135000</v>
      </c>
      <c r="F65" s="90" t="s">
        <v>41</v>
      </c>
      <c r="G65" s="90" cm="1">
        <f t="array" ref="G65">E65/VLOOKUP(D65,operating_revenue!$A:$D,MATCH(C65,operating_revenue!$1:$1,FALSE),FALSE) *100</f>
        <v>2.3278480438823156E-2</v>
      </c>
      <c r="H65" s="90" t="s">
        <v>42</v>
      </c>
      <c r="I65" s="90" t="s">
        <v>65</v>
      </c>
    </row>
    <row r="66" spans="1:9" s="90" customFormat="1">
      <c r="A66" s="89" t="s">
        <v>36</v>
      </c>
      <c r="B66" s="90" t="s">
        <v>40</v>
      </c>
      <c r="C66" s="90" t="s">
        <v>11</v>
      </c>
      <c r="D66" s="90">
        <v>2018</v>
      </c>
      <c r="E66" s="91">
        <v>3470000</v>
      </c>
      <c r="F66" s="90" t="s">
        <v>41</v>
      </c>
      <c r="G66" s="90" cm="1">
        <f t="array" ref="G66">E66/VLOOKUP(D66,operating_revenue!$A:$D,MATCH(C66,operating_revenue!$1:$1,FALSE),FALSE) *100</f>
        <v>2.0778443113772457E-2</v>
      </c>
      <c r="H66" s="90" t="s">
        <v>42</v>
      </c>
      <c r="I66" s="90" t="s">
        <v>78</v>
      </c>
    </row>
    <row r="67" spans="1:9" s="90" customFormat="1">
      <c r="A67" s="89" t="s">
        <v>36</v>
      </c>
      <c r="B67" s="90" t="s">
        <v>40</v>
      </c>
      <c r="C67" s="90" t="s">
        <v>11</v>
      </c>
      <c r="D67" s="90">
        <v>2017</v>
      </c>
      <c r="E67" s="91">
        <v>4090000</v>
      </c>
      <c r="F67" s="90" t="s">
        <v>41</v>
      </c>
      <c r="G67" s="90" cm="1">
        <f t="array" ref="G67">E67/VLOOKUP(D67,operating_revenue!$A:$D,MATCH(C67,operating_revenue!$1:$1,FALSE),FALSE) *100</f>
        <v>2.377906976744186E-2</v>
      </c>
      <c r="H67" s="90" t="s">
        <v>42</v>
      </c>
      <c r="I67" s="90" t="s">
        <v>79</v>
      </c>
    </row>
    <row r="68" spans="1:9" s="90" customFormat="1">
      <c r="A68" s="89" t="s">
        <v>36</v>
      </c>
      <c r="B68" s="90" t="s">
        <v>40</v>
      </c>
      <c r="C68" s="90" t="s">
        <v>11</v>
      </c>
      <c r="D68" s="90">
        <v>2016</v>
      </c>
      <c r="E68" s="91">
        <v>2810000</v>
      </c>
      <c r="F68" s="90" t="s">
        <v>41</v>
      </c>
      <c r="G68" s="90" cm="1">
        <f t="array" ref="G68">E68/VLOOKUP(D68,operating_revenue!$A:$D,MATCH(C68,operating_revenue!$1:$1,FALSE),FALSE) *100</f>
        <v>1.7453416149068323E-2</v>
      </c>
      <c r="H68" s="90" t="s">
        <v>42</v>
      </c>
      <c r="I68" s="90" t="s">
        <v>80</v>
      </c>
    </row>
    <row r="69" spans="1:9" s="90" customFormat="1">
      <c r="A69" s="89" t="s">
        <v>36</v>
      </c>
      <c r="B69" s="90" t="s">
        <v>40</v>
      </c>
      <c r="C69" s="90" t="s">
        <v>11</v>
      </c>
      <c r="D69" s="90">
        <v>2015</v>
      </c>
      <c r="E69" s="91">
        <v>2410000</v>
      </c>
      <c r="F69" s="90" t="s">
        <v>41</v>
      </c>
      <c r="G69" s="90" cm="1">
        <f t="array" ref="G69">E69/VLOOKUP(D69,operating_revenue!$A:$D,MATCH(C69,operating_revenue!$1:$1,FALSE),FALSE) *100</f>
        <v>1.3771428571428572E-2</v>
      </c>
      <c r="H69" s="90" t="s">
        <v>42</v>
      </c>
      <c r="I69" s="90" t="s">
        <v>81</v>
      </c>
    </row>
    <row r="70" spans="1:9" s="90" customFormat="1">
      <c r="A70" s="89" t="s">
        <v>36</v>
      </c>
      <c r="B70" s="90" t="s">
        <v>40</v>
      </c>
      <c r="C70" s="90" t="s">
        <v>11</v>
      </c>
      <c r="D70" s="90">
        <v>2014</v>
      </c>
      <c r="E70" s="91">
        <v>4790000</v>
      </c>
      <c r="F70" s="90" t="s">
        <v>41</v>
      </c>
      <c r="G70" s="90" cm="1">
        <f t="array" ref="G70">E70/VLOOKUP(D70,operating_revenue!$A:$D,MATCH(C70,operating_revenue!$1:$1,FALSE),FALSE) *100</f>
        <v>2.8176470588235296E-2</v>
      </c>
      <c r="H70" s="90" t="s">
        <v>42</v>
      </c>
      <c r="I70" s="90" t="s">
        <v>82</v>
      </c>
    </row>
    <row r="71" spans="1:9" s="99" customFormat="1" ht="15.75">
      <c r="A71" s="98" t="s">
        <v>36</v>
      </c>
      <c r="B71" s="99" t="s">
        <v>110</v>
      </c>
      <c r="C71" s="99" t="s">
        <v>18</v>
      </c>
      <c r="D71" s="99">
        <v>2018</v>
      </c>
      <c r="E71" s="100">
        <v>59800000</v>
      </c>
      <c r="F71" s="99" t="s">
        <v>111</v>
      </c>
      <c r="G71" s="99" cm="1">
        <f t="array" ref="G71">E71/VLOOKUP(D71,operating_revenue!$A:$D,MATCH(C71,operating_revenue!$1:$1,FALSE),FALSE) *100</f>
        <v>0.16621268553004614</v>
      </c>
      <c r="H71" s="99" t="s">
        <v>42</v>
      </c>
      <c r="I71" s="111" t="s">
        <v>112</v>
      </c>
    </row>
    <row r="72" spans="1:9" s="76" customFormat="1">
      <c r="A72" s="75" t="s">
        <v>36</v>
      </c>
      <c r="B72" s="76" t="s">
        <v>110</v>
      </c>
      <c r="C72" s="76" t="s">
        <v>18</v>
      </c>
      <c r="D72" s="76">
        <v>2017</v>
      </c>
      <c r="E72" s="77">
        <v>52400000</v>
      </c>
      <c r="F72" s="76" t="s">
        <v>111</v>
      </c>
      <c r="G72" s="76" cm="1">
        <f t="array" ref="G72">E72/VLOOKUP(D72,operating_revenue!$A:$D,MATCH(C72,operating_revenue!$1:$1,FALSE),FALSE) *100</f>
        <v>0.15614756540914237</v>
      </c>
      <c r="H72" s="76" t="s">
        <v>42</v>
      </c>
      <c r="I72" s="79" t="s">
        <v>113</v>
      </c>
    </row>
    <row r="73" spans="1:9" s="76" customFormat="1">
      <c r="A73" s="75" t="s">
        <v>36</v>
      </c>
      <c r="B73" s="76" t="s">
        <v>110</v>
      </c>
      <c r="C73" s="76" t="s">
        <v>18</v>
      </c>
      <c r="D73" s="76">
        <v>2016</v>
      </c>
      <c r="E73" s="77">
        <v>53600000</v>
      </c>
      <c r="F73" s="76" t="s">
        <v>111</v>
      </c>
      <c r="G73" s="76" cm="1">
        <f t="array" ref="G73">E73/VLOOKUP(D73,operating_revenue!$A:$D,MATCH(C73,operating_revenue!$1:$1,FALSE),FALSE) *100</f>
        <v>0.17091836734693877</v>
      </c>
      <c r="H73" s="76" t="s">
        <v>42</v>
      </c>
      <c r="I73" s="79" t="s">
        <v>114</v>
      </c>
    </row>
    <row r="74" spans="1:9" s="76" customFormat="1">
      <c r="A74" s="75" t="s">
        <v>36</v>
      </c>
      <c r="B74" s="76" t="s">
        <v>110</v>
      </c>
      <c r="C74" s="76" t="s">
        <v>18</v>
      </c>
      <c r="D74" s="76">
        <v>2015</v>
      </c>
      <c r="E74" s="77">
        <v>48600000</v>
      </c>
      <c r="F74" s="76" t="s">
        <v>111</v>
      </c>
      <c r="G74" s="76" cm="1">
        <f t="array" ref="G74">E74/VLOOKUP(D74,operating_revenue!$A:$D,MATCH(C74,operating_revenue!$1:$1,FALSE),FALSE) *100</f>
        <v>0.16504227934933949</v>
      </c>
      <c r="H74" s="76" t="s">
        <v>42</v>
      </c>
      <c r="I74" s="79" t="s">
        <v>115</v>
      </c>
    </row>
    <row r="75" spans="1:9" s="76" customFormat="1">
      <c r="A75" s="75" t="s">
        <v>36</v>
      </c>
      <c r="B75" s="76" t="s">
        <v>110</v>
      </c>
      <c r="C75" s="76" t="s">
        <v>18</v>
      </c>
      <c r="D75" s="76">
        <v>2014</v>
      </c>
      <c r="E75" s="77">
        <v>73400000</v>
      </c>
      <c r="F75" s="76" t="s">
        <v>111</v>
      </c>
      <c r="G75" s="76" cm="1">
        <f t="array" ref="G75">E75/VLOOKUP(D75,operating_revenue!$A:$D,MATCH(C75,operating_revenue!$1:$1,FALSE),FALSE) *100</f>
        <v>0.2675999854168945</v>
      </c>
      <c r="H75" s="76" t="s">
        <v>42</v>
      </c>
      <c r="I75" s="79" t="s">
        <v>116</v>
      </c>
    </row>
    <row r="76" spans="1:9" s="76" customFormat="1">
      <c r="A76" s="75" t="s">
        <v>36</v>
      </c>
      <c r="B76" s="76" t="s">
        <v>110</v>
      </c>
      <c r="C76" s="76" t="s">
        <v>15</v>
      </c>
      <c r="D76" s="76">
        <v>2018</v>
      </c>
      <c r="E76" s="77">
        <v>51300000</v>
      </c>
      <c r="F76" s="76" t="s">
        <v>111</v>
      </c>
      <c r="G76" s="76" cm="1">
        <f t="array" ref="G76">E76/VLOOKUP(D76,operating_revenue!$A:$D,MATCH(C76,operating_revenue!$1:$1,FALSE),FALSE) *100</f>
        <v>0.20920843358753718</v>
      </c>
      <c r="H76" s="76" t="s">
        <v>42</v>
      </c>
      <c r="I76" s="79" t="s">
        <v>17</v>
      </c>
    </row>
    <row r="77" spans="1:9" s="76" customFormat="1">
      <c r="A77" s="75" t="s">
        <v>36</v>
      </c>
      <c r="B77" s="76" t="s">
        <v>110</v>
      </c>
      <c r="C77" s="76" t="s">
        <v>15</v>
      </c>
      <c r="D77" s="76">
        <v>2017</v>
      </c>
      <c r="E77" s="77">
        <f>52100000+1000000</f>
        <v>53100000</v>
      </c>
      <c r="F77" s="76" t="s">
        <v>111</v>
      </c>
      <c r="G77" s="76" cm="1">
        <f t="array" ref="G77">E77/VLOOKUP(D77,operating_revenue!$A:$D,MATCH(C77,operating_revenue!$1:$1,FALSE),FALSE) *100</f>
        <v>0.22533418204964992</v>
      </c>
      <c r="H77" s="76" t="s">
        <v>42</v>
      </c>
      <c r="I77" s="79" t="s">
        <v>17</v>
      </c>
    </row>
    <row r="78" spans="1:9" s="76" customFormat="1">
      <c r="A78" s="75" t="s">
        <v>36</v>
      </c>
      <c r="B78" s="76" t="s">
        <v>110</v>
      </c>
      <c r="C78" s="76" t="s">
        <v>15</v>
      </c>
      <c r="D78" s="76">
        <v>2016</v>
      </c>
      <c r="E78" s="77">
        <v>46100000</v>
      </c>
      <c r="F78" s="76" t="s">
        <v>111</v>
      </c>
      <c r="G78" s="76" cm="1">
        <f t="array" ref="G78">E78/VLOOKUP(D78,operating_revenue!$A:$D,MATCH(C78,operating_revenue!$1:$1,FALSE),FALSE) *100</f>
        <v>0.20269973178560435</v>
      </c>
      <c r="H78" s="76" t="s">
        <v>42</v>
      </c>
      <c r="I78" s="79" t="s">
        <v>17</v>
      </c>
    </row>
    <row r="79" spans="1:9" s="76" customFormat="1">
      <c r="A79" s="75" t="s">
        <v>36</v>
      </c>
      <c r="B79" s="76" t="s">
        <v>110</v>
      </c>
      <c r="C79" s="76" t="s">
        <v>15</v>
      </c>
      <c r="D79" s="76">
        <v>2015</v>
      </c>
      <c r="E79" s="77">
        <v>33000000</v>
      </c>
      <c r="F79" s="76" t="s">
        <v>111</v>
      </c>
      <c r="G79" s="76" cm="1">
        <f t="array" ref="G79">E79/VLOOKUP(D79,operating_revenue!$A:$D,MATCH(C79,operating_revenue!$1:$1,FALSE),FALSE) *100</f>
        <v>0.14751240445219255</v>
      </c>
      <c r="H79" s="76" t="s">
        <v>42</v>
      </c>
      <c r="I79" s="79" t="s">
        <v>17</v>
      </c>
    </row>
    <row r="80" spans="1:9" s="76" customFormat="1">
      <c r="A80" s="75" t="s">
        <v>36</v>
      </c>
      <c r="B80" s="76" t="s">
        <v>110</v>
      </c>
      <c r="C80" s="76" t="s">
        <v>15</v>
      </c>
      <c r="D80" s="76">
        <v>2014</v>
      </c>
      <c r="E80" s="77">
        <v>31400000</v>
      </c>
      <c r="F80" s="76" t="s">
        <v>111</v>
      </c>
      <c r="G80" s="76" cm="1">
        <f t="array" ref="G80">E80/VLOOKUP(D80,operating_revenue!$A:$D,MATCH(C80,operating_revenue!$1:$1,FALSE),FALSE) *100</f>
        <v>0.14234552790244345</v>
      </c>
      <c r="H80" s="76" t="s">
        <v>42</v>
      </c>
      <c r="I80" s="79" t="s">
        <v>17</v>
      </c>
    </row>
    <row r="81" spans="1:9" s="76" customFormat="1">
      <c r="A81" s="75" t="s">
        <v>36</v>
      </c>
      <c r="B81" s="76" t="s">
        <v>110</v>
      </c>
      <c r="C81" s="76" t="s">
        <v>11</v>
      </c>
      <c r="D81" s="76">
        <v>2018</v>
      </c>
      <c r="E81" s="77">
        <v>13755679</v>
      </c>
      <c r="F81" s="76" t="s">
        <v>111</v>
      </c>
      <c r="G81" s="76" cm="1">
        <f t="array" ref="G81">E81/VLOOKUP(D81,operating_revenue!$A:$D,MATCH(C81,operating_revenue!$1:$1,FALSE),FALSE) *100</f>
        <v>8.236933532934132E-2</v>
      </c>
      <c r="H81" s="76" t="s">
        <v>42</v>
      </c>
      <c r="I81" s="79" t="s">
        <v>24</v>
      </c>
    </row>
    <row r="82" spans="1:9" s="76" customFormat="1">
      <c r="A82" s="75" t="s">
        <v>36</v>
      </c>
      <c r="B82" s="76" t="s">
        <v>110</v>
      </c>
      <c r="C82" s="76" t="s">
        <v>11</v>
      </c>
      <c r="D82" s="76">
        <v>2017</v>
      </c>
      <c r="E82" s="77">
        <v>13830536</v>
      </c>
      <c r="F82" s="76" t="s">
        <v>111</v>
      </c>
      <c r="G82" s="76" cm="1">
        <f t="array" ref="G82">E82/VLOOKUP(D82,operating_revenue!$A:$D,MATCH(C82,operating_revenue!$1:$1,FALSE),FALSE) *100</f>
        <v>8.0410093023255816E-2</v>
      </c>
      <c r="H82" s="76" t="s">
        <v>42</v>
      </c>
      <c r="I82" s="79" t="s">
        <v>24</v>
      </c>
    </row>
    <row r="83" spans="1:9" s="76" customFormat="1">
      <c r="A83" s="75" t="s">
        <v>36</v>
      </c>
      <c r="B83" s="76" t="s">
        <v>110</v>
      </c>
      <c r="C83" s="76" t="s">
        <v>11</v>
      </c>
      <c r="D83" s="76">
        <v>2016</v>
      </c>
      <c r="E83" s="77">
        <v>12308826</v>
      </c>
      <c r="F83" s="76" t="s">
        <v>111</v>
      </c>
      <c r="G83" s="76" cm="1">
        <f t="array" ref="G83">E83/VLOOKUP(D83,operating_revenue!$A:$D,MATCH(C83,operating_revenue!$1:$1,FALSE),FALSE) *100</f>
        <v>7.6452335403726715E-2</v>
      </c>
      <c r="H83" s="76" t="s">
        <v>42</v>
      </c>
      <c r="I83" s="79" t="s">
        <v>24</v>
      </c>
    </row>
    <row r="84" spans="1:9" s="76" customFormat="1">
      <c r="A84" s="75" t="s">
        <v>36</v>
      </c>
      <c r="B84" s="76" t="s">
        <v>110</v>
      </c>
      <c r="C84" s="76" t="s">
        <v>11</v>
      </c>
      <c r="D84" s="76">
        <v>2015</v>
      </c>
      <c r="E84" s="77">
        <v>12774801</v>
      </c>
      <c r="F84" s="76" t="s">
        <v>111</v>
      </c>
      <c r="G84" s="76" cm="1">
        <f t="array" ref="G84">E84/VLOOKUP(D84,operating_revenue!$A:$D,MATCH(C84,operating_revenue!$1:$1,FALSE),FALSE) *100</f>
        <v>7.2998862857142868E-2</v>
      </c>
      <c r="H84" s="76" t="s">
        <v>42</v>
      </c>
      <c r="I84" s="79" t="s">
        <v>24</v>
      </c>
    </row>
    <row r="85" spans="1:9" s="76" customFormat="1">
      <c r="A85" s="75" t="s">
        <v>36</v>
      </c>
      <c r="B85" s="76" t="s">
        <v>110</v>
      </c>
      <c r="C85" s="76" t="s">
        <v>11</v>
      </c>
      <c r="D85" s="76">
        <v>2014</v>
      </c>
      <c r="E85" s="77">
        <v>10981356</v>
      </c>
      <c r="F85" s="76" t="s">
        <v>111</v>
      </c>
      <c r="G85" s="76" cm="1">
        <f t="array" ref="G85">E85/VLOOKUP(D85,operating_revenue!$A:$D,MATCH(C85,operating_revenue!$1:$1,FALSE),FALSE) *100</f>
        <v>6.4596211764705883E-2</v>
      </c>
      <c r="H85" s="76" t="s">
        <v>42</v>
      </c>
      <c r="I85" s="79" t="s">
        <v>24</v>
      </c>
    </row>
    <row r="86" spans="1:9" ht="15.75">
      <c r="A86" s="1" t="s">
        <v>36</v>
      </c>
      <c r="B86" s="1" t="s">
        <v>110</v>
      </c>
      <c r="C86" s="1" t="s">
        <v>248</v>
      </c>
      <c r="D86" s="51">
        <v>2018</v>
      </c>
      <c r="E86" s="52">
        <f>(63.6+2.1)*10^6</f>
        <v>65700000</v>
      </c>
      <c r="F86" s="51" t="s">
        <v>111</v>
      </c>
      <c r="G86" s="171">
        <f>(E86/operating_revenue!E6)*100</f>
        <v>0.28076923076923077</v>
      </c>
      <c r="H86" s="51" t="s">
        <v>42</v>
      </c>
      <c r="I86" s="9" t="s">
        <v>247</v>
      </c>
    </row>
    <row r="87" spans="1:9" ht="15.75">
      <c r="A87" s="1" t="s">
        <v>36</v>
      </c>
      <c r="B87" s="1" t="s">
        <v>110</v>
      </c>
      <c r="C87" s="1" t="s">
        <v>248</v>
      </c>
      <c r="D87" s="51">
        <v>2017</v>
      </c>
      <c r="E87" s="52">
        <f>(51.7+1.75)*10^6</f>
        <v>53450000</v>
      </c>
      <c r="F87" s="51" t="s">
        <v>111</v>
      </c>
      <c r="G87" s="8">
        <f>(E87/operating_revenue!E5)*100</f>
        <v>0.23239130434782609</v>
      </c>
      <c r="H87" s="51" t="s">
        <v>42</v>
      </c>
      <c r="I87" s="9" t="s">
        <v>249</v>
      </c>
    </row>
    <row r="88" spans="1:9" ht="15.75">
      <c r="A88" s="1" t="s">
        <v>36</v>
      </c>
      <c r="B88" s="1" t="s">
        <v>110</v>
      </c>
      <c r="C88" s="1" t="s">
        <v>248</v>
      </c>
      <c r="D88" s="51">
        <v>2016</v>
      </c>
      <c r="E88" s="52">
        <f>49*10^6</f>
        <v>49000000</v>
      </c>
      <c r="F88" s="51" t="s">
        <v>111</v>
      </c>
      <c r="G88" s="8">
        <f>(E88/operating_revenue!E4)*100</f>
        <v>0.24623115577889448</v>
      </c>
      <c r="H88" s="51" t="s">
        <v>42</v>
      </c>
      <c r="I88" s="9" t="s">
        <v>250</v>
      </c>
    </row>
    <row r="89" spans="1:9" s="174" customFormat="1">
      <c r="A89" s="174" t="s">
        <v>36</v>
      </c>
      <c r="B89" s="174" t="s">
        <v>110</v>
      </c>
      <c r="C89" s="174" t="s">
        <v>248</v>
      </c>
      <c r="D89" s="174">
        <v>2015</v>
      </c>
      <c r="E89" s="175">
        <f>AVERAGE(E86:E88)</f>
        <v>56050000</v>
      </c>
      <c r="F89" s="51" t="s">
        <v>111</v>
      </c>
      <c r="G89" s="176">
        <f>(E89/operating_revenue!E3)*100</f>
        <v>0.3197375926982316</v>
      </c>
      <c r="H89" s="51" t="s">
        <v>42</v>
      </c>
    </row>
    <row r="90" spans="1:9" s="174" customFormat="1">
      <c r="A90" s="174" t="s">
        <v>36</v>
      </c>
      <c r="B90" s="174" t="s">
        <v>110</v>
      </c>
      <c r="C90" s="174" t="s">
        <v>248</v>
      </c>
      <c r="D90" s="174">
        <v>2014</v>
      </c>
      <c r="E90" s="175">
        <f>AVERAGE(E86:E88)</f>
        <v>56050000</v>
      </c>
      <c r="F90" s="51" t="s">
        <v>111</v>
      </c>
      <c r="G90" s="176">
        <f>(E90/operating_revenue!E2)*100</f>
        <v>0.30297297297297299</v>
      </c>
      <c r="H90" s="51" t="s">
        <v>42</v>
      </c>
    </row>
    <row r="91" spans="1:9">
      <c r="A91" s="1" t="s">
        <v>36</v>
      </c>
      <c r="B91" s="1" t="s">
        <v>40</v>
      </c>
      <c r="C91" s="1" t="s">
        <v>248</v>
      </c>
      <c r="D91" s="156">
        <v>2018</v>
      </c>
      <c r="E91" s="172">
        <v>12300000</v>
      </c>
      <c r="F91" s="156" t="s">
        <v>41</v>
      </c>
      <c r="G91" s="8">
        <f>(E91/operating_revenue!E6)*100</f>
        <v>5.2564102564102565E-2</v>
      </c>
      <c r="H91" s="51" t="s">
        <v>42</v>
      </c>
      <c r="I91" s="1" t="s">
        <v>254</v>
      </c>
    </row>
    <row r="92" spans="1:9">
      <c r="A92" s="1" t="s">
        <v>36</v>
      </c>
      <c r="B92" s="1" t="s">
        <v>40</v>
      </c>
      <c r="C92" s="1" t="s">
        <v>248</v>
      </c>
      <c r="D92" s="156">
        <v>2017</v>
      </c>
      <c r="E92" s="173">
        <v>12970000</v>
      </c>
      <c r="F92" s="156" t="s">
        <v>41</v>
      </c>
      <c r="G92" s="8">
        <f>(E92/operating_revenue!E5)*100</f>
        <v>5.6391304347826091E-2</v>
      </c>
      <c r="H92" s="51" t="s">
        <v>42</v>
      </c>
      <c r="I92" s="1" t="s">
        <v>254</v>
      </c>
    </row>
    <row r="93" spans="1:9">
      <c r="A93" s="1" t="s">
        <v>36</v>
      </c>
      <c r="B93" s="1" t="s">
        <v>40</v>
      </c>
      <c r="C93" s="1" t="s">
        <v>248</v>
      </c>
      <c r="D93" s="156">
        <v>2016</v>
      </c>
      <c r="E93" s="173">
        <v>13750000</v>
      </c>
      <c r="F93" s="156" t="s">
        <v>41</v>
      </c>
      <c r="G93" s="8">
        <f>(E93/operating_revenue!E4)*100</f>
        <v>6.9095477386934681E-2</v>
      </c>
      <c r="H93" s="51" t="s">
        <v>42</v>
      </c>
      <c r="I93" s="1" t="s">
        <v>254</v>
      </c>
    </row>
    <row r="94" spans="1:9">
      <c r="A94" s="1" t="s">
        <v>36</v>
      </c>
      <c r="B94" s="1" t="s">
        <v>40</v>
      </c>
      <c r="C94" s="1" t="s">
        <v>248</v>
      </c>
      <c r="D94" s="156">
        <v>2015</v>
      </c>
      <c r="E94" s="173">
        <v>12860000</v>
      </c>
      <c r="F94" s="156" t="s">
        <v>41</v>
      </c>
      <c r="G94" s="8">
        <f>(E94/operating_revenue!E3)*100</f>
        <v>7.3359954363947516E-2</v>
      </c>
      <c r="H94" s="51" t="s">
        <v>42</v>
      </c>
      <c r="I94" s="1" t="s">
        <v>254</v>
      </c>
    </row>
    <row r="95" spans="1:9">
      <c r="A95" s="1" t="s">
        <v>36</v>
      </c>
      <c r="B95" s="1" t="s">
        <v>40</v>
      </c>
      <c r="C95" s="1" t="s">
        <v>248</v>
      </c>
      <c r="D95" s="156">
        <v>2014</v>
      </c>
      <c r="E95" s="173">
        <v>12340000</v>
      </c>
      <c r="F95" s="156" t="s">
        <v>41</v>
      </c>
      <c r="G95" s="8">
        <f>(E95/operating_revenue!E2)*100</f>
        <v>6.6702702702702704E-2</v>
      </c>
      <c r="H95" s="51" t="s">
        <v>42</v>
      </c>
      <c r="I95" s="1" t="s">
        <v>254</v>
      </c>
    </row>
    <row r="96" spans="1:9" ht="15.75">
      <c r="A96" s="1" t="s">
        <v>9</v>
      </c>
      <c r="B96" s="1" t="s">
        <v>20</v>
      </c>
      <c r="C96" s="1" t="s">
        <v>248</v>
      </c>
      <c r="D96" s="51">
        <v>2018</v>
      </c>
      <c r="E96" s="52">
        <v>1.37</v>
      </c>
      <c r="F96" s="51" t="s">
        <v>21</v>
      </c>
      <c r="G96" s="1">
        <f>E96</f>
        <v>1.37</v>
      </c>
      <c r="H96" s="99" t="s">
        <v>22</v>
      </c>
      <c r="I96" s="9" t="s">
        <v>247</v>
      </c>
    </row>
    <row r="97" spans="1:9" ht="15.75">
      <c r="A97" s="1" t="s">
        <v>9</v>
      </c>
      <c r="B97" s="1" t="s">
        <v>20</v>
      </c>
      <c r="C97" s="1" t="s">
        <v>248</v>
      </c>
      <c r="D97" s="51">
        <v>2017</v>
      </c>
      <c r="E97" s="52">
        <f>100-98.9</f>
        <v>1.0999999999999943</v>
      </c>
      <c r="F97" s="51" t="s">
        <v>21</v>
      </c>
      <c r="G97" s="1">
        <f>E97</f>
        <v>1.0999999999999943</v>
      </c>
      <c r="H97" s="99" t="s">
        <v>22</v>
      </c>
      <c r="I97" s="9" t="s">
        <v>249</v>
      </c>
    </row>
    <row r="98" spans="1:9" ht="15.75">
      <c r="A98" s="1" t="s">
        <v>9</v>
      </c>
      <c r="B98" s="1" t="s">
        <v>20</v>
      </c>
      <c r="C98" s="1" t="s">
        <v>248</v>
      </c>
      <c r="D98" s="51">
        <v>2016</v>
      </c>
      <c r="E98" s="52">
        <f>100-99.16</f>
        <v>0.84000000000000341</v>
      </c>
      <c r="F98" s="51" t="s">
        <v>21</v>
      </c>
      <c r="G98" s="1">
        <f>E98</f>
        <v>0.84000000000000341</v>
      </c>
      <c r="H98" s="99" t="s">
        <v>22</v>
      </c>
      <c r="I98" s="9" t="s">
        <v>250</v>
      </c>
    </row>
    <row r="99" spans="1:9" s="174" customFormat="1" ht="15.75">
      <c r="A99" s="174" t="s">
        <v>9</v>
      </c>
      <c r="B99" s="174" t="s">
        <v>20</v>
      </c>
      <c r="C99" s="174" t="s">
        <v>248</v>
      </c>
      <c r="D99" s="174">
        <v>2015</v>
      </c>
      <c r="E99" s="175">
        <f>AVERAGE(E96:E98)</f>
        <v>1.1033333333333326</v>
      </c>
      <c r="F99" s="51" t="s">
        <v>21</v>
      </c>
      <c r="G99" s="1">
        <f>E99</f>
        <v>1.1033333333333326</v>
      </c>
      <c r="H99" s="99" t="s">
        <v>22</v>
      </c>
      <c r="I99" s="177"/>
    </row>
    <row r="100" spans="1:9" s="174" customFormat="1">
      <c r="A100" s="174" t="s">
        <v>9</v>
      </c>
      <c r="B100" s="174" t="s">
        <v>20</v>
      </c>
      <c r="C100" s="174" t="s">
        <v>248</v>
      </c>
      <c r="D100" s="174">
        <v>2014</v>
      </c>
      <c r="E100" s="175">
        <f>AVERAGE(E96:E98)</f>
        <v>1.1033333333333326</v>
      </c>
      <c r="F100" s="51" t="s">
        <v>21</v>
      </c>
      <c r="G100" s="1">
        <f>E100</f>
        <v>1.1033333333333326</v>
      </c>
      <c r="H100" s="99" t="s">
        <v>22</v>
      </c>
    </row>
    <row r="101" spans="1:9">
      <c r="A101" s="1" t="s">
        <v>9</v>
      </c>
      <c r="B101" s="1" t="s">
        <v>10</v>
      </c>
      <c r="C101" s="1" t="s">
        <v>248</v>
      </c>
      <c r="D101" s="156">
        <v>2018</v>
      </c>
      <c r="E101" s="52">
        <v>0</v>
      </c>
      <c r="F101" s="1" t="s">
        <v>10</v>
      </c>
      <c r="G101" s="1">
        <f>(E101/employees!E6)*100</f>
        <v>0</v>
      </c>
      <c r="H101" s="86" t="s">
        <v>245</v>
      </c>
    </row>
    <row r="102" spans="1:9">
      <c r="A102" s="1" t="s">
        <v>9</v>
      </c>
      <c r="B102" s="1" t="s">
        <v>10</v>
      </c>
      <c r="C102" s="1" t="s">
        <v>248</v>
      </c>
      <c r="D102" s="156">
        <v>2017</v>
      </c>
      <c r="E102" s="52">
        <v>1</v>
      </c>
      <c r="F102" s="1" t="s">
        <v>10</v>
      </c>
      <c r="G102" s="1">
        <f>(E102/employees!E5)*100</f>
        <v>3.3670033670033669E-3</v>
      </c>
      <c r="H102" s="86" t="s">
        <v>245</v>
      </c>
    </row>
    <row r="103" spans="1:9">
      <c r="A103" s="1" t="s">
        <v>9</v>
      </c>
      <c r="B103" s="1" t="s">
        <v>10</v>
      </c>
      <c r="C103" s="1" t="s">
        <v>248</v>
      </c>
      <c r="D103" s="156">
        <v>2016</v>
      </c>
      <c r="E103" s="52">
        <v>1</v>
      </c>
      <c r="F103" s="1" t="s">
        <v>10</v>
      </c>
      <c r="G103" s="1">
        <f>(E103/employees!E4)*100</f>
        <v>3.2666928002090681E-3</v>
      </c>
      <c r="H103" s="86" t="s">
        <v>245</v>
      </c>
    </row>
    <row r="104" spans="1:9" s="174" customFormat="1">
      <c r="A104" s="174" t="s">
        <v>9</v>
      </c>
      <c r="B104" s="174" t="s">
        <v>10</v>
      </c>
      <c r="C104" s="174" t="s">
        <v>248</v>
      </c>
      <c r="D104" s="174">
        <v>2015</v>
      </c>
      <c r="E104" s="175">
        <f>AVERAGE(E101:E103)</f>
        <v>0.66666666666666663</v>
      </c>
      <c r="F104" s="1" t="s">
        <v>10</v>
      </c>
      <c r="G104" s="174">
        <f>(E104/employees!E3)*100</f>
        <v>2.1117763206521161E-3</v>
      </c>
      <c r="H104" s="86" t="s">
        <v>245</v>
      </c>
    </row>
    <row r="105" spans="1:9" s="174" customFormat="1">
      <c r="A105" s="174" t="s">
        <v>9</v>
      </c>
      <c r="B105" s="174" t="s">
        <v>10</v>
      </c>
      <c r="C105" s="174" t="s">
        <v>248</v>
      </c>
      <c r="D105" s="174">
        <v>2014</v>
      </c>
      <c r="E105" s="175">
        <f>AVERAGE(E101:E103)</f>
        <v>0.66666666666666663</v>
      </c>
      <c r="F105" s="1" t="s">
        <v>10</v>
      </c>
      <c r="G105" s="174">
        <f>(E105/employees!E2)*100</f>
        <v>2.082357228382529E-3</v>
      </c>
      <c r="H105" s="86" t="s">
        <v>245</v>
      </c>
    </row>
  </sheetData>
  <autoFilter ref="A1:I1" xr:uid="{3614E37E-F4C3-4B0E-9466-023FE8460AE8}">
    <sortState xmlns:xlrd2="http://schemas.microsoft.com/office/spreadsheetml/2017/richdata2" ref="A2:I85">
      <sortCondition ref="A1"/>
    </sortState>
  </autoFilter>
  <hyperlinks>
    <hyperlink ref="I47" r:id="rId1" xr:uid="{6AF3F3BC-4A72-4B34-809B-68D0D44F9519}"/>
    <hyperlink ref="I48" r:id="rId2" xr:uid="{CFD0D467-19D4-4498-8C04-383A58F7136C}"/>
    <hyperlink ref="I49" r:id="rId3" xr:uid="{EB638EA0-149B-4F30-B123-2438256A7A95}"/>
    <hyperlink ref="I32" r:id="rId4" xr:uid="{25142AC0-A55B-49A3-BCE5-BC5494A96462}"/>
    <hyperlink ref="I33" r:id="rId5" xr:uid="{5FDF2517-C348-4067-A782-5C0BC05EE46F}"/>
    <hyperlink ref="I34" r:id="rId6" xr:uid="{9E6BD54D-643B-42C1-8BE9-23C25C944B44}"/>
    <hyperlink ref="I12" r:id="rId7" xr:uid="{28BA6342-2D83-4D2E-A3FD-1DE1B955BEB8}"/>
    <hyperlink ref="I13" r:id="rId8" xr:uid="{3079648C-9F75-4577-B289-C1AE557C0EDE}"/>
    <hyperlink ref="I14" r:id="rId9" xr:uid="{AED11B6A-6327-4564-8BC4-AEC64502903C}"/>
    <hyperlink ref="I15" r:id="rId10" xr:uid="{2FD3203A-E030-4DD3-B1E9-12E871BD571D}"/>
    <hyperlink ref="I16" r:id="rId11" xr:uid="{5254CF97-BAC1-434A-9822-DA251B1A0466}"/>
    <hyperlink ref="I8" r:id="rId12" xr:uid="{F0AD31B0-BFD0-4E82-9548-317B194E1027}"/>
    <hyperlink ref="I7" r:id="rId13" xr:uid="{14BAC25D-03A1-45DA-9ED1-02F9931E5E89}"/>
    <hyperlink ref="I17" r:id="rId14" xr:uid="{D9682FC6-BE99-47A0-8E82-5051B8C3D31B}"/>
    <hyperlink ref="I20" r:id="rId15" xr:uid="{724B8B96-6471-4C68-AAD9-AABE0E244902}"/>
    <hyperlink ref="I21" r:id="rId16" xr:uid="{C67B1904-7C44-4CD9-A00B-78773A42298A}"/>
    <hyperlink ref="I22" r:id="rId17" xr:uid="{3EA0092A-0D10-4620-A785-09742F749447}"/>
    <hyperlink ref="I23" r:id="rId18" xr:uid="{1601BF33-396E-4421-BA44-91D995F0FAB8}"/>
    <hyperlink ref="I24" r:id="rId19" xr:uid="{9B8E00CC-E266-49DA-AFD1-1C03B9D1F950}"/>
    <hyperlink ref="I25" r:id="rId20" xr:uid="{C6B61990-DBA8-43DB-BF30-82594821E87F}"/>
    <hyperlink ref="I26" r:id="rId21" xr:uid="{2A06192C-EE94-4015-9BED-E25F060C0FB5}"/>
    <hyperlink ref="I27" r:id="rId22" xr:uid="{CACA3B6A-1ECD-47B5-A97D-9C90E3F76399}"/>
    <hyperlink ref="I28" r:id="rId23" xr:uid="{7C5EDB11-F3BA-4FC4-9AF9-249B3A5BD1F1}"/>
    <hyperlink ref="I31" r:id="rId24" xr:uid="{1E3243E5-3B15-42A0-892B-84A103916463}"/>
    <hyperlink ref="I29" r:id="rId25" xr:uid="{C6E30CA5-F8D1-44CF-8A5E-94FB925A6492}"/>
    <hyperlink ref="I30" r:id="rId26" xr:uid="{1719900D-FD70-4809-8FB7-F0CBD2C5770C}"/>
    <hyperlink ref="I76" r:id="rId27" xr:uid="{B246697E-29F6-428B-BBA8-FF60E370C9F8}"/>
    <hyperlink ref="I77" r:id="rId28" xr:uid="{DAE6F6A3-4E4A-414D-810E-540C34372AA6}"/>
    <hyperlink ref="I78" r:id="rId29" xr:uid="{E840A337-8FBF-4339-A2C8-E2527CE276D8}"/>
    <hyperlink ref="I79" r:id="rId30" xr:uid="{A56F9DDA-81DA-4F79-AA71-AA70C18E6BBC}"/>
    <hyperlink ref="I80" r:id="rId31" xr:uid="{CCE7B212-DB1E-4589-9EB7-C17894124C80}"/>
    <hyperlink ref="I72" r:id="rId32" xr:uid="{1D1CDD22-EC7F-4C32-BC66-38A7BFF157FE}"/>
    <hyperlink ref="I71" r:id="rId33" xr:uid="{15422E38-D1C0-46B1-BB69-4976BFAAC9FB}"/>
    <hyperlink ref="I73" r:id="rId34" xr:uid="{386EB41E-CE8B-43C9-9D05-BE0DFFE03216}"/>
    <hyperlink ref="I74" r:id="rId35" xr:uid="{3A999C98-948E-4327-B3A7-0C8BD0D493AA}"/>
    <hyperlink ref="I75" r:id="rId36" xr:uid="{92E101DE-9244-4137-8427-37F498100AE5}"/>
    <hyperlink ref="I81" r:id="rId37" xr:uid="{0B587400-CC62-4036-8238-59561FB8A8E3}"/>
    <hyperlink ref="I82:I85" r:id="rId38" display="http://www.nexteraenergy.com/sustainability/overview/about-this-report/by-the-numbers.html" xr:uid="{E5F01D99-3B0E-458A-9F7F-0DA0BC084AD7}"/>
    <hyperlink ref="I18" r:id="rId39" xr:uid="{4984345D-9F22-426D-B129-AC334E8F428E}"/>
    <hyperlink ref="I19" r:id="rId40" xr:uid="{D3EE707C-9222-440C-945C-120A40C2E344}"/>
    <hyperlink ref="I86" r:id="rId41" xr:uid="{E6145063-CFCE-498D-BBEB-44AB739D99A8}"/>
    <hyperlink ref="I62" r:id="rId42" xr:uid="{2AA7185F-3612-D749-B376-7E712B5FB9B4}"/>
    <hyperlink ref="I87" r:id="rId43" xr:uid="{B74C3780-0607-40FE-AACB-7286F8F46B23}"/>
    <hyperlink ref="I88" r:id="rId44" xr:uid="{65E19389-CA59-4C10-828B-5B0EC10EEF10}"/>
    <hyperlink ref="I96" r:id="rId45" xr:uid="{BDEAA38C-680D-4F8E-B708-8F21DB169BD7}"/>
    <hyperlink ref="I97" r:id="rId46" xr:uid="{CC289118-7D7E-464D-9D8D-110DF2AE5970}"/>
    <hyperlink ref="I98" r:id="rId47" xr:uid="{58046E80-75E4-44D1-95EC-E3B52E0BEBC6}"/>
  </hyperlinks>
  <pageMargins left="0.7" right="0.7" top="0.75" bottom="0.75" header="0.3" footer="0.3"/>
  <pageSetup orientation="landscape" horizontalDpi="0" verticalDpi="0"/>
  <legacy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FF2-20C0-0344-9800-E5889E169A8D}">
  <dimension ref="A1:J173"/>
  <sheetViews>
    <sheetView zoomScale="70" zoomScaleNormal="70" workbookViewId="0">
      <selection activeCell="H76" sqref="H76:H81"/>
    </sheetView>
  </sheetViews>
  <sheetFormatPr defaultColWidth="11" defaultRowHeight="15"/>
  <cols>
    <col min="1" max="1" width="11" style="1"/>
    <col min="2" max="2" width="31.625" style="1" bestFit="1" customWidth="1"/>
    <col min="3" max="3" width="11" style="1"/>
    <col min="4" max="4" width="11.5" style="1" bestFit="1" customWidth="1"/>
    <col min="5" max="5" width="34.375" style="15" customWidth="1"/>
    <col min="6" max="6" width="20.625" style="1" bestFit="1" customWidth="1"/>
    <col min="7" max="7" width="11.5" style="1" bestFit="1" customWidth="1"/>
    <col min="8" max="8" width="15.5" style="1" bestFit="1" customWidth="1"/>
    <col min="9" max="9" width="138.875" style="1" bestFit="1" customWidth="1"/>
    <col min="10" max="10" width="11.5" style="12" bestFit="1" customWidth="1"/>
    <col min="11" max="16384" width="11" style="12"/>
  </cols>
  <sheetData>
    <row r="1" spans="1:10" s="151" customFormat="1" ht="14.25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200" customFormat="1">
      <c r="A2" s="199" t="s">
        <v>157</v>
      </c>
      <c r="B2" s="211" t="s">
        <v>158</v>
      </c>
      <c r="C2" s="200" t="s">
        <v>11</v>
      </c>
      <c r="D2" s="200">
        <v>2018</v>
      </c>
      <c r="E2" s="212">
        <v>0.194412</v>
      </c>
      <c r="G2" s="200">
        <f>E2*100</f>
        <v>19.441199999999998</v>
      </c>
      <c r="H2" s="201" t="s">
        <v>156</v>
      </c>
      <c r="I2" s="202" t="s">
        <v>159</v>
      </c>
    </row>
    <row r="3" spans="1:10" s="201" customFormat="1">
      <c r="A3" s="203" t="s">
        <v>157</v>
      </c>
      <c r="B3" s="213" t="s">
        <v>158</v>
      </c>
      <c r="C3" s="201" t="s">
        <v>11</v>
      </c>
      <c r="D3" s="201">
        <v>2017</v>
      </c>
      <c r="E3" s="214">
        <v>0.19065499999999999</v>
      </c>
      <c r="G3" s="201">
        <f>E3*100</f>
        <v>19.0655</v>
      </c>
      <c r="H3" s="201" t="s">
        <v>156</v>
      </c>
      <c r="I3" s="205" t="s">
        <v>159</v>
      </c>
    </row>
    <row r="4" spans="1:10" s="201" customFormat="1">
      <c r="A4" s="203" t="s">
        <v>157</v>
      </c>
      <c r="B4" s="213" t="s">
        <v>158</v>
      </c>
      <c r="C4" s="201" t="s">
        <v>11</v>
      </c>
      <c r="D4" s="201">
        <v>2016</v>
      </c>
      <c r="E4" s="214">
        <v>0.119634</v>
      </c>
      <c r="G4" s="201">
        <f t="shared" ref="G4:G21" si="0">E4*100</f>
        <v>11.9634</v>
      </c>
      <c r="H4" s="201" t="s">
        <v>156</v>
      </c>
      <c r="I4" s="205" t="s">
        <v>159</v>
      </c>
    </row>
    <row r="5" spans="1:10" s="201" customFormat="1">
      <c r="A5" s="203" t="s">
        <v>157</v>
      </c>
      <c r="B5" s="213" t="s">
        <v>158</v>
      </c>
      <c r="C5" s="201" t="s">
        <v>11</v>
      </c>
      <c r="D5" s="201">
        <v>2015</v>
      </c>
      <c r="E5" s="214">
        <v>0.12191</v>
      </c>
      <c r="G5" s="201">
        <f t="shared" si="0"/>
        <v>12.191000000000001</v>
      </c>
      <c r="H5" s="201" t="s">
        <v>156</v>
      </c>
      <c r="I5" s="205" t="s">
        <v>159</v>
      </c>
    </row>
    <row r="6" spans="1:10" s="201" customFormat="1">
      <c r="A6" s="203" t="s">
        <v>157</v>
      </c>
      <c r="B6" s="213" t="s">
        <v>158</v>
      </c>
      <c r="C6" s="201" t="s">
        <v>11</v>
      </c>
      <c r="D6" s="201">
        <v>2014</v>
      </c>
      <c r="E6" s="214">
        <v>0.12377000000000001</v>
      </c>
      <c r="G6" s="201">
        <f t="shared" si="0"/>
        <v>12.377000000000001</v>
      </c>
      <c r="H6" s="201" t="s">
        <v>156</v>
      </c>
      <c r="I6" s="205" t="s">
        <v>159</v>
      </c>
    </row>
    <row r="7" spans="1:10" s="201" customFormat="1">
      <c r="A7" s="203" t="s">
        <v>157</v>
      </c>
      <c r="B7" s="213" t="s">
        <v>158</v>
      </c>
      <c r="C7" s="201" t="s">
        <v>18</v>
      </c>
      <c r="D7" s="201">
        <v>2018</v>
      </c>
      <c r="E7" s="214">
        <v>6.0844000000000002E-2</v>
      </c>
      <c r="G7" s="201">
        <f t="shared" si="0"/>
        <v>6.0844000000000005</v>
      </c>
      <c r="H7" s="201" t="s">
        <v>156</v>
      </c>
      <c r="I7" s="205" t="s">
        <v>159</v>
      </c>
      <c r="J7" s="215"/>
    </row>
    <row r="8" spans="1:10" s="201" customFormat="1">
      <c r="A8" s="203" t="s">
        <v>157</v>
      </c>
      <c r="B8" s="213" t="s">
        <v>158</v>
      </c>
      <c r="C8" s="201" t="s">
        <v>18</v>
      </c>
      <c r="D8" s="201">
        <v>2017</v>
      </c>
      <c r="E8" s="214">
        <v>7.3289000000000007E-2</v>
      </c>
      <c r="G8" s="201">
        <f t="shared" si="0"/>
        <v>7.3289000000000009</v>
      </c>
      <c r="H8" s="201" t="s">
        <v>156</v>
      </c>
      <c r="I8" s="205" t="s">
        <v>159</v>
      </c>
      <c r="J8" s="215"/>
    </row>
    <row r="9" spans="1:10" s="201" customFormat="1">
      <c r="A9" s="203" t="s">
        <v>157</v>
      </c>
      <c r="B9" s="213" t="s">
        <v>158</v>
      </c>
      <c r="C9" s="201" t="s">
        <v>18</v>
      </c>
      <c r="D9" s="201">
        <v>2016</v>
      </c>
      <c r="E9" s="214">
        <v>5.2446E-2</v>
      </c>
      <c r="G9" s="201">
        <f t="shared" si="0"/>
        <v>5.2446000000000002</v>
      </c>
      <c r="H9" s="201" t="s">
        <v>156</v>
      </c>
      <c r="I9" s="205" t="s">
        <v>159</v>
      </c>
      <c r="J9" s="215"/>
    </row>
    <row r="10" spans="1:10" s="201" customFormat="1">
      <c r="A10" s="203" t="s">
        <v>157</v>
      </c>
      <c r="B10" s="213" t="s">
        <v>158</v>
      </c>
      <c r="C10" s="201" t="s">
        <v>18</v>
      </c>
      <c r="D10" s="201">
        <v>2015</v>
      </c>
      <c r="E10" s="214">
        <v>7.0884000000000003E-2</v>
      </c>
      <c r="G10" s="201">
        <f t="shared" si="0"/>
        <v>7.0884</v>
      </c>
      <c r="H10" s="201" t="s">
        <v>156</v>
      </c>
      <c r="I10" s="205" t="s">
        <v>159</v>
      </c>
    </row>
    <row r="11" spans="1:10" s="201" customFormat="1">
      <c r="A11" s="203" t="s">
        <v>157</v>
      </c>
      <c r="B11" s="213" t="s">
        <v>158</v>
      </c>
      <c r="C11" s="201" t="s">
        <v>18</v>
      </c>
      <c r="D11" s="201">
        <v>2014</v>
      </c>
      <c r="E11" s="214">
        <v>4.6066999999999997E-2</v>
      </c>
      <c r="G11" s="201">
        <f t="shared" si="0"/>
        <v>4.6067</v>
      </c>
      <c r="H11" s="201" t="s">
        <v>156</v>
      </c>
      <c r="I11" s="205" t="s">
        <v>159</v>
      </c>
    </row>
    <row r="12" spans="1:10" s="201" customFormat="1">
      <c r="A12" s="203" t="s">
        <v>157</v>
      </c>
      <c r="B12" s="213" t="s">
        <v>158</v>
      </c>
      <c r="C12" s="201" t="s">
        <v>15</v>
      </c>
      <c r="D12" s="201">
        <v>2018</v>
      </c>
      <c r="E12" s="214">
        <v>1.2937000000000001E-2</v>
      </c>
      <c r="G12" s="201">
        <f t="shared" si="0"/>
        <v>1.2937000000000001</v>
      </c>
      <c r="H12" s="201" t="s">
        <v>156</v>
      </c>
      <c r="I12" s="205" t="s">
        <v>159</v>
      </c>
    </row>
    <row r="13" spans="1:10" s="201" customFormat="1">
      <c r="A13" s="203" t="s">
        <v>157</v>
      </c>
      <c r="B13" s="213" t="s">
        <v>158</v>
      </c>
      <c r="C13" s="201" t="s">
        <v>15</v>
      </c>
      <c r="D13" s="201">
        <v>2017</v>
      </c>
      <c r="E13" s="214">
        <v>9.0230000000000005E-2</v>
      </c>
      <c r="G13" s="201">
        <f t="shared" si="0"/>
        <v>9.0229999999999997</v>
      </c>
      <c r="H13" s="201" t="s">
        <v>156</v>
      </c>
      <c r="I13" s="205" t="s">
        <v>159</v>
      </c>
    </row>
    <row r="14" spans="1:10" s="201" customFormat="1">
      <c r="A14" s="203" t="s">
        <v>157</v>
      </c>
      <c r="B14" s="213" t="s">
        <v>158</v>
      </c>
      <c r="C14" s="201" t="s">
        <v>15</v>
      </c>
      <c r="D14" s="201">
        <v>2016</v>
      </c>
      <c r="E14" s="214">
        <v>4.3890999999999999E-2</v>
      </c>
      <c r="G14" s="201">
        <f t="shared" si="0"/>
        <v>4.3891</v>
      </c>
      <c r="H14" s="201" t="s">
        <v>156</v>
      </c>
      <c r="I14" s="205" t="s">
        <v>159</v>
      </c>
    </row>
    <row r="15" spans="1:10" s="201" customFormat="1">
      <c r="A15" s="203" t="s">
        <v>157</v>
      </c>
      <c r="B15" s="213" t="s">
        <v>158</v>
      </c>
      <c r="C15" s="201" t="s">
        <v>15</v>
      </c>
      <c r="D15" s="201">
        <v>2015</v>
      </c>
      <c r="E15" s="214">
        <v>8.7970000000000007E-2</v>
      </c>
      <c r="G15" s="201">
        <f t="shared" si="0"/>
        <v>8.7970000000000006</v>
      </c>
      <c r="H15" s="201" t="s">
        <v>156</v>
      </c>
      <c r="I15" s="205" t="s">
        <v>159</v>
      </c>
    </row>
    <row r="16" spans="1:10" s="216" customFormat="1">
      <c r="A16" s="201" t="s">
        <v>157</v>
      </c>
      <c r="B16" s="213" t="s">
        <v>158</v>
      </c>
      <c r="C16" s="201" t="s">
        <v>15</v>
      </c>
      <c r="D16" s="201">
        <v>2014</v>
      </c>
      <c r="E16" s="214">
        <v>7.1789000000000006E-2</v>
      </c>
      <c r="G16" s="201">
        <f t="shared" si="0"/>
        <v>7.1789000000000005</v>
      </c>
      <c r="H16" s="201" t="s">
        <v>156</v>
      </c>
      <c r="I16" s="205" t="s">
        <v>159</v>
      </c>
    </row>
    <row r="17" spans="1:9" s="216" customFormat="1">
      <c r="A17" s="201" t="s">
        <v>157</v>
      </c>
      <c r="B17" s="213" t="s">
        <v>158</v>
      </c>
      <c r="C17" s="201" t="s">
        <v>248</v>
      </c>
      <c r="D17" s="201">
        <v>2018</v>
      </c>
      <c r="E17" s="214">
        <v>1.9040000000000001E-2</v>
      </c>
      <c r="F17" s="218"/>
      <c r="G17" s="201">
        <f t="shared" si="0"/>
        <v>1.9040000000000001</v>
      </c>
      <c r="H17" s="201" t="s">
        <v>156</v>
      </c>
      <c r="I17" s="205" t="s">
        <v>159</v>
      </c>
    </row>
    <row r="18" spans="1:9" s="216" customFormat="1">
      <c r="A18" s="201" t="s">
        <v>157</v>
      </c>
      <c r="B18" s="213" t="s">
        <v>158</v>
      </c>
      <c r="C18" s="201" t="s">
        <v>248</v>
      </c>
      <c r="D18" s="201">
        <v>2017</v>
      </c>
      <c r="E18" s="214">
        <v>9.6480000000000003E-3</v>
      </c>
      <c r="F18" s="217"/>
      <c r="G18" s="201">
        <f t="shared" si="0"/>
        <v>0.96479999999999999</v>
      </c>
      <c r="H18" s="201" t="s">
        <v>156</v>
      </c>
      <c r="I18" s="205" t="s">
        <v>159</v>
      </c>
    </row>
    <row r="19" spans="1:9" s="216" customFormat="1">
      <c r="A19" s="201" t="s">
        <v>157</v>
      </c>
      <c r="B19" s="213" t="s">
        <v>158</v>
      </c>
      <c r="C19" s="201" t="s">
        <v>248</v>
      </c>
      <c r="D19" s="201">
        <v>2016</v>
      </c>
      <c r="E19" s="214">
        <v>3.081E-3</v>
      </c>
      <c r="F19" s="217"/>
      <c r="G19" s="201">
        <f t="shared" si="0"/>
        <v>0.30809999999999998</v>
      </c>
      <c r="H19" s="201" t="s">
        <v>156</v>
      </c>
      <c r="I19" s="205" t="s">
        <v>159</v>
      </c>
    </row>
    <row r="20" spans="1:9" s="216" customFormat="1">
      <c r="A20" s="201" t="s">
        <v>157</v>
      </c>
      <c r="B20" s="213" t="s">
        <v>158</v>
      </c>
      <c r="C20" s="201" t="s">
        <v>248</v>
      </c>
      <c r="D20" s="201">
        <v>2015</v>
      </c>
      <c r="E20" s="214">
        <v>3.0911999999999999E-2</v>
      </c>
      <c r="F20" s="217"/>
      <c r="G20" s="201">
        <f t="shared" si="0"/>
        <v>3.0911999999999997</v>
      </c>
      <c r="H20" s="201" t="s">
        <v>156</v>
      </c>
      <c r="I20" s="205" t="s">
        <v>159</v>
      </c>
    </row>
    <row r="21" spans="1:9" s="216" customFormat="1">
      <c r="A21" s="201" t="s">
        <v>157</v>
      </c>
      <c r="B21" s="213" t="s">
        <v>158</v>
      </c>
      <c r="C21" s="201" t="s">
        <v>248</v>
      </c>
      <c r="D21" s="201">
        <v>2014</v>
      </c>
      <c r="E21" s="214">
        <v>2.4290000000000002E-3</v>
      </c>
      <c r="F21" s="217"/>
      <c r="G21" s="201">
        <f t="shared" si="0"/>
        <v>0.2429</v>
      </c>
      <c r="H21" s="201" t="s">
        <v>156</v>
      </c>
      <c r="I21" s="205" t="s">
        <v>159</v>
      </c>
    </row>
    <row r="22" spans="1:9" s="99" customFormat="1">
      <c r="A22" s="99" t="s">
        <v>157</v>
      </c>
      <c r="B22" s="99" t="s">
        <v>160</v>
      </c>
      <c r="C22" s="99" t="s">
        <v>11</v>
      </c>
      <c r="D22" s="99">
        <v>2018</v>
      </c>
      <c r="E22" s="140">
        <v>6.4009999999999997E-2</v>
      </c>
      <c r="G22" s="99">
        <f>E22*100</f>
        <v>6.4009999999999998</v>
      </c>
      <c r="H22" s="99" t="s">
        <v>156</v>
      </c>
      <c r="I22" s="102" t="s">
        <v>159</v>
      </c>
    </row>
    <row r="23" spans="1:9" s="76" customFormat="1">
      <c r="A23" s="76" t="s">
        <v>157</v>
      </c>
      <c r="B23" s="76" t="s">
        <v>160</v>
      </c>
      <c r="C23" s="76" t="s">
        <v>11</v>
      </c>
      <c r="D23" s="76">
        <v>2017</v>
      </c>
      <c r="E23" s="141">
        <v>5.4975000000000003E-2</v>
      </c>
      <c r="G23" s="76">
        <f>E23*100</f>
        <v>5.4975000000000005</v>
      </c>
      <c r="H23" s="76" t="s">
        <v>156</v>
      </c>
      <c r="I23" s="79" t="s">
        <v>159</v>
      </c>
    </row>
    <row r="24" spans="1:9" s="76" customFormat="1">
      <c r="A24" s="76" t="s">
        <v>157</v>
      </c>
      <c r="B24" s="76" t="s">
        <v>160</v>
      </c>
      <c r="C24" s="76" t="s">
        <v>11</v>
      </c>
      <c r="D24" s="76">
        <v>2016</v>
      </c>
      <c r="E24" s="141">
        <v>3.2357999999999998E-2</v>
      </c>
      <c r="G24" s="76">
        <f t="shared" ref="G24:G41" si="1">E24*100</f>
        <v>3.2357999999999998</v>
      </c>
      <c r="H24" s="76" t="s">
        <v>156</v>
      </c>
      <c r="I24" s="79" t="s">
        <v>159</v>
      </c>
    </row>
    <row r="25" spans="1:9" s="76" customFormat="1">
      <c r="A25" s="76" t="s">
        <v>157</v>
      </c>
      <c r="B25" s="76" t="s">
        <v>160</v>
      </c>
      <c r="C25" s="76" t="s">
        <v>11</v>
      </c>
      <c r="D25" s="76">
        <v>2015</v>
      </c>
      <c r="E25" s="141">
        <v>3.3366E-2</v>
      </c>
      <c r="G25" s="76">
        <f t="shared" si="1"/>
        <v>3.3365999999999998</v>
      </c>
      <c r="H25" s="76" t="s">
        <v>156</v>
      </c>
      <c r="I25" s="79" t="s">
        <v>159</v>
      </c>
    </row>
    <row r="26" spans="1:9" s="76" customFormat="1">
      <c r="A26" s="76" t="s">
        <v>157</v>
      </c>
      <c r="B26" s="76" t="s">
        <v>160</v>
      </c>
      <c r="C26" s="76" t="s">
        <v>11</v>
      </c>
      <c r="D26" s="76">
        <v>2014</v>
      </c>
      <c r="E26" s="141">
        <v>3.2897999999999997E-2</v>
      </c>
      <c r="G26" s="76">
        <f t="shared" si="1"/>
        <v>3.2897999999999996</v>
      </c>
      <c r="H26" s="76" t="s">
        <v>156</v>
      </c>
      <c r="I26" s="79" t="s">
        <v>159</v>
      </c>
    </row>
    <row r="27" spans="1:9" s="76" customFormat="1">
      <c r="A27" s="76" t="s">
        <v>157</v>
      </c>
      <c r="B27" s="76" t="s">
        <v>160</v>
      </c>
      <c r="C27" s="76" t="s">
        <v>18</v>
      </c>
      <c r="D27" s="76">
        <v>2018</v>
      </c>
      <c r="E27" s="141">
        <v>1.8336999999999999E-2</v>
      </c>
      <c r="G27" s="76">
        <f t="shared" si="1"/>
        <v>1.8336999999999999</v>
      </c>
      <c r="H27" s="76" t="s">
        <v>156</v>
      </c>
      <c r="I27" s="79" t="s">
        <v>159</v>
      </c>
    </row>
    <row r="28" spans="1:9" s="76" customFormat="1">
      <c r="A28" s="76" t="s">
        <v>157</v>
      </c>
      <c r="B28" s="76" t="s">
        <v>160</v>
      </c>
      <c r="C28" s="76" t="s">
        <v>18</v>
      </c>
      <c r="D28" s="76">
        <v>2017</v>
      </c>
      <c r="E28" s="141">
        <v>2.2179999999999998E-2</v>
      </c>
      <c r="G28" s="76">
        <f t="shared" si="1"/>
        <v>2.218</v>
      </c>
      <c r="H28" s="76" t="s">
        <v>156</v>
      </c>
      <c r="I28" s="79" t="s">
        <v>159</v>
      </c>
    </row>
    <row r="29" spans="1:9" s="76" customFormat="1">
      <c r="A29" s="76" t="s">
        <v>157</v>
      </c>
      <c r="B29" s="76" t="s">
        <v>160</v>
      </c>
      <c r="C29" s="76" t="s">
        <v>18</v>
      </c>
      <c r="D29" s="76">
        <v>2016</v>
      </c>
      <c r="E29" s="141">
        <v>1.6209999999999999E-2</v>
      </c>
      <c r="G29" s="76">
        <f t="shared" si="1"/>
        <v>1.6209999999999998</v>
      </c>
      <c r="H29" s="76" t="s">
        <v>156</v>
      </c>
      <c r="I29" s="79" t="s">
        <v>159</v>
      </c>
    </row>
    <row r="30" spans="1:9" s="76" customFormat="1">
      <c r="A30" s="76" t="s">
        <v>157</v>
      </c>
      <c r="B30" s="76" t="s">
        <v>160</v>
      </c>
      <c r="C30" s="76" t="s">
        <v>18</v>
      </c>
      <c r="D30" s="76">
        <v>2015</v>
      </c>
      <c r="E30" s="141">
        <v>2.3243E-2</v>
      </c>
      <c r="G30" s="76">
        <f t="shared" si="1"/>
        <v>2.3243</v>
      </c>
      <c r="H30" s="76" t="s">
        <v>156</v>
      </c>
      <c r="I30" s="79" t="s">
        <v>159</v>
      </c>
    </row>
    <row r="31" spans="1:9" s="76" customFormat="1">
      <c r="A31" s="76" t="s">
        <v>157</v>
      </c>
      <c r="B31" s="76" t="s">
        <v>160</v>
      </c>
      <c r="C31" s="76" t="s">
        <v>18</v>
      </c>
      <c r="D31" s="76">
        <v>2014</v>
      </c>
      <c r="E31" s="141">
        <v>1.5599E-2</v>
      </c>
      <c r="G31" s="76">
        <f t="shared" si="1"/>
        <v>1.5599000000000001</v>
      </c>
      <c r="H31" s="76" t="s">
        <v>156</v>
      </c>
      <c r="I31" s="79" t="s">
        <v>159</v>
      </c>
    </row>
    <row r="32" spans="1:9" s="76" customFormat="1">
      <c r="A32" s="76" t="s">
        <v>157</v>
      </c>
      <c r="B32" s="76" t="s">
        <v>160</v>
      </c>
      <c r="C32" s="76" t="s">
        <v>15</v>
      </c>
      <c r="D32" s="76">
        <v>2018</v>
      </c>
      <c r="E32" s="141">
        <f>2084/119666</f>
        <v>1.741513880300169E-2</v>
      </c>
      <c r="G32" s="76">
        <f t="shared" si="1"/>
        <v>1.7415138803001691</v>
      </c>
      <c r="H32" s="76" t="s">
        <v>156</v>
      </c>
      <c r="I32" s="79" t="s">
        <v>159</v>
      </c>
    </row>
    <row r="33" spans="1:9" s="76" customFormat="1">
      <c r="A33" s="76" t="s">
        <v>157</v>
      </c>
      <c r="B33" s="76" t="s">
        <v>160</v>
      </c>
      <c r="C33" s="76" t="s">
        <v>15</v>
      </c>
      <c r="D33" s="76">
        <v>2017</v>
      </c>
      <c r="E33" s="141">
        <f>3876/116770</f>
        <v>3.3193457223601952E-2</v>
      </c>
      <c r="G33" s="76">
        <f t="shared" si="1"/>
        <v>3.319345722360195</v>
      </c>
      <c r="H33" s="76" t="s">
        <v>156</v>
      </c>
      <c r="I33" s="79" t="s">
        <v>159</v>
      </c>
    </row>
    <row r="34" spans="1:9" s="76" customFormat="1">
      <c r="A34" s="76" t="s">
        <v>157</v>
      </c>
      <c r="B34" s="76" t="s">
        <v>160</v>
      </c>
      <c r="C34" s="76" t="s">
        <v>15</v>
      </c>
      <c r="D34" s="76">
        <v>2016</v>
      </c>
      <c r="E34" s="141">
        <f>1196/114952</f>
        <v>1.040434268216299E-2</v>
      </c>
      <c r="G34" s="76">
        <f t="shared" si="1"/>
        <v>1.040434268216299</v>
      </c>
      <c r="H34" s="76" t="s">
        <v>156</v>
      </c>
      <c r="I34" s="79" t="s">
        <v>159</v>
      </c>
    </row>
    <row r="35" spans="1:9" s="76" customFormat="1">
      <c r="A35" s="76" t="s">
        <v>157</v>
      </c>
      <c r="B35" s="76" t="s">
        <v>160</v>
      </c>
      <c r="C35" s="76" t="s">
        <v>15</v>
      </c>
      <c r="D35" s="76">
        <v>2015</v>
      </c>
      <c r="E35" s="141">
        <f>2250/95384</f>
        <v>2.3588861863624928E-2</v>
      </c>
      <c r="G35" s="76">
        <f t="shared" si="1"/>
        <v>2.3588861863624926</v>
      </c>
      <c r="H35" s="76" t="s">
        <v>156</v>
      </c>
      <c r="I35" s="79" t="s">
        <v>159</v>
      </c>
    </row>
    <row r="36" spans="1:9" s="76" customFormat="1">
      <c r="A36" s="76" t="s">
        <v>157</v>
      </c>
      <c r="B36" s="76" t="s">
        <v>160</v>
      </c>
      <c r="C36" s="76" t="s">
        <v>15</v>
      </c>
      <c r="D36" s="76">
        <v>2014</v>
      </c>
      <c r="E36" s="141">
        <f>1820/86416</f>
        <v>2.1060914645436031E-2</v>
      </c>
      <c r="G36" s="76">
        <f t="shared" si="1"/>
        <v>2.1060914645436033</v>
      </c>
      <c r="H36" s="76" t="s">
        <v>156</v>
      </c>
      <c r="I36" s="79" t="s">
        <v>159</v>
      </c>
    </row>
    <row r="37" spans="1:9" s="76" customFormat="1">
      <c r="A37" s="76" t="s">
        <v>157</v>
      </c>
      <c r="B37" s="78" t="s">
        <v>160</v>
      </c>
      <c r="C37" s="76" t="s">
        <v>248</v>
      </c>
      <c r="D37" s="76">
        <v>2018</v>
      </c>
      <c r="E37" s="141">
        <v>9.0038000000000007E-2</v>
      </c>
      <c r="F37" s="196"/>
      <c r="G37" s="76">
        <f t="shared" si="1"/>
        <v>9.0038</v>
      </c>
      <c r="H37" s="76" t="s">
        <v>156</v>
      </c>
      <c r="I37" s="79" t="s">
        <v>159</v>
      </c>
    </row>
    <row r="38" spans="1:9" s="76" customFormat="1">
      <c r="A38" s="76" t="s">
        <v>157</v>
      </c>
      <c r="B38" s="78" t="s">
        <v>160</v>
      </c>
      <c r="C38" s="76" t="s">
        <v>248</v>
      </c>
      <c r="D38" s="76">
        <v>2017</v>
      </c>
      <c r="E38" s="141">
        <v>4.4317000000000002E-2</v>
      </c>
      <c r="F38" s="196"/>
      <c r="G38" s="76">
        <f t="shared" si="1"/>
        <v>4.4317000000000002</v>
      </c>
      <c r="H38" s="76" t="s">
        <v>156</v>
      </c>
      <c r="I38" s="79" t="s">
        <v>159</v>
      </c>
    </row>
    <row r="39" spans="1:9" s="76" customFormat="1">
      <c r="A39" s="76" t="s">
        <v>157</v>
      </c>
      <c r="B39" s="78" t="s">
        <v>160</v>
      </c>
      <c r="C39" s="76" t="s">
        <v>248</v>
      </c>
      <c r="D39" s="76">
        <v>2016</v>
      </c>
      <c r="E39" s="141">
        <v>1.3651999999999999E-2</v>
      </c>
      <c r="F39" s="196"/>
      <c r="G39" s="76">
        <f t="shared" si="1"/>
        <v>1.3652</v>
      </c>
      <c r="H39" s="76" t="s">
        <v>156</v>
      </c>
      <c r="I39" s="79" t="s">
        <v>159</v>
      </c>
    </row>
    <row r="40" spans="1:9" s="76" customFormat="1">
      <c r="A40" s="76" t="s">
        <v>157</v>
      </c>
      <c r="B40" s="78" t="s">
        <v>160</v>
      </c>
      <c r="C40" s="76" t="s">
        <v>248</v>
      </c>
      <c r="D40" s="76">
        <v>2015</v>
      </c>
      <c r="E40" s="141">
        <v>0.110136</v>
      </c>
      <c r="F40" s="196"/>
      <c r="G40" s="76">
        <f t="shared" si="1"/>
        <v>11.0136</v>
      </c>
      <c r="H40" s="76" t="s">
        <v>156</v>
      </c>
      <c r="I40" s="79" t="s">
        <v>159</v>
      </c>
    </row>
    <row r="41" spans="1:9" s="81" customFormat="1">
      <c r="A41" s="81" t="s">
        <v>157</v>
      </c>
      <c r="B41" s="83" t="s">
        <v>160</v>
      </c>
      <c r="C41" s="81" t="s">
        <v>248</v>
      </c>
      <c r="D41" s="81">
        <v>2014</v>
      </c>
      <c r="E41" s="142">
        <v>8.6370000000000006E-3</v>
      </c>
      <c r="F41" s="198"/>
      <c r="G41" s="81">
        <f t="shared" si="1"/>
        <v>0.86370000000000002</v>
      </c>
      <c r="H41" s="81" t="s">
        <v>156</v>
      </c>
      <c r="I41" s="79" t="s">
        <v>159</v>
      </c>
    </row>
    <row r="42" spans="1:9" s="201" customFormat="1">
      <c r="A42" s="201" t="s">
        <v>161</v>
      </c>
      <c r="B42" s="201" t="s">
        <v>162</v>
      </c>
      <c r="C42" s="201" t="s">
        <v>11</v>
      </c>
      <c r="D42" s="201">
        <v>2018</v>
      </c>
      <c r="E42" s="204">
        <v>2.0371950000000001</v>
      </c>
      <c r="G42" s="201">
        <f t="shared" ref="G42:G43" si="2">E42</f>
        <v>2.0371950000000001</v>
      </c>
      <c r="H42" s="201" t="s">
        <v>156</v>
      </c>
      <c r="I42" s="205" t="s">
        <v>159</v>
      </c>
    </row>
    <row r="43" spans="1:9" s="201" customFormat="1">
      <c r="A43" s="201" t="s">
        <v>161</v>
      </c>
      <c r="B43" s="201" t="s">
        <v>162</v>
      </c>
      <c r="C43" s="201" t="s">
        <v>11</v>
      </c>
      <c r="D43" s="201">
        <v>2017</v>
      </c>
      <c r="E43" s="204">
        <v>2.4680589999999998</v>
      </c>
      <c r="G43" s="201">
        <f t="shared" si="2"/>
        <v>2.4680589999999998</v>
      </c>
      <c r="H43" s="201" t="s">
        <v>156</v>
      </c>
      <c r="I43" s="205" t="s">
        <v>159</v>
      </c>
    </row>
    <row r="44" spans="1:9" s="201" customFormat="1">
      <c r="A44" s="201" t="s">
        <v>161</v>
      </c>
      <c r="B44" s="201" t="s">
        <v>162</v>
      </c>
      <c r="C44" s="201" t="s">
        <v>11</v>
      </c>
      <c r="D44" s="201">
        <v>2016</v>
      </c>
      <c r="E44" s="204">
        <v>2.6971780000000001</v>
      </c>
      <c r="G44" s="201">
        <f t="shared" ref="G44:G61" si="3">E44</f>
        <v>2.6971780000000001</v>
      </c>
      <c r="H44" s="201" t="s">
        <v>156</v>
      </c>
      <c r="I44" s="205" t="s">
        <v>159</v>
      </c>
    </row>
    <row r="45" spans="1:9" s="201" customFormat="1">
      <c r="A45" s="201" t="s">
        <v>161</v>
      </c>
      <c r="B45" s="201" t="s">
        <v>162</v>
      </c>
      <c r="C45" s="201" t="s">
        <v>11</v>
      </c>
      <c r="D45" s="201">
        <v>2015</v>
      </c>
      <c r="E45" s="204">
        <v>2.6537169999999999</v>
      </c>
      <c r="G45" s="201">
        <f t="shared" si="3"/>
        <v>2.6537169999999999</v>
      </c>
      <c r="H45" s="201" t="s">
        <v>156</v>
      </c>
      <c r="I45" s="205" t="s">
        <v>159</v>
      </c>
    </row>
    <row r="46" spans="1:9" s="201" customFormat="1">
      <c r="A46" s="201" t="s">
        <v>161</v>
      </c>
      <c r="B46" s="201" t="s">
        <v>162</v>
      </c>
      <c r="C46" s="201" t="s">
        <v>11</v>
      </c>
      <c r="D46" s="201">
        <v>2014</v>
      </c>
      <c r="E46" s="204">
        <v>2.762251</v>
      </c>
      <c r="G46" s="201">
        <f t="shared" si="3"/>
        <v>2.762251</v>
      </c>
      <c r="H46" s="201" t="s">
        <v>156</v>
      </c>
      <c r="I46" s="205" t="s">
        <v>159</v>
      </c>
    </row>
    <row r="47" spans="1:9" s="201" customFormat="1">
      <c r="A47" s="201" t="s">
        <v>161</v>
      </c>
      <c r="B47" s="201" t="s">
        <v>162</v>
      </c>
      <c r="C47" s="201" t="s">
        <v>18</v>
      </c>
      <c r="D47" s="201">
        <v>2018</v>
      </c>
      <c r="E47" s="204">
        <v>2.3181639999999999</v>
      </c>
      <c r="G47" s="201">
        <f t="shared" si="3"/>
        <v>2.3181639999999999</v>
      </c>
      <c r="H47" s="201" t="s">
        <v>156</v>
      </c>
      <c r="I47" s="205" t="s">
        <v>159</v>
      </c>
    </row>
    <row r="48" spans="1:9" s="201" customFormat="1">
      <c r="A48" s="201" t="s">
        <v>161</v>
      </c>
      <c r="B48" s="201" t="s">
        <v>162</v>
      </c>
      <c r="C48" s="201" t="s">
        <v>18</v>
      </c>
      <c r="D48" s="201">
        <v>2017</v>
      </c>
      <c r="E48" s="204">
        <v>2.3041999999999998</v>
      </c>
      <c r="G48" s="201">
        <f t="shared" si="3"/>
        <v>2.3041999999999998</v>
      </c>
      <c r="H48" s="201" t="s">
        <v>156</v>
      </c>
      <c r="I48" s="205" t="s">
        <v>159</v>
      </c>
    </row>
    <row r="49" spans="1:9" s="201" customFormat="1">
      <c r="A49" s="201" t="s">
        <v>161</v>
      </c>
      <c r="B49" s="201" t="s">
        <v>162</v>
      </c>
      <c r="C49" s="201" t="s">
        <v>18</v>
      </c>
      <c r="D49" s="201">
        <v>2016</v>
      </c>
      <c r="E49" s="204">
        <v>2.2354690000000002</v>
      </c>
      <c r="G49" s="201">
        <f t="shared" si="3"/>
        <v>2.2354690000000002</v>
      </c>
      <c r="H49" s="201" t="s">
        <v>156</v>
      </c>
      <c r="I49" s="205" t="s">
        <v>159</v>
      </c>
    </row>
    <row r="50" spans="1:9" s="201" customFormat="1">
      <c r="A50" s="201" t="s">
        <v>161</v>
      </c>
      <c r="B50" s="201" t="s">
        <v>162</v>
      </c>
      <c r="C50" s="201" t="s">
        <v>18</v>
      </c>
      <c r="D50" s="201">
        <v>2015</v>
      </c>
      <c r="E50" s="204">
        <v>2.0497139999999998</v>
      </c>
      <c r="G50" s="201">
        <f t="shared" si="3"/>
        <v>2.0497139999999998</v>
      </c>
      <c r="H50" s="201" t="s">
        <v>156</v>
      </c>
      <c r="I50" s="205" t="s">
        <v>159</v>
      </c>
    </row>
    <row r="51" spans="1:9" s="201" customFormat="1">
      <c r="A51" s="201" t="s">
        <v>161</v>
      </c>
      <c r="B51" s="201" t="s">
        <v>162</v>
      </c>
      <c r="C51" s="201" t="s">
        <v>18</v>
      </c>
      <c r="D51" s="201">
        <v>2014</v>
      </c>
      <c r="E51" s="204">
        <v>1.953125</v>
      </c>
      <c r="G51" s="201">
        <f t="shared" si="3"/>
        <v>1.953125</v>
      </c>
      <c r="H51" s="201" t="s">
        <v>156</v>
      </c>
      <c r="I51" s="205" t="s">
        <v>159</v>
      </c>
    </row>
    <row r="52" spans="1:9" s="201" customFormat="1">
      <c r="A52" s="201" t="s">
        <v>161</v>
      </c>
      <c r="B52" s="201" t="s">
        <v>162</v>
      </c>
      <c r="C52" s="201" t="s">
        <v>15</v>
      </c>
      <c r="D52" s="201">
        <v>2018</v>
      </c>
      <c r="E52" s="204">
        <v>2.8898060000000001</v>
      </c>
      <c r="G52" s="201">
        <f t="shared" si="3"/>
        <v>2.8898060000000001</v>
      </c>
      <c r="H52" s="201" t="s">
        <v>156</v>
      </c>
      <c r="I52" s="205" t="s">
        <v>159</v>
      </c>
    </row>
    <row r="53" spans="1:9" s="201" customFormat="1">
      <c r="A53" s="201" t="s">
        <v>161</v>
      </c>
      <c r="B53" s="201" t="s">
        <v>162</v>
      </c>
      <c r="C53" s="201" t="s">
        <v>15</v>
      </c>
      <c r="D53" s="201">
        <v>2017</v>
      </c>
      <c r="E53" s="204">
        <v>2.9086310000000002</v>
      </c>
      <c r="G53" s="201">
        <f t="shared" si="3"/>
        <v>2.9086310000000002</v>
      </c>
      <c r="H53" s="201" t="s">
        <v>156</v>
      </c>
      <c r="I53" s="205" t="s">
        <v>159</v>
      </c>
    </row>
    <row r="54" spans="1:9" s="201" customFormat="1">
      <c r="A54" s="201" t="s">
        <v>161</v>
      </c>
      <c r="B54" s="201" t="s">
        <v>162</v>
      </c>
      <c r="C54" s="201" t="s">
        <v>15</v>
      </c>
      <c r="D54" s="201">
        <v>2016</v>
      </c>
      <c r="E54" s="204">
        <v>3.4472659999999999</v>
      </c>
      <c r="G54" s="201">
        <f t="shared" si="3"/>
        <v>3.4472659999999999</v>
      </c>
      <c r="H54" s="201" t="s">
        <v>156</v>
      </c>
      <c r="I54" s="205" t="s">
        <v>159</v>
      </c>
    </row>
    <row r="55" spans="1:9" s="201" customFormat="1">
      <c r="A55" s="201" t="s">
        <v>161</v>
      </c>
      <c r="B55" s="201" t="s">
        <v>162</v>
      </c>
      <c r="C55" s="201" t="s">
        <v>15</v>
      </c>
      <c r="D55" s="201">
        <v>2015</v>
      </c>
      <c r="E55" s="204">
        <v>2.6980580000000001</v>
      </c>
      <c r="G55" s="201">
        <f t="shared" si="3"/>
        <v>2.6980580000000001</v>
      </c>
      <c r="H55" s="201" t="s">
        <v>156</v>
      </c>
      <c r="I55" s="205" t="s">
        <v>159</v>
      </c>
    </row>
    <row r="56" spans="1:9" s="201" customFormat="1">
      <c r="A56" s="201" t="s">
        <v>161</v>
      </c>
      <c r="B56" s="201" t="s">
        <v>162</v>
      </c>
      <c r="C56" s="201" t="s">
        <v>15</v>
      </c>
      <c r="D56" s="201">
        <v>2014</v>
      </c>
      <c r="E56" s="204">
        <v>2.8399679999999998</v>
      </c>
      <c r="G56" s="201">
        <f t="shared" si="3"/>
        <v>2.8399679999999998</v>
      </c>
      <c r="H56" s="201" t="s">
        <v>156</v>
      </c>
      <c r="I56" s="205" t="s">
        <v>159</v>
      </c>
    </row>
    <row r="57" spans="1:9" s="201" customFormat="1">
      <c r="A57" s="201" t="s">
        <v>161</v>
      </c>
      <c r="B57" s="201" t="s">
        <v>162</v>
      </c>
      <c r="C57" s="201" t="s">
        <v>248</v>
      </c>
      <c r="D57" s="201">
        <v>2018</v>
      </c>
      <c r="E57" s="204">
        <v>3.7289569999999999</v>
      </c>
      <c r="F57" s="208"/>
      <c r="G57" s="201">
        <f t="shared" si="3"/>
        <v>3.7289569999999999</v>
      </c>
      <c r="H57" s="201" t="s">
        <v>156</v>
      </c>
      <c r="I57" s="205" t="s">
        <v>159</v>
      </c>
    </row>
    <row r="58" spans="1:9" s="201" customFormat="1">
      <c r="A58" s="201" t="s">
        <v>161</v>
      </c>
      <c r="B58" s="201" t="s">
        <v>162</v>
      </c>
      <c r="C58" s="201" t="s">
        <v>248</v>
      </c>
      <c r="D58" s="201">
        <v>2017</v>
      </c>
      <c r="E58" s="204">
        <v>3.5932469999999999</v>
      </c>
      <c r="F58" s="208"/>
      <c r="G58" s="201">
        <f t="shared" si="3"/>
        <v>3.5932469999999999</v>
      </c>
      <c r="H58" s="201" t="s">
        <v>156</v>
      </c>
      <c r="I58" s="205" t="s">
        <v>159</v>
      </c>
    </row>
    <row r="59" spans="1:9" s="201" customFormat="1">
      <c r="A59" s="201" t="s">
        <v>161</v>
      </c>
      <c r="B59" s="201" t="s">
        <v>162</v>
      </c>
      <c r="C59" s="201" t="s">
        <v>248</v>
      </c>
      <c r="D59" s="201">
        <v>2016</v>
      </c>
      <c r="E59" s="204">
        <v>3.4307699999999999</v>
      </c>
      <c r="F59" s="208"/>
      <c r="G59" s="201">
        <f t="shared" si="3"/>
        <v>3.4307699999999999</v>
      </c>
      <c r="H59" s="201" t="s">
        <v>156</v>
      </c>
      <c r="I59" s="205" t="s">
        <v>159</v>
      </c>
    </row>
    <row r="60" spans="1:9" s="201" customFormat="1">
      <c r="A60" s="201" t="s">
        <v>161</v>
      </c>
      <c r="B60" s="201" t="s">
        <v>162</v>
      </c>
      <c r="C60" s="201" t="s">
        <v>248</v>
      </c>
      <c r="D60" s="201">
        <v>2015</v>
      </c>
      <c r="E60" s="204">
        <v>2.5554999999999999</v>
      </c>
      <c r="F60" s="208"/>
      <c r="G60" s="201">
        <f t="shared" si="3"/>
        <v>2.5554999999999999</v>
      </c>
      <c r="H60" s="201" t="s">
        <v>156</v>
      </c>
      <c r="I60" s="205" t="s">
        <v>159</v>
      </c>
    </row>
    <row r="61" spans="1:9" s="207" customFormat="1">
      <c r="A61" s="207" t="s">
        <v>161</v>
      </c>
      <c r="B61" s="207" t="s">
        <v>162</v>
      </c>
      <c r="C61" s="207" t="s">
        <v>248</v>
      </c>
      <c r="D61" s="207">
        <v>2014</v>
      </c>
      <c r="E61" s="209">
        <v>2.5552160000000002</v>
      </c>
      <c r="F61" s="210"/>
      <c r="G61" s="207">
        <f t="shared" si="3"/>
        <v>2.5552160000000002</v>
      </c>
      <c r="H61" s="207" t="s">
        <v>156</v>
      </c>
      <c r="I61" s="206" t="s">
        <v>159</v>
      </c>
    </row>
    <row r="62" spans="1:9" s="76" customFormat="1">
      <c r="A62" s="75" t="s">
        <v>161</v>
      </c>
      <c r="B62" s="76" t="s">
        <v>163</v>
      </c>
      <c r="C62" s="76" t="s">
        <v>11</v>
      </c>
      <c r="D62" s="76">
        <v>2018</v>
      </c>
      <c r="E62" s="141">
        <v>0.214363</v>
      </c>
      <c r="G62" s="76">
        <f>E62*100</f>
        <v>21.436299999999999</v>
      </c>
      <c r="H62" s="76" t="s">
        <v>156</v>
      </c>
      <c r="I62" s="79" t="s">
        <v>159</v>
      </c>
    </row>
    <row r="63" spans="1:9" s="76" customFormat="1">
      <c r="A63" s="75" t="s">
        <v>161</v>
      </c>
      <c r="B63" s="76" t="s">
        <v>163</v>
      </c>
      <c r="C63" s="76" t="s">
        <v>11</v>
      </c>
      <c r="D63" s="76">
        <v>2017</v>
      </c>
      <c r="E63" s="141">
        <v>-0.13991899999999999</v>
      </c>
      <c r="G63" s="76">
        <f>E63*100</f>
        <v>-13.991899999999999</v>
      </c>
      <c r="H63" s="76" t="s">
        <v>156</v>
      </c>
      <c r="I63" s="79" t="s">
        <v>159</v>
      </c>
    </row>
    <row r="64" spans="1:9" s="76" customFormat="1">
      <c r="A64" s="75" t="s">
        <v>161</v>
      </c>
      <c r="B64" s="76" t="s">
        <v>163</v>
      </c>
      <c r="C64" s="76" t="s">
        <v>11</v>
      </c>
      <c r="D64" s="76">
        <v>2016</v>
      </c>
      <c r="E64" s="141">
        <v>0.31517800000000001</v>
      </c>
      <c r="G64" s="76">
        <f t="shared" ref="G64:G81" si="4">E64*100</f>
        <v>31.517800000000001</v>
      </c>
      <c r="H64" s="76" t="s">
        <v>156</v>
      </c>
      <c r="I64" s="79" t="s">
        <v>159</v>
      </c>
    </row>
    <row r="65" spans="1:9" s="76" customFormat="1">
      <c r="A65" s="75" t="s">
        <v>161</v>
      </c>
      <c r="B65" s="76" t="s">
        <v>163</v>
      </c>
      <c r="C65" s="76" t="s">
        <v>11</v>
      </c>
      <c r="D65" s="76">
        <v>2015</v>
      </c>
      <c r="E65" s="141">
        <v>0.30776900000000001</v>
      </c>
      <c r="G65" s="76">
        <f t="shared" si="4"/>
        <v>30.776900000000001</v>
      </c>
      <c r="H65" s="76" t="s">
        <v>156</v>
      </c>
      <c r="I65" s="79" t="s">
        <v>159</v>
      </c>
    </row>
    <row r="66" spans="1:9" s="76" customFormat="1">
      <c r="A66" s="75" t="s">
        <v>161</v>
      </c>
      <c r="B66" s="76" t="s">
        <v>163</v>
      </c>
      <c r="C66" s="76" t="s">
        <v>11</v>
      </c>
      <c r="D66" s="76">
        <v>2014</v>
      </c>
      <c r="E66" s="141">
        <v>0.32263399999999998</v>
      </c>
      <c r="G66" s="76">
        <f t="shared" si="4"/>
        <v>32.263399999999997</v>
      </c>
      <c r="H66" s="76" t="s">
        <v>156</v>
      </c>
      <c r="I66" s="79" t="s">
        <v>159</v>
      </c>
    </row>
    <row r="67" spans="1:9" s="76" customFormat="1">
      <c r="A67" s="75" t="s">
        <v>161</v>
      </c>
      <c r="B67" s="76" t="s">
        <v>163</v>
      </c>
      <c r="C67" s="76" t="s">
        <v>18</v>
      </c>
      <c r="D67" s="76">
        <v>2018</v>
      </c>
      <c r="E67" s="141">
        <v>0.145786</v>
      </c>
      <c r="G67" s="76">
        <f t="shared" si="4"/>
        <v>14.5786</v>
      </c>
      <c r="H67" s="76" t="s">
        <v>156</v>
      </c>
      <c r="I67" s="79" t="s">
        <v>159</v>
      </c>
    </row>
    <row r="68" spans="1:9" s="76" customFormat="1">
      <c r="A68" s="75" t="s">
        <v>161</v>
      </c>
      <c r="B68" s="76" t="s">
        <v>163</v>
      </c>
      <c r="C68" s="76" t="s">
        <v>18</v>
      </c>
      <c r="D68" s="76">
        <v>2017</v>
      </c>
      <c r="E68" s="141">
        <v>0.28035599999999999</v>
      </c>
      <c r="G68" s="76">
        <f t="shared" si="4"/>
        <v>28.035599999999999</v>
      </c>
      <c r="H68" s="76" t="s">
        <v>156</v>
      </c>
      <c r="I68" s="79" t="s">
        <v>159</v>
      </c>
    </row>
    <row r="69" spans="1:9" s="76" customFormat="1">
      <c r="A69" s="75" t="s">
        <v>161</v>
      </c>
      <c r="B69" s="76" t="s">
        <v>163</v>
      </c>
      <c r="C69" s="76" t="s">
        <v>18</v>
      </c>
      <c r="D69" s="76">
        <v>2016</v>
      </c>
      <c r="E69" s="141">
        <v>0.30958799999999997</v>
      </c>
      <c r="G69" s="76">
        <f t="shared" si="4"/>
        <v>30.958799999999997</v>
      </c>
      <c r="H69" s="76" t="s">
        <v>156</v>
      </c>
      <c r="I69" s="79" t="s">
        <v>159</v>
      </c>
    </row>
    <row r="70" spans="1:9" s="76" customFormat="1">
      <c r="A70" s="75" t="s">
        <v>161</v>
      </c>
      <c r="B70" s="76" t="s">
        <v>163</v>
      </c>
      <c r="C70" s="76" t="s">
        <v>18</v>
      </c>
      <c r="D70" s="76">
        <v>2015</v>
      </c>
      <c r="E70" s="141">
        <v>0.32052199999999997</v>
      </c>
      <c r="G70" s="76">
        <f t="shared" si="4"/>
        <v>32.052199999999999</v>
      </c>
      <c r="H70" s="76" t="s">
        <v>156</v>
      </c>
      <c r="I70" s="79" t="s">
        <v>159</v>
      </c>
    </row>
    <row r="71" spans="1:9" s="76" customFormat="1">
      <c r="A71" s="75" t="s">
        <v>161</v>
      </c>
      <c r="B71" s="76" t="s">
        <v>163</v>
      </c>
      <c r="C71" s="76" t="s">
        <v>18</v>
      </c>
      <c r="D71" s="76">
        <v>2014</v>
      </c>
      <c r="E71" s="141">
        <v>0.403725</v>
      </c>
      <c r="G71" s="76">
        <f t="shared" si="4"/>
        <v>40.372500000000002</v>
      </c>
      <c r="H71" s="76" t="s">
        <v>156</v>
      </c>
      <c r="I71" s="79" t="s">
        <v>159</v>
      </c>
    </row>
    <row r="72" spans="1:9" s="76" customFormat="1">
      <c r="A72" s="75" t="s">
        <v>161</v>
      </c>
      <c r="B72" s="76" t="s">
        <v>163</v>
      </c>
      <c r="C72" s="76" t="s">
        <v>15</v>
      </c>
      <c r="D72" s="76">
        <v>2018</v>
      </c>
      <c r="E72" s="141">
        <v>5.3762999999999998E-2</v>
      </c>
      <c r="G72" s="76">
        <f t="shared" si="4"/>
        <v>5.3762999999999996</v>
      </c>
      <c r="H72" s="76" t="s">
        <v>156</v>
      </c>
      <c r="I72" s="79" t="s">
        <v>159</v>
      </c>
    </row>
    <row r="73" spans="1:9" s="76" customFormat="1">
      <c r="A73" s="75" t="s">
        <v>161</v>
      </c>
      <c r="B73" s="76" t="s">
        <v>163</v>
      </c>
      <c r="C73" s="76" t="s">
        <v>15</v>
      </c>
      <c r="D73" s="76">
        <v>2017</v>
      </c>
      <c r="E73" s="141">
        <v>-3.3279999999999997E-2</v>
      </c>
      <c r="G73" s="76">
        <f t="shared" si="4"/>
        <v>-3.3279999999999998</v>
      </c>
      <c r="H73" s="76" t="s">
        <v>156</v>
      </c>
      <c r="I73" s="79" t="s">
        <v>159</v>
      </c>
    </row>
    <row r="74" spans="1:9" s="76" customFormat="1">
      <c r="A74" s="75" t="s">
        <v>161</v>
      </c>
      <c r="B74" s="76" t="s">
        <v>163</v>
      </c>
      <c r="C74" s="76" t="s">
        <v>15</v>
      </c>
      <c r="D74" s="76">
        <v>2016</v>
      </c>
      <c r="E74" s="141">
        <v>0.382604</v>
      </c>
      <c r="G74" s="76">
        <f t="shared" si="4"/>
        <v>38.260399999999997</v>
      </c>
      <c r="H74" s="76" t="s">
        <v>156</v>
      </c>
      <c r="I74" s="79" t="s">
        <v>159</v>
      </c>
    </row>
    <row r="75" spans="1:9" s="76" customFormat="1">
      <c r="A75" s="75" t="s">
        <v>161</v>
      </c>
      <c r="B75" s="76" t="s">
        <v>163</v>
      </c>
      <c r="C75" s="76" t="s">
        <v>15</v>
      </c>
      <c r="D75" s="76">
        <v>2015</v>
      </c>
      <c r="E75" s="141">
        <v>0.32222200000000001</v>
      </c>
      <c r="G75" s="76">
        <f t="shared" si="4"/>
        <v>32.222200000000001</v>
      </c>
      <c r="H75" s="76" t="s">
        <v>156</v>
      </c>
      <c r="I75" s="79" t="s">
        <v>159</v>
      </c>
    </row>
    <row r="76" spans="1:9" s="76" customFormat="1">
      <c r="A76" s="76" t="s">
        <v>161</v>
      </c>
      <c r="B76" s="76" t="s">
        <v>163</v>
      </c>
      <c r="C76" s="76" t="s">
        <v>15</v>
      </c>
      <c r="D76" s="76">
        <v>2014</v>
      </c>
      <c r="E76" s="195">
        <v>0.26790000000000003</v>
      </c>
      <c r="G76" s="76">
        <f t="shared" si="4"/>
        <v>26.790000000000003</v>
      </c>
      <c r="H76" s="76" t="s">
        <v>156</v>
      </c>
      <c r="I76" s="79" t="s">
        <v>159</v>
      </c>
    </row>
    <row r="77" spans="1:9" s="76" customFormat="1">
      <c r="A77" s="76" t="s">
        <v>161</v>
      </c>
      <c r="B77" s="76" t="s">
        <v>163</v>
      </c>
      <c r="C77" s="76" t="s">
        <v>248</v>
      </c>
      <c r="D77" s="76">
        <v>2018</v>
      </c>
      <c r="E77" s="195">
        <v>0.163332</v>
      </c>
      <c r="F77" s="196"/>
      <c r="G77" s="76">
        <f t="shared" si="4"/>
        <v>16.333200000000001</v>
      </c>
      <c r="H77" s="76" t="s">
        <v>156</v>
      </c>
      <c r="I77" s="79" t="s">
        <v>159</v>
      </c>
    </row>
    <row r="78" spans="1:9" s="76" customFormat="1">
      <c r="A78" s="76" t="s">
        <v>161</v>
      </c>
      <c r="B78" s="76" t="s">
        <v>163</v>
      </c>
      <c r="C78" s="76" t="s">
        <v>248</v>
      </c>
      <c r="D78" s="76">
        <v>2017</v>
      </c>
      <c r="E78" s="195">
        <v>0.13295899999999999</v>
      </c>
      <c r="F78" s="196"/>
      <c r="G78" s="76">
        <f t="shared" si="4"/>
        <v>13.2959</v>
      </c>
      <c r="H78" s="76" t="s">
        <v>156</v>
      </c>
      <c r="I78" s="79" t="s">
        <v>159</v>
      </c>
    </row>
    <row r="79" spans="1:9" s="76" customFormat="1">
      <c r="A79" s="76" t="s">
        <v>161</v>
      </c>
      <c r="B79" s="76" t="s">
        <v>163</v>
      </c>
      <c r="C79" s="76" t="s">
        <v>248</v>
      </c>
      <c r="D79" s="76">
        <v>2016</v>
      </c>
      <c r="E79" s="195">
        <v>0.27327600000000002</v>
      </c>
      <c r="F79" s="196"/>
      <c r="G79" s="76">
        <f t="shared" si="4"/>
        <v>27.3276</v>
      </c>
      <c r="H79" s="76" t="s">
        <v>156</v>
      </c>
      <c r="I79" s="79" t="s">
        <v>159</v>
      </c>
    </row>
    <row r="80" spans="1:9" s="76" customFormat="1">
      <c r="A80" s="76" t="s">
        <v>161</v>
      </c>
      <c r="B80" s="76" t="s">
        <v>163</v>
      </c>
      <c r="C80" s="76" t="s">
        <v>248</v>
      </c>
      <c r="D80" s="76">
        <v>2015</v>
      </c>
      <c r="E80" s="195">
        <v>0.33028999999999997</v>
      </c>
      <c r="F80" s="196"/>
      <c r="G80" s="76">
        <f t="shared" si="4"/>
        <v>33.028999999999996</v>
      </c>
      <c r="H80" s="76" t="s">
        <v>156</v>
      </c>
      <c r="I80" s="79" t="s">
        <v>159</v>
      </c>
    </row>
    <row r="81" spans="1:9" s="76" customFormat="1">
      <c r="A81" s="76" t="s">
        <v>161</v>
      </c>
      <c r="B81" s="76" t="s">
        <v>163</v>
      </c>
      <c r="C81" s="76" t="s">
        <v>248</v>
      </c>
      <c r="D81" s="76">
        <v>2014</v>
      </c>
      <c r="E81" s="195">
        <v>0.32480100000000001</v>
      </c>
      <c r="F81" s="196"/>
      <c r="G81" s="76">
        <f t="shared" si="4"/>
        <v>32.4801</v>
      </c>
      <c r="H81" s="76" t="s">
        <v>156</v>
      </c>
      <c r="I81" s="79" t="s">
        <v>159</v>
      </c>
    </row>
    <row r="82" spans="1:9" s="200" customFormat="1">
      <c r="A82" s="200" t="s">
        <v>161</v>
      </c>
      <c r="B82" s="200" t="s">
        <v>164</v>
      </c>
      <c r="C82" s="200" t="s">
        <v>11</v>
      </c>
      <c r="D82" s="200">
        <v>2018</v>
      </c>
      <c r="E82" s="219">
        <v>3732000000</v>
      </c>
      <c r="G82" s="211" cm="1">
        <f t="array" ref="G82">E82/VLOOKUP(D82,net_generation!$A:$D,MATCH(C82,net_generation!$1:$1,FALSE),FALSE)</f>
        <v>19.328152387213784</v>
      </c>
      <c r="H82" s="200" t="s">
        <v>246</v>
      </c>
      <c r="I82" s="202" t="s">
        <v>166</v>
      </c>
    </row>
    <row r="83" spans="1:9" s="201" customFormat="1">
      <c r="A83" s="201" t="s">
        <v>161</v>
      </c>
      <c r="B83" s="201" t="s">
        <v>164</v>
      </c>
      <c r="C83" s="201" t="s">
        <v>11</v>
      </c>
      <c r="D83" s="201">
        <v>2017</v>
      </c>
      <c r="E83" s="220">
        <v>4071000000</v>
      </c>
      <c r="G83" s="213" cm="1">
        <f t="array" ref="G83">E83/VLOOKUP(D83,net_generation!$A:$D,MATCH(C83,net_generation!$1:$1,FALSE),FALSE)</f>
        <v>21.521463197708485</v>
      </c>
      <c r="H83" s="201" t="s">
        <v>246</v>
      </c>
      <c r="I83" s="205" t="s">
        <v>166</v>
      </c>
    </row>
    <row r="84" spans="1:9" s="201" customFormat="1">
      <c r="A84" s="201" t="s">
        <v>161</v>
      </c>
      <c r="B84" s="201" t="s">
        <v>164</v>
      </c>
      <c r="C84" s="201" t="s">
        <v>11</v>
      </c>
      <c r="D84" s="201">
        <v>2016</v>
      </c>
      <c r="E84" s="220">
        <v>3992000000</v>
      </c>
      <c r="G84" s="213" cm="1">
        <f t="array" ref="G84">E84/VLOOKUP(D84,net_generation!$A:$D,MATCH(C84,net_generation!$1:$1,FALSE),FALSE)</f>
        <v>20.61173470357447</v>
      </c>
      <c r="H84" s="201" t="s">
        <v>246</v>
      </c>
      <c r="I84" s="205" t="s">
        <v>166</v>
      </c>
    </row>
    <row r="85" spans="1:9" s="201" customFormat="1">
      <c r="A85" s="201" t="s">
        <v>161</v>
      </c>
      <c r="B85" s="201" t="s">
        <v>164</v>
      </c>
      <c r="C85" s="201" t="s">
        <v>11</v>
      </c>
      <c r="D85" s="201">
        <v>2015</v>
      </c>
      <c r="E85" s="220">
        <v>5327000000</v>
      </c>
      <c r="G85" s="213" cm="1">
        <f t="array" ref="G85">E85/VLOOKUP(D85,net_generation!$A:$D,MATCH(C85,net_generation!$1:$1,FALSE),FALSE)</f>
        <v>26.806344411063129</v>
      </c>
      <c r="H85" s="201" t="s">
        <v>246</v>
      </c>
      <c r="I85" s="205" t="s">
        <v>167</v>
      </c>
    </row>
    <row r="86" spans="1:9" s="201" customFormat="1">
      <c r="A86" s="201" t="s">
        <v>161</v>
      </c>
      <c r="B86" s="201" t="s">
        <v>164</v>
      </c>
      <c r="C86" s="201" t="s">
        <v>11</v>
      </c>
      <c r="D86" s="201">
        <v>2014</v>
      </c>
      <c r="E86" s="220">
        <v>5602000000</v>
      </c>
      <c r="G86" s="213" cm="1">
        <f t="array" ref="G86">E86/VLOOKUP(D86,net_generation!$A:$D,MATCH(C86,net_generation!$1:$1,FALSE),FALSE)</f>
        <v>30.066278002327575</v>
      </c>
      <c r="H86" s="201" t="s">
        <v>246</v>
      </c>
      <c r="I86" s="205" t="s">
        <v>167</v>
      </c>
    </row>
    <row r="87" spans="1:9" s="201" customFormat="1">
      <c r="A87" s="201" t="s">
        <v>161</v>
      </c>
      <c r="B87" s="201" t="s">
        <v>164</v>
      </c>
      <c r="C87" s="201" t="s">
        <v>18</v>
      </c>
      <c r="D87" s="201">
        <v>2018</v>
      </c>
      <c r="E87" s="220">
        <v>6831000000</v>
      </c>
      <c r="G87" s="213" cm="1">
        <f t="array" ref="G87">E87/VLOOKUP(D87,net_generation!$A:$D,MATCH(C87,net_generation!$1:$1,FALSE),FALSE)</f>
        <v>29.30149960536701</v>
      </c>
      <c r="H87" s="201" t="s">
        <v>246</v>
      </c>
      <c r="I87" s="205" t="s">
        <v>168</v>
      </c>
    </row>
    <row r="88" spans="1:9" s="201" customFormat="1">
      <c r="A88" s="201" t="s">
        <v>161</v>
      </c>
      <c r="B88" s="201" t="s">
        <v>164</v>
      </c>
      <c r="C88" s="201" t="s">
        <v>18</v>
      </c>
      <c r="D88" s="201">
        <v>2017</v>
      </c>
      <c r="E88" s="220">
        <v>6350000000</v>
      </c>
      <c r="G88" s="213" cm="1">
        <f t="array" ref="G88">E88/VLOOKUP(D88,net_generation!$A:$D,MATCH(C88,net_generation!$1:$1,FALSE),FALSE)</f>
        <v>27.939474737874928</v>
      </c>
      <c r="H88" s="201" t="s">
        <v>246</v>
      </c>
      <c r="I88" s="205" t="s">
        <v>168</v>
      </c>
    </row>
    <row r="89" spans="1:9" s="201" customFormat="1">
      <c r="A89" s="201" t="s">
        <v>161</v>
      </c>
      <c r="B89" s="201" t="s">
        <v>164</v>
      </c>
      <c r="C89" s="201" t="s">
        <v>18</v>
      </c>
      <c r="D89" s="201">
        <v>2016</v>
      </c>
      <c r="E89" s="220">
        <v>6625000000</v>
      </c>
      <c r="G89" s="213" cm="1">
        <f t="array" ref="G89">E89/VLOOKUP(D89,net_generation!$A:$D,MATCH(C89,net_generation!$1:$1,FALSE),FALSE)</f>
        <v>30.21182479421757</v>
      </c>
      <c r="H89" s="201" t="s">
        <v>246</v>
      </c>
      <c r="I89" s="205" t="s">
        <v>168</v>
      </c>
    </row>
    <row r="90" spans="1:9" s="201" customFormat="1">
      <c r="A90" s="201" t="s">
        <v>161</v>
      </c>
      <c r="B90" s="201" t="s">
        <v>164</v>
      </c>
      <c r="C90" s="201" t="s">
        <v>18</v>
      </c>
      <c r="D90" s="201">
        <v>2015</v>
      </c>
      <c r="E90" s="220">
        <v>7355000000</v>
      </c>
      <c r="G90" s="213" cm="1">
        <f t="array" ref="G90">E90/VLOOKUP(D90,net_generation!$A:$D,MATCH(C90,net_generation!$1:$1,FALSE),FALSE)</f>
        <v>33.627622657382304</v>
      </c>
      <c r="H90" s="201" t="s">
        <v>246</v>
      </c>
      <c r="I90" s="205" t="s">
        <v>169</v>
      </c>
    </row>
    <row r="91" spans="1:9" s="201" customFormat="1">
      <c r="A91" s="201" t="s">
        <v>161</v>
      </c>
      <c r="B91" s="201" t="s">
        <v>164</v>
      </c>
      <c r="C91" s="201" t="s">
        <v>18</v>
      </c>
      <c r="D91" s="201">
        <v>2014</v>
      </c>
      <c r="E91" s="220">
        <v>7732000000</v>
      </c>
      <c r="G91" s="213" cm="1">
        <f t="array" ref="G91">E91/VLOOKUP(D91,net_generation!$A:$D,MATCH(C91,net_generation!$1:$1,FALSE),FALSE)</f>
        <v>31.627990689949971</v>
      </c>
      <c r="H91" s="201" t="s">
        <v>246</v>
      </c>
      <c r="I91" s="205" t="s">
        <v>169</v>
      </c>
    </row>
    <row r="92" spans="1:9" s="201" customFormat="1">
      <c r="A92" s="201" t="s">
        <v>161</v>
      </c>
      <c r="B92" s="201" t="s">
        <v>164</v>
      </c>
      <c r="C92" s="201" t="s">
        <v>15</v>
      </c>
      <c r="D92" s="201">
        <v>2018</v>
      </c>
      <c r="E92" s="220">
        <v>16670000000</v>
      </c>
      <c r="G92" s="213" cm="1">
        <f t="array" ref="G92">E92/VLOOKUP(D92,net_generation!$A:$D,MATCH(C92,net_generation!$1:$1,FALSE),FALSE)</f>
        <v>85.828733833099932</v>
      </c>
      <c r="H92" s="201" t="s">
        <v>246</v>
      </c>
      <c r="I92" s="205" t="s">
        <v>170</v>
      </c>
    </row>
    <row r="93" spans="1:9" s="201" customFormat="1">
      <c r="A93" s="201" t="s">
        <v>161</v>
      </c>
      <c r="B93" s="201" t="s">
        <v>164</v>
      </c>
      <c r="C93" s="201" t="s">
        <v>15</v>
      </c>
      <c r="D93" s="201">
        <v>2017</v>
      </c>
      <c r="E93" s="220">
        <v>14035000000</v>
      </c>
      <c r="G93" s="213" cm="1">
        <f t="array" ref="G93">E93/VLOOKUP(D93,net_generation!$A:$D,MATCH(C93,net_generation!$1:$1,FALSE),FALSE)</f>
        <v>72.074558582059325</v>
      </c>
      <c r="H93" s="201" t="s">
        <v>246</v>
      </c>
      <c r="I93" s="205" t="s">
        <v>170</v>
      </c>
    </row>
    <row r="94" spans="1:9" s="201" customFormat="1">
      <c r="A94" s="201" t="s">
        <v>161</v>
      </c>
      <c r="B94" s="201" t="s">
        <v>164</v>
      </c>
      <c r="C94" s="201" t="s">
        <v>15</v>
      </c>
      <c r="D94" s="201">
        <v>2016</v>
      </c>
      <c r="E94" s="220">
        <v>12640000000</v>
      </c>
      <c r="G94" s="213" cm="1">
        <f t="array" ref="G94">E94/VLOOKUP(D94,net_generation!$A:$D,MATCH(C94,net_generation!$1:$1,FALSE),FALSE)</f>
        <v>67.645826176729415</v>
      </c>
      <c r="H94" s="201" t="s">
        <v>246</v>
      </c>
      <c r="I94" s="205" t="s">
        <v>170</v>
      </c>
    </row>
    <row r="95" spans="1:9" s="201" customFormat="1">
      <c r="A95" s="201" t="s">
        <v>161</v>
      </c>
      <c r="B95" s="201" t="s">
        <v>164</v>
      </c>
      <c r="C95" s="201" t="s">
        <v>15</v>
      </c>
      <c r="D95" s="201">
        <v>2015</v>
      </c>
      <c r="E95" s="220">
        <f>13084000000</f>
        <v>13084000000</v>
      </c>
      <c r="G95" s="213" cm="1">
        <f t="array" ref="G95">E95/VLOOKUP(D95,net_generation!$A:$D,MATCH(C95,net_generation!$1:$1,FALSE),FALSE)</f>
        <v>72.675590609877105</v>
      </c>
      <c r="H95" s="201" t="s">
        <v>246</v>
      </c>
      <c r="I95" s="205" t="s">
        <v>171</v>
      </c>
    </row>
    <row r="96" spans="1:9" s="201" customFormat="1">
      <c r="A96" s="201" t="s">
        <v>161</v>
      </c>
      <c r="B96" s="201" t="s">
        <v>164</v>
      </c>
      <c r="C96" s="201" t="s">
        <v>15</v>
      </c>
      <c r="D96" s="201">
        <v>2014</v>
      </c>
      <c r="E96" s="220">
        <v>13003000000</v>
      </c>
      <c r="G96" s="213" cm="1">
        <f t="array" ref="G96">E96/VLOOKUP(D96,net_generation!$A:$D,MATCH(C96,net_generation!$1:$1,FALSE),FALSE)</f>
        <v>73.062490128181054</v>
      </c>
      <c r="H96" s="201" t="s">
        <v>246</v>
      </c>
      <c r="I96" s="205" t="s">
        <v>172</v>
      </c>
    </row>
    <row r="97" spans="1:9" s="201" customFormat="1">
      <c r="A97" s="201" t="s">
        <v>161</v>
      </c>
      <c r="B97" s="201" t="s">
        <v>164</v>
      </c>
      <c r="C97" s="201" t="s">
        <v>248</v>
      </c>
      <c r="D97" s="201">
        <v>2018</v>
      </c>
      <c r="E97" s="220">
        <f>1120000000</f>
        <v>1120000000</v>
      </c>
      <c r="F97" s="208"/>
      <c r="G97" s="213">
        <f>E97/VLOOKUP(D97,net_generation!$A:$E,MATCH(C97,net_generation!$1:$1,FALSE),FALSE)</f>
        <v>5.6</v>
      </c>
      <c r="H97" s="201" t="s">
        <v>246</v>
      </c>
      <c r="I97" s="205" t="s">
        <v>159</v>
      </c>
    </row>
    <row r="98" spans="1:9" s="201" customFormat="1">
      <c r="A98" s="201" t="s">
        <v>161</v>
      </c>
      <c r="B98" s="201" t="s">
        <v>164</v>
      </c>
      <c r="C98" s="201" t="s">
        <v>248</v>
      </c>
      <c r="D98" s="201">
        <v>2017</v>
      </c>
      <c r="E98" s="220">
        <f xml:space="preserve">  983000000</f>
        <v>983000000</v>
      </c>
      <c r="F98" s="208"/>
      <c r="G98" s="213">
        <f>E98/VLOOKUP(D98,net_generation!$A:$E,MATCH(C98,net_generation!$1:$1,FALSE),FALSE)</f>
        <v>5.1065016238415426</v>
      </c>
      <c r="H98" s="201" t="s">
        <v>246</v>
      </c>
      <c r="I98" s="205" t="s">
        <v>159</v>
      </c>
    </row>
    <row r="99" spans="1:9" s="201" customFormat="1">
      <c r="A99" s="201" t="s">
        <v>161</v>
      </c>
      <c r="B99" s="201" t="s">
        <v>164</v>
      </c>
      <c r="C99" s="201" t="s">
        <v>248</v>
      </c>
      <c r="D99" s="201">
        <v>2016</v>
      </c>
      <c r="E99" s="220">
        <f>10356000000</f>
        <v>10356000000</v>
      </c>
      <c r="F99" s="208"/>
      <c r="G99" s="213">
        <f>E99/VLOOKUP(D99,net_generation!$A:$E,MATCH(C99,net_generation!$1:$1,FALSE),FALSE)</f>
        <v>55.369825980218479</v>
      </c>
      <c r="H99" s="201" t="s">
        <v>246</v>
      </c>
      <c r="I99" s="205" t="s">
        <v>159</v>
      </c>
    </row>
    <row r="100" spans="1:9" s="201" customFormat="1">
      <c r="A100" s="201" t="s">
        <v>161</v>
      </c>
      <c r="B100" s="201" t="s">
        <v>164</v>
      </c>
      <c r="C100" s="201" t="s">
        <v>248</v>
      </c>
      <c r="D100" s="201">
        <v>2015</v>
      </c>
      <c r="E100" s="220">
        <f>9239000000</f>
        <v>9239000000</v>
      </c>
      <c r="F100" s="208"/>
      <c r="G100" s="213">
        <f>E100/VLOOKUP(D100,net_generation!$A:$E,MATCH(C100,net_generation!$1:$1,FALSE),FALSE)</f>
        <v>49.69611623695134</v>
      </c>
      <c r="H100" s="201" t="s">
        <v>246</v>
      </c>
      <c r="I100" s="205" t="s">
        <v>159</v>
      </c>
    </row>
    <row r="101" spans="1:9" s="207" customFormat="1">
      <c r="A101" s="207" t="s">
        <v>161</v>
      </c>
      <c r="B101" s="207" t="s">
        <v>164</v>
      </c>
      <c r="C101" s="207" t="s">
        <v>248</v>
      </c>
      <c r="D101" s="207">
        <v>2014</v>
      </c>
      <c r="E101" s="221">
        <f xml:space="preserve">  8667000000</f>
        <v>8667000000</v>
      </c>
      <c r="F101" s="210"/>
      <c r="G101" s="222">
        <f>E101/VLOOKUP(D101,net_generation!$A:$E,MATCH(C101,net_generation!$1:$1,FALSE),FALSE)</f>
        <v>45.400487458857867</v>
      </c>
      <c r="H101" s="201" t="s">
        <v>246</v>
      </c>
      <c r="I101" s="206" t="s">
        <v>159</v>
      </c>
    </row>
    <row r="102" spans="1:9" s="76" customFormat="1">
      <c r="A102" s="76" t="s">
        <v>173</v>
      </c>
      <c r="B102" s="76" t="s">
        <v>242</v>
      </c>
      <c r="C102" s="76" t="s">
        <v>11</v>
      </c>
      <c r="D102" s="76">
        <v>2018</v>
      </c>
      <c r="E102" s="141">
        <v>1.097005</v>
      </c>
      <c r="G102" s="76">
        <f t="shared" ref="G102:G121" si="5">E102</f>
        <v>1.097005</v>
      </c>
      <c r="H102" s="76" t="s">
        <v>244</v>
      </c>
      <c r="I102" s="79" t="s">
        <v>159</v>
      </c>
    </row>
    <row r="103" spans="1:9" s="76" customFormat="1">
      <c r="A103" s="76" t="s">
        <v>173</v>
      </c>
      <c r="B103" s="76" t="s">
        <v>242</v>
      </c>
      <c r="C103" s="76" t="s">
        <v>11</v>
      </c>
      <c r="D103" s="76">
        <v>2017</v>
      </c>
      <c r="E103" s="141">
        <v>1.186042</v>
      </c>
      <c r="G103" s="76">
        <f t="shared" si="5"/>
        <v>1.186042</v>
      </c>
      <c r="H103" s="76" t="s">
        <v>244</v>
      </c>
      <c r="I103" s="79" t="s">
        <v>159</v>
      </c>
    </row>
    <row r="104" spans="1:9" s="76" customFormat="1">
      <c r="A104" s="76" t="s">
        <v>173</v>
      </c>
      <c r="B104" s="76" t="s">
        <v>242</v>
      </c>
      <c r="C104" s="76" t="s">
        <v>11</v>
      </c>
      <c r="D104" s="76">
        <v>2016</v>
      </c>
      <c r="E104" s="141">
        <v>1.5021230000000001</v>
      </c>
      <c r="G104" s="76">
        <f t="shared" si="5"/>
        <v>1.5021230000000001</v>
      </c>
      <c r="H104" s="76" t="s">
        <v>244</v>
      </c>
      <c r="I104" s="79" t="s">
        <v>159</v>
      </c>
    </row>
    <row r="105" spans="1:9" s="76" customFormat="1">
      <c r="A105" s="76" t="s">
        <v>173</v>
      </c>
      <c r="B105" s="76" t="s">
        <v>242</v>
      </c>
      <c r="C105" s="76" t="s">
        <v>11</v>
      </c>
      <c r="D105" s="76">
        <v>2015</v>
      </c>
      <c r="E105" s="141">
        <v>1.5725720000000001</v>
      </c>
      <c r="G105" s="76">
        <f t="shared" si="5"/>
        <v>1.5725720000000001</v>
      </c>
      <c r="H105" s="76" t="s">
        <v>244</v>
      </c>
      <c r="I105" s="79" t="s">
        <v>159</v>
      </c>
    </row>
    <row r="106" spans="1:9" s="76" customFormat="1">
      <c r="A106" s="76" t="s">
        <v>173</v>
      </c>
      <c r="B106" s="76" t="s">
        <v>242</v>
      </c>
      <c r="C106" s="76" t="s">
        <v>11</v>
      </c>
      <c r="D106" s="76">
        <v>2014</v>
      </c>
      <c r="E106" s="141">
        <v>1.603966</v>
      </c>
      <c r="G106" s="76">
        <f t="shared" si="5"/>
        <v>1.603966</v>
      </c>
      <c r="H106" s="76" t="s">
        <v>244</v>
      </c>
      <c r="I106" s="79" t="s">
        <v>159</v>
      </c>
    </row>
    <row r="107" spans="1:9" s="76" customFormat="1">
      <c r="A107" s="76" t="s">
        <v>173</v>
      </c>
      <c r="B107" s="76" t="s">
        <v>242</v>
      </c>
      <c r="C107" s="76" t="s">
        <v>18</v>
      </c>
      <c r="D107" s="76">
        <v>2018</v>
      </c>
      <c r="E107" s="141">
        <v>0.76536400000000004</v>
      </c>
      <c r="G107" s="76">
        <f t="shared" si="5"/>
        <v>0.76536400000000004</v>
      </c>
      <c r="H107" s="76" t="s">
        <v>244</v>
      </c>
      <c r="I107" s="79" t="s">
        <v>159</v>
      </c>
    </row>
    <row r="108" spans="1:9" s="76" customFormat="1">
      <c r="A108" s="76" t="s">
        <v>173</v>
      </c>
      <c r="B108" s="76" t="s">
        <v>242</v>
      </c>
      <c r="C108" s="76" t="s">
        <v>18</v>
      </c>
      <c r="D108" s="76">
        <v>2017</v>
      </c>
      <c r="E108" s="141">
        <v>0.82389500000000004</v>
      </c>
      <c r="G108" s="76">
        <f t="shared" si="5"/>
        <v>0.82389500000000004</v>
      </c>
      <c r="H108" s="76" t="s">
        <v>244</v>
      </c>
      <c r="I108" s="79" t="s">
        <v>159</v>
      </c>
    </row>
    <row r="109" spans="1:9" s="76" customFormat="1">
      <c r="A109" s="76" t="s">
        <v>173</v>
      </c>
      <c r="B109" s="76" t="s">
        <v>242</v>
      </c>
      <c r="C109" s="76" t="s">
        <v>18</v>
      </c>
      <c r="D109" s="76">
        <v>2016</v>
      </c>
      <c r="E109" s="141">
        <v>0.86039699999999997</v>
      </c>
      <c r="G109" s="76">
        <f t="shared" si="5"/>
        <v>0.86039699999999997</v>
      </c>
      <c r="H109" s="76" t="s">
        <v>244</v>
      </c>
      <c r="I109" s="79" t="s">
        <v>159</v>
      </c>
    </row>
    <row r="110" spans="1:9" s="76" customFormat="1">
      <c r="A110" s="76" t="s">
        <v>173</v>
      </c>
      <c r="B110" s="76" t="s">
        <v>242</v>
      </c>
      <c r="C110" s="76" t="s">
        <v>18</v>
      </c>
      <c r="D110" s="76">
        <v>2015</v>
      </c>
      <c r="E110" s="141">
        <v>0.98669799999999996</v>
      </c>
      <c r="G110" s="76">
        <f t="shared" si="5"/>
        <v>0.98669799999999996</v>
      </c>
      <c r="H110" s="76" t="s">
        <v>244</v>
      </c>
      <c r="I110" s="79" t="s">
        <v>159</v>
      </c>
    </row>
    <row r="111" spans="1:9" s="76" customFormat="1">
      <c r="A111" s="76" t="s">
        <v>173</v>
      </c>
      <c r="B111" s="76" t="s">
        <v>242</v>
      </c>
      <c r="C111" s="76" t="s">
        <v>18</v>
      </c>
      <c r="D111" s="76">
        <v>2014</v>
      </c>
      <c r="E111" s="141">
        <v>1.2232540000000001</v>
      </c>
      <c r="G111" s="76">
        <f t="shared" si="5"/>
        <v>1.2232540000000001</v>
      </c>
      <c r="H111" s="76" t="s">
        <v>244</v>
      </c>
      <c r="I111" s="79" t="s">
        <v>159</v>
      </c>
    </row>
    <row r="112" spans="1:9" s="76" customFormat="1">
      <c r="A112" s="76" t="s">
        <v>173</v>
      </c>
      <c r="B112" s="76" t="s">
        <v>242</v>
      </c>
      <c r="C112" s="76" t="s">
        <v>15</v>
      </c>
      <c r="D112" s="76">
        <v>2018</v>
      </c>
      <c r="E112" s="141">
        <v>1.1382669999999999</v>
      </c>
      <c r="G112" s="76">
        <f t="shared" si="5"/>
        <v>1.1382669999999999</v>
      </c>
      <c r="H112" s="76" t="s">
        <v>244</v>
      </c>
      <c r="I112" s="79" t="s">
        <v>159</v>
      </c>
    </row>
    <row r="113" spans="1:9" s="76" customFormat="1">
      <c r="A113" s="76" t="s">
        <v>173</v>
      </c>
      <c r="B113" s="76" t="s">
        <v>242</v>
      </c>
      <c r="C113" s="76" t="s">
        <v>15</v>
      </c>
      <c r="D113" s="76">
        <v>2017</v>
      </c>
      <c r="E113" s="141">
        <v>0.98628700000000002</v>
      </c>
      <c r="G113" s="76">
        <f t="shared" si="5"/>
        <v>0.98628700000000002</v>
      </c>
      <c r="H113" s="76" t="s">
        <v>244</v>
      </c>
      <c r="I113" s="79" t="s">
        <v>159</v>
      </c>
    </row>
    <row r="114" spans="1:9" s="76" customFormat="1">
      <c r="A114" s="76" t="s">
        <v>173</v>
      </c>
      <c r="B114" s="76" t="s">
        <v>242</v>
      </c>
      <c r="C114" s="76" t="s">
        <v>15</v>
      </c>
      <c r="D114" s="76">
        <v>2016</v>
      </c>
      <c r="E114" s="141">
        <v>0.98737299999999995</v>
      </c>
      <c r="G114" s="76">
        <f t="shared" si="5"/>
        <v>0.98737299999999995</v>
      </c>
      <c r="H114" s="76" t="s">
        <v>244</v>
      </c>
      <c r="I114" s="79" t="s">
        <v>159</v>
      </c>
    </row>
    <row r="115" spans="1:9" s="76" customFormat="1">
      <c r="A115" s="76" t="s">
        <v>173</v>
      </c>
      <c r="B115" s="76" t="s">
        <v>242</v>
      </c>
      <c r="C115" s="76" t="s">
        <v>15</v>
      </c>
      <c r="D115" s="76">
        <v>2015</v>
      </c>
      <c r="E115" s="141">
        <v>0.99895100000000003</v>
      </c>
      <c r="G115" s="76">
        <f t="shared" si="5"/>
        <v>0.99895100000000003</v>
      </c>
      <c r="H115" s="76" t="s">
        <v>244</v>
      </c>
      <c r="I115" s="79" t="s">
        <v>159</v>
      </c>
    </row>
    <row r="116" spans="1:9" s="76" customFormat="1">
      <c r="A116" s="76" t="s">
        <v>173</v>
      </c>
      <c r="B116" s="76" t="s">
        <v>242</v>
      </c>
      <c r="C116" s="76" t="s">
        <v>15</v>
      </c>
      <c r="D116" s="76">
        <v>2014</v>
      </c>
      <c r="E116" s="141">
        <v>0.73342099999999999</v>
      </c>
      <c r="G116" s="76">
        <f t="shared" si="5"/>
        <v>0.73342099999999999</v>
      </c>
      <c r="H116" s="76" t="s">
        <v>244</v>
      </c>
      <c r="I116" s="79" t="s">
        <v>159</v>
      </c>
    </row>
    <row r="117" spans="1:9" s="76" customFormat="1">
      <c r="A117" s="76" t="s">
        <v>173</v>
      </c>
      <c r="B117" s="76" t="s">
        <v>242</v>
      </c>
      <c r="C117" s="76" t="s">
        <v>248</v>
      </c>
      <c r="D117" s="76">
        <v>2018</v>
      </c>
      <c r="E117" s="141">
        <v>3.3467340000000001</v>
      </c>
      <c r="F117" s="196"/>
      <c r="G117" s="76">
        <f t="shared" si="5"/>
        <v>3.3467340000000001</v>
      </c>
      <c r="I117" s="79" t="s">
        <v>159</v>
      </c>
    </row>
    <row r="118" spans="1:9" s="76" customFormat="1">
      <c r="A118" s="76" t="s">
        <v>173</v>
      </c>
      <c r="B118" s="76" t="s">
        <v>242</v>
      </c>
      <c r="C118" s="76" t="s">
        <v>248</v>
      </c>
      <c r="D118" s="76">
        <v>2017</v>
      </c>
      <c r="E118" s="141">
        <v>0.45879700000000001</v>
      </c>
      <c r="F118" s="196"/>
      <c r="G118" s="76">
        <f t="shared" si="5"/>
        <v>0.45879700000000001</v>
      </c>
      <c r="I118" s="79" t="s">
        <v>159</v>
      </c>
    </row>
    <row r="119" spans="1:9" s="76" customFormat="1">
      <c r="A119" s="76" t="s">
        <v>173</v>
      </c>
      <c r="B119" s="76" t="s">
        <v>242</v>
      </c>
      <c r="C119" s="76" t="s">
        <v>248</v>
      </c>
      <c r="D119" s="76">
        <v>2016</v>
      </c>
      <c r="E119" s="141">
        <v>1.028219</v>
      </c>
      <c r="F119" s="196"/>
      <c r="G119" s="76">
        <f t="shared" si="5"/>
        <v>1.028219</v>
      </c>
      <c r="I119" s="79" t="s">
        <v>159</v>
      </c>
    </row>
    <row r="120" spans="1:9" s="76" customFormat="1">
      <c r="A120" s="76" t="s">
        <v>173</v>
      </c>
      <c r="B120" s="76" t="s">
        <v>242</v>
      </c>
      <c r="C120" s="76" t="s">
        <v>248</v>
      </c>
      <c r="D120" s="76">
        <v>2015</v>
      </c>
      <c r="E120" s="141">
        <v>0.48699900000000002</v>
      </c>
      <c r="F120" s="197"/>
      <c r="G120" s="76">
        <f t="shared" si="5"/>
        <v>0.48699900000000002</v>
      </c>
      <c r="I120" s="79" t="s">
        <v>159</v>
      </c>
    </row>
    <row r="121" spans="1:9" s="76" customFormat="1">
      <c r="A121" s="76" t="s">
        <v>173</v>
      </c>
      <c r="B121" s="76" t="s">
        <v>242</v>
      </c>
      <c r="C121" s="76" t="s">
        <v>248</v>
      </c>
      <c r="D121" s="76">
        <v>2014</v>
      </c>
      <c r="E121" s="141">
        <v>0.656192</v>
      </c>
      <c r="F121" s="196"/>
      <c r="G121" s="76">
        <f t="shared" si="5"/>
        <v>0.656192</v>
      </c>
      <c r="I121" s="79" t="s">
        <v>159</v>
      </c>
    </row>
    <row r="122" spans="1:9" s="200" customFormat="1">
      <c r="A122" s="200" t="s">
        <v>173</v>
      </c>
      <c r="B122" s="200" t="s">
        <v>175</v>
      </c>
      <c r="C122" s="200" t="s">
        <v>11</v>
      </c>
      <c r="D122" s="200">
        <v>2018</v>
      </c>
      <c r="E122" s="212">
        <v>0.31651099999999999</v>
      </c>
      <c r="F122" s="200" t="s">
        <v>244</v>
      </c>
      <c r="G122" s="223">
        <f t="shared" ref="G122:G141" si="6">E122*100</f>
        <v>31.6511</v>
      </c>
      <c r="H122" s="200" t="s">
        <v>156</v>
      </c>
      <c r="I122" s="202" t="s">
        <v>159</v>
      </c>
    </row>
    <row r="123" spans="1:9" s="201" customFormat="1">
      <c r="A123" s="201" t="s">
        <v>173</v>
      </c>
      <c r="B123" s="201" t="s">
        <v>175</v>
      </c>
      <c r="C123" s="201" t="s">
        <v>11</v>
      </c>
      <c r="D123" s="201">
        <v>2017</v>
      </c>
      <c r="E123" s="214">
        <v>0.34306399999999998</v>
      </c>
      <c r="F123" s="201" t="s">
        <v>244</v>
      </c>
      <c r="G123" s="224">
        <f t="shared" si="6"/>
        <v>34.306399999999996</v>
      </c>
      <c r="H123" s="201" t="s">
        <v>156</v>
      </c>
      <c r="I123" s="205" t="s">
        <v>159</v>
      </c>
    </row>
    <row r="124" spans="1:9" s="201" customFormat="1">
      <c r="A124" s="201" t="s">
        <v>173</v>
      </c>
      <c r="B124" s="201" t="s">
        <v>175</v>
      </c>
      <c r="C124" s="201" t="s">
        <v>11</v>
      </c>
      <c r="D124" s="201">
        <v>2016</v>
      </c>
      <c r="E124" s="214">
        <v>0.55357100000000004</v>
      </c>
      <c r="F124" s="201" t="s">
        <v>244</v>
      </c>
      <c r="G124" s="224">
        <f t="shared" si="6"/>
        <v>55.357100000000003</v>
      </c>
      <c r="H124" s="201" t="s">
        <v>156</v>
      </c>
      <c r="I124" s="205" t="s">
        <v>159</v>
      </c>
    </row>
    <row r="125" spans="1:9" s="201" customFormat="1">
      <c r="A125" s="201" t="s">
        <v>173</v>
      </c>
      <c r="B125" s="201" t="s">
        <v>175</v>
      </c>
      <c r="C125" s="201" t="s">
        <v>11</v>
      </c>
      <c r="D125" s="201">
        <v>2015</v>
      </c>
      <c r="E125" s="214">
        <v>0.50327</v>
      </c>
      <c r="F125" s="201" t="s">
        <v>244</v>
      </c>
      <c r="G125" s="224">
        <f t="shared" si="6"/>
        <v>50.326999999999998</v>
      </c>
      <c r="H125" s="201" t="s">
        <v>156</v>
      </c>
      <c r="I125" s="205" t="s">
        <v>159</v>
      </c>
    </row>
    <row r="126" spans="1:9" s="201" customFormat="1">
      <c r="A126" s="201" t="s">
        <v>173</v>
      </c>
      <c r="B126" s="201" t="s">
        <v>175</v>
      </c>
      <c r="C126" s="201" t="s">
        <v>11</v>
      </c>
      <c r="D126" s="201">
        <v>2014</v>
      </c>
      <c r="E126" s="214">
        <v>0.51156199999999996</v>
      </c>
      <c r="F126" s="201" t="s">
        <v>244</v>
      </c>
      <c r="G126" s="224">
        <f t="shared" si="6"/>
        <v>51.156199999999998</v>
      </c>
      <c r="H126" s="201" t="s">
        <v>156</v>
      </c>
      <c r="I126" s="205" t="s">
        <v>159</v>
      </c>
    </row>
    <row r="127" spans="1:9" s="201" customFormat="1">
      <c r="A127" s="201" t="s">
        <v>173</v>
      </c>
      <c r="B127" s="201" t="s">
        <v>175</v>
      </c>
      <c r="C127" s="201" t="s">
        <v>18</v>
      </c>
      <c r="D127" s="201">
        <v>2018</v>
      </c>
      <c r="E127" s="214">
        <v>0.92685700000000004</v>
      </c>
      <c r="F127" s="201" t="s">
        <v>244</v>
      </c>
      <c r="G127" s="224">
        <f t="shared" si="6"/>
        <v>92.685699999999997</v>
      </c>
      <c r="H127" s="201" t="s">
        <v>156</v>
      </c>
      <c r="I127" s="205" t="s">
        <v>159</v>
      </c>
    </row>
    <row r="128" spans="1:9" s="201" customFormat="1">
      <c r="A128" s="201" t="s">
        <v>173</v>
      </c>
      <c r="B128" s="201" t="s">
        <v>175</v>
      </c>
      <c r="C128" s="201" t="s">
        <v>18</v>
      </c>
      <c r="D128" s="201">
        <v>2017</v>
      </c>
      <c r="E128" s="214">
        <v>0.80091500000000004</v>
      </c>
      <c r="F128" s="201" t="s">
        <v>244</v>
      </c>
      <c r="G128" s="224">
        <f t="shared" si="6"/>
        <v>80.091500000000011</v>
      </c>
      <c r="H128" s="201" t="s">
        <v>156</v>
      </c>
      <c r="I128" s="205" t="s">
        <v>159</v>
      </c>
    </row>
    <row r="129" spans="1:9" s="201" customFormat="1">
      <c r="A129" s="201" t="s">
        <v>173</v>
      </c>
      <c r="B129" s="201" t="s">
        <v>175</v>
      </c>
      <c r="C129" s="201" t="s">
        <v>18</v>
      </c>
      <c r="D129" s="201">
        <v>2016</v>
      </c>
      <c r="E129" s="214">
        <v>1.0836429999999999</v>
      </c>
      <c r="F129" s="201" t="s">
        <v>244</v>
      </c>
      <c r="G129" s="224">
        <f t="shared" si="6"/>
        <v>108.36429999999999</v>
      </c>
      <c r="H129" s="201" t="s">
        <v>156</v>
      </c>
      <c r="I129" s="205" t="s">
        <v>159</v>
      </c>
    </row>
    <row r="130" spans="1:9" s="201" customFormat="1">
      <c r="A130" s="201" t="s">
        <v>173</v>
      </c>
      <c r="B130" s="201" t="s">
        <v>175</v>
      </c>
      <c r="C130" s="201" t="s">
        <v>18</v>
      </c>
      <c r="D130" s="201">
        <v>2015</v>
      </c>
      <c r="E130" s="214">
        <v>0.80042599999999997</v>
      </c>
      <c r="F130" s="201" t="s">
        <v>244</v>
      </c>
      <c r="G130" s="224">
        <f t="shared" si="6"/>
        <v>80.042599999999993</v>
      </c>
      <c r="H130" s="201" t="s">
        <v>156</v>
      </c>
      <c r="I130" s="205" t="s">
        <v>159</v>
      </c>
    </row>
    <row r="131" spans="1:9" s="201" customFormat="1">
      <c r="A131" s="201" t="s">
        <v>173</v>
      </c>
      <c r="B131" s="201" t="s">
        <v>175</v>
      </c>
      <c r="C131" s="201" t="s">
        <v>18</v>
      </c>
      <c r="D131" s="201">
        <v>2014</v>
      </c>
      <c r="E131" s="214">
        <v>1.1864049999999999</v>
      </c>
      <c r="F131" s="201" t="s">
        <v>244</v>
      </c>
      <c r="G131" s="224">
        <f t="shared" si="6"/>
        <v>118.64049999999999</v>
      </c>
      <c r="H131" s="201" t="s">
        <v>156</v>
      </c>
      <c r="I131" s="205" t="s">
        <v>159</v>
      </c>
    </row>
    <row r="132" spans="1:9" s="201" customFormat="1">
      <c r="A132" s="201" t="s">
        <v>173</v>
      </c>
      <c r="B132" s="201" t="s">
        <v>175</v>
      </c>
      <c r="C132" s="201" t="s">
        <v>15</v>
      </c>
      <c r="D132" s="201">
        <v>2018</v>
      </c>
      <c r="E132" s="214">
        <v>3.3467340000000001</v>
      </c>
      <c r="F132" s="201" t="s">
        <v>244</v>
      </c>
      <c r="G132" s="224">
        <f t="shared" si="6"/>
        <v>334.67340000000002</v>
      </c>
      <c r="H132" s="201" t="s">
        <v>156</v>
      </c>
      <c r="I132" s="205" t="s">
        <v>159</v>
      </c>
    </row>
    <row r="133" spans="1:9" s="201" customFormat="1">
      <c r="A133" s="201" t="s">
        <v>173</v>
      </c>
      <c r="B133" s="201" t="s">
        <v>175</v>
      </c>
      <c r="C133" s="201" t="s">
        <v>15</v>
      </c>
      <c r="D133" s="201">
        <v>2017</v>
      </c>
      <c r="E133" s="214">
        <v>0.45879700000000001</v>
      </c>
      <c r="F133" s="201" t="s">
        <v>244</v>
      </c>
      <c r="G133" s="224">
        <f t="shared" si="6"/>
        <v>45.8797</v>
      </c>
      <c r="H133" s="201" t="s">
        <v>156</v>
      </c>
      <c r="I133" s="205" t="s">
        <v>159</v>
      </c>
    </row>
    <row r="134" spans="1:9" s="201" customFormat="1">
      <c r="A134" s="201" t="s">
        <v>173</v>
      </c>
      <c r="B134" s="201" t="s">
        <v>175</v>
      </c>
      <c r="C134" s="201" t="s">
        <v>15</v>
      </c>
      <c r="D134" s="201">
        <v>2016</v>
      </c>
      <c r="E134" s="214">
        <v>1.028219</v>
      </c>
      <c r="F134" s="201" t="s">
        <v>244</v>
      </c>
      <c r="G134" s="224">
        <f t="shared" si="6"/>
        <v>102.8219</v>
      </c>
      <c r="H134" s="201" t="s">
        <v>156</v>
      </c>
      <c r="I134" s="205" t="s">
        <v>159</v>
      </c>
    </row>
    <row r="135" spans="1:9" s="201" customFormat="1">
      <c r="A135" s="201" t="s">
        <v>173</v>
      </c>
      <c r="B135" s="201" t="s">
        <v>175</v>
      </c>
      <c r="C135" s="201" t="s">
        <v>15</v>
      </c>
      <c r="D135" s="201">
        <v>2015</v>
      </c>
      <c r="E135" s="214">
        <v>0.48699900000000002</v>
      </c>
      <c r="F135" s="201" t="s">
        <v>244</v>
      </c>
      <c r="G135" s="224">
        <f t="shared" si="6"/>
        <v>48.6999</v>
      </c>
      <c r="H135" s="201" t="s">
        <v>156</v>
      </c>
      <c r="I135" s="205" t="s">
        <v>159</v>
      </c>
    </row>
    <row r="136" spans="1:9" s="201" customFormat="1">
      <c r="A136" s="201" t="s">
        <v>173</v>
      </c>
      <c r="B136" s="201" t="s">
        <v>175</v>
      </c>
      <c r="C136" s="201" t="s">
        <v>15</v>
      </c>
      <c r="D136" s="201">
        <v>2014</v>
      </c>
      <c r="E136" s="214">
        <v>0.656192</v>
      </c>
      <c r="F136" s="201" t="s">
        <v>244</v>
      </c>
      <c r="G136" s="224">
        <f t="shared" si="6"/>
        <v>65.619200000000006</v>
      </c>
      <c r="H136" s="201" t="s">
        <v>156</v>
      </c>
      <c r="I136" s="205" t="s">
        <v>159</v>
      </c>
    </row>
    <row r="137" spans="1:9" s="201" customFormat="1">
      <c r="A137" s="201" t="s">
        <v>173</v>
      </c>
      <c r="B137" s="201" t="s">
        <v>175</v>
      </c>
      <c r="C137" s="201" t="s">
        <v>248</v>
      </c>
      <c r="D137" s="201">
        <v>2018</v>
      </c>
      <c r="E137" s="214">
        <v>1.0893980000000001</v>
      </c>
      <c r="F137" s="201" t="s">
        <v>244</v>
      </c>
      <c r="G137" s="224">
        <f t="shared" si="6"/>
        <v>108.93980000000001</v>
      </c>
      <c r="H137" s="201" t="s">
        <v>156</v>
      </c>
      <c r="I137" s="205" t="s">
        <v>159</v>
      </c>
    </row>
    <row r="138" spans="1:9" s="201" customFormat="1">
      <c r="A138" s="201" t="s">
        <v>173</v>
      </c>
      <c r="B138" s="201" t="s">
        <v>175</v>
      </c>
      <c r="C138" s="201" t="s">
        <v>248</v>
      </c>
      <c r="D138" s="201">
        <v>2017</v>
      </c>
      <c r="E138" s="214">
        <v>2.147526</v>
      </c>
      <c r="F138" s="201" t="s">
        <v>244</v>
      </c>
      <c r="G138" s="224">
        <f t="shared" si="6"/>
        <v>214.7526</v>
      </c>
      <c r="H138" s="201" t="s">
        <v>156</v>
      </c>
      <c r="I138" s="205" t="s">
        <v>159</v>
      </c>
    </row>
    <row r="139" spans="1:9" s="201" customFormat="1">
      <c r="A139" s="201" t="s">
        <v>173</v>
      </c>
      <c r="B139" s="201" t="s">
        <v>175</v>
      </c>
      <c r="C139" s="201" t="s">
        <v>248</v>
      </c>
      <c r="D139" s="201">
        <v>2016</v>
      </c>
      <c r="E139" s="214">
        <v>6.2248520000000003</v>
      </c>
      <c r="F139" s="201" t="s">
        <v>244</v>
      </c>
      <c r="G139" s="224">
        <f t="shared" si="6"/>
        <v>622.48520000000008</v>
      </c>
      <c r="H139" s="201" t="s">
        <v>156</v>
      </c>
      <c r="I139" s="205" t="s">
        <v>159</v>
      </c>
    </row>
    <row r="140" spans="1:9" s="201" customFormat="1">
      <c r="A140" s="201" t="s">
        <v>173</v>
      </c>
      <c r="B140" s="201" t="s">
        <v>175</v>
      </c>
      <c r="C140" s="201" t="s">
        <v>248</v>
      </c>
      <c r="D140" s="201">
        <v>2015</v>
      </c>
      <c r="E140" s="214">
        <v>0.80916999999999994</v>
      </c>
      <c r="F140" s="201" t="s">
        <v>244</v>
      </c>
      <c r="G140" s="224">
        <f t="shared" si="6"/>
        <v>80.917000000000002</v>
      </c>
      <c r="H140" s="201" t="s">
        <v>156</v>
      </c>
      <c r="I140" s="205" t="s">
        <v>159</v>
      </c>
    </row>
    <row r="141" spans="1:9" s="201" customFormat="1">
      <c r="A141" s="201" t="s">
        <v>173</v>
      </c>
      <c r="B141" s="201" t="s">
        <v>175</v>
      </c>
      <c r="C141" s="201" t="s">
        <v>248</v>
      </c>
      <c r="D141" s="201">
        <v>2014</v>
      </c>
      <c r="E141" s="214">
        <v>10.829948</v>
      </c>
      <c r="F141" s="201" t="s">
        <v>244</v>
      </c>
      <c r="G141" s="224">
        <f t="shared" si="6"/>
        <v>1082.9947999999999</v>
      </c>
      <c r="H141" s="201" t="s">
        <v>156</v>
      </c>
      <c r="I141" s="205" t="s">
        <v>159</v>
      </c>
    </row>
    <row r="156" spans="9:9">
      <c r="I156" s="16"/>
    </row>
    <row r="157" spans="9:9">
      <c r="I157" s="16"/>
    </row>
    <row r="158" spans="9:9">
      <c r="I158" s="16"/>
    </row>
    <row r="159" spans="9:9">
      <c r="I159" s="16"/>
    </row>
    <row r="160" spans="9:9">
      <c r="I160" s="16"/>
    </row>
    <row r="161" spans="9:9">
      <c r="I161" s="16"/>
    </row>
    <row r="162" spans="9:9">
      <c r="I162" s="16"/>
    </row>
    <row r="163" spans="9:9">
      <c r="I163" s="16"/>
    </row>
    <row r="164" spans="9:9">
      <c r="I164" s="16"/>
    </row>
    <row r="165" spans="9:9">
      <c r="I165" s="16"/>
    </row>
    <row r="166" spans="9:9">
      <c r="I166" s="16"/>
    </row>
    <row r="167" spans="9:9">
      <c r="I167" s="16"/>
    </row>
    <row r="168" spans="9:9">
      <c r="I168" s="16"/>
    </row>
    <row r="169" spans="9:9">
      <c r="I169" s="16"/>
    </row>
    <row r="170" spans="9:9">
      <c r="I170" s="16"/>
    </row>
    <row r="171" spans="9:9">
      <c r="I171" s="16"/>
    </row>
    <row r="173" spans="9:9">
      <c r="I173" s="35"/>
    </row>
  </sheetData>
  <autoFilter ref="A1:I1" xr:uid="{3614E37E-F4C3-4B0E-9466-023FE8460AE8}"/>
  <sortState xmlns:xlrd2="http://schemas.microsoft.com/office/spreadsheetml/2017/richdata2" ref="E42:E46">
    <sortCondition descending="1" ref="E46"/>
  </sortState>
  <hyperlinks>
    <hyperlink ref="I92" r:id="rId1" xr:uid="{080166A8-2B67-4AE3-95D3-508F0C8A0149}"/>
    <hyperlink ref="I93:I94" r:id="rId2" display="http://www.annualreports.com/Company/exelon-corporation p220" xr:uid="{70696EB4-06EB-4F17-BF73-C21A82072479}"/>
    <hyperlink ref="I93" r:id="rId3" xr:uid="{4BFBFA24-55F7-4114-A82F-F8D9FB316471}"/>
    <hyperlink ref="I94" r:id="rId4" xr:uid="{76678EE4-6228-41D7-9E7E-F44CADA8A6D6}"/>
    <hyperlink ref="I82" r:id="rId5" xr:uid="{F8328DDB-8726-4DC8-A226-25AA999A3FA8}"/>
    <hyperlink ref="I85" r:id="rId6" xr:uid="{A0AC1E78-EA3A-4A55-8719-39A9D2E88A05}"/>
    <hyperlink ref="I86" r:id="rId7" xr:uid="{0F2A59FF-4728-4122-954F-F0CA2743821F}"/>
    <hyperlink ref="I89" r:id="rId8" xr:uid="{EDE1FE38-5A38-4666-A542-83454A0C419F}"/>
    <hyperlink ref="I95" r:id="rId9" xr:uid="{E8CD7A46-B286-41A5-8143-39A7BA047A62}"/>
    <hyperlink ref="I96" r:id="rId10" xr:uid="{19DF2769-2004-48EC-AD57-346F156FDB0D}"/>
    <hyperlink ref="I88" r:id="rId11" xr:uid="{DDAAE7C2-8789-4BC2-8835-5AE5D5ABCE9B}"/>
    <hyperlink ref="I87" r:id="rId12" xr:uid="{66646003-4765-4848-A739-D13E5D6566CF}"/>
    <hyperlink ref="I90" r:id="rId13" xr:uid="{68F80695-E688-4689-A315-AEF1FB285C78}"/>
    <hyperlink ref="I91" r:id="rId14" xr:uid="{44F24D26-A4A8-4A5C-B1A7-91020A2273DE}"/>
    <hyperlink ref="I83" r:id="rId15" xr:uid="{D58E4466-3106-3646-A69A-49258B979B7E}"/>
    <hyperlink ref="I84" r:id="rId16" xr:uid="{2AAB649C-69E0-9949-9943-7D7BB6176DCB}"/>
    <hyperlink ref="I2" r:id="rId17" xr:uid="{F1B7AE07-661E-487F-B00D-B5CE2DE78A0D}"/>
    <hyperlink ref="I102" r:id="rId18" xr:uid="{74A91975-4B14-42FC-ABD1-977C37CF7A4F}"/>
    <hyperlink ref="I97" r:id="rId19" xr:uid="{0DE7A5E1-2605-4D6C-949F-3266A6AF9319}"/>
    <hyperlink ref="I98" r:id="rId20" xr:uid="{194CC7E1-A513-404B-A3FB-65854CA72192}"/>
    <hyperlink ref="I99" r:id="rId21" xr:uid="{C3A8C3E8-ACD7-4B96-A3A6-262532B8DE15}"/>
    <hyperlink ref="I100" r:id="rId22" xr:uid="{90369CC9-4C73-4642-A8E1-D01023BAFF30}"/>
    <hyperlink ref="I101" r:id="rId23" xr:uid="{D725978E-1E0E-4906-9705-DA5A51DABAA6}"/>
    <hyperlink ref="I137:I141" r:id="rId24" display="https://financialmodelingprep.com/developer/docs/financial-statement-free-api" xr:uid="{C306E734-BB33-4346-A702-1D9B1CCDC3F0}"/>
    <hyperlink ref="I77:I81" r:id="rId25" display="https://financialmodelingprep.com/developer/docs/financial-statement-free-api" xr:uid="{7C7F5198-0253-4075-AC7A-55679A44CF36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1BC-2681-47AA-9F60-69D7A103436D}">
  <dimension ref="A1:I138"/>
  <sheetViews>
    <sheetView topLeftCell="A50" zoomScale="57" workbookViewId="0">
      <selection activeCell="E41" sqref="E41"/>
    </sheetView>
  </sheetViews>
  <sheetFormatPr defaultColWidth="11" defaultRowHeight="15"/>
  <cols>
    <col min="1" max="1" width="11" style="1"/>
    <col min="2" max="2" width="31.625" style="1" bestFit="1" customWidth="1"/>
    <col min="3" max="3" width="9" style="1" bestFit="1" customWidth="1"/>
    <col min="4" max="4" width="11.5" style="1" bestFit="1" customWidth="1"/>
    <col min="5" max="5" width="34.3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157</v>
      </c>
      <c r="B2" s="1" t="s">
        <v>158</v>
      </c>
      <c r="C2" s="1" t="s">
        <v>11</v>
      </c>
      <c r="D2" s="1">
        <v>2018</v>
      </c>
      <c r="E2" s="15">
        <v>0.194412</v>
      </c>
      <c r="G2" s="1">
        <f t="shared" ref="G2:G31" si="0">E2*100</f>
        <v>19.441199999999998</v>
      </c>
      <c r="H2" s="1" t="s">
        <v>156</v>
      </c>
      <c r="I2" s="1" t="s">
        <v>159</v>
      </c>
    </row>
    <row r="3" spans="1:9">
      <c r="A3" s="1" t="s">
        <v>157</v>
      </c>
      <c r="B3" s="1" t="s">
        <v>158</v>
      </c>
      <c r="C3" s="1" t="s">
        <v>11</v>
      </c>
      <c r="D3" s="1">
        <v>2017</v>
      </c>
      <c r="E3" s="15">
        <v>0.19065499999999999</v>
      </c>
      <c r="G3" s="1">
        <f t="shared" si="0"/>
        <v>19.0655</v>
      </c>
      <c r="H3" s="1" t="s">
        <v>156</v>
      </c>
      <c r="I3" s="1" t="s">
        <v>159</v>
      </c>
    </row>
    <row r="4" spans="1:9">
      <c r="A4" s="1" t="s">
        <v>157</v>
      </c>
      <c r="B4" s="1" t="s">
        <v>158</v>
      </c>
      <c r="C4" s="1" t="s">
        <v>11</v>
      </c>
      <c r="D4" s="1">
        <v>2016</v>
      </c>
      <c r="E4" s="15">
        <v>0.119634</v>
      </c>
      <c r="G4" s="1">
        <f t="shared" si="0"/>
        <v>11.9634</v>
      </c>
      <c r="H4" s="1" t="s">
        <v>156</v>
      </c>
      <c r="I4" s="1" t="s">
        <v>159</v>
      </c>
    </row>
    <row r="5" spans="1:9">
      <c r="A5" s="1" t="s">
        <v>157</v>
      </c>
      <c r="B5" s="1" t="s">
        <v>158</v>
      </c>
      <c r="C5" s="1" t="s">
        <v>11</v>
      </c>
      <c r="D5" s="1">
        <v>2015</v>
      </c>
      <c r="E5" s="15">
        <v>0.12191</v>
      </c>
      <c r="G5" s="1">
        <f t="shared" si="0"/>
        <v>12.191000000000001</v>
      </c>
      <c r="H5" s="1" t="s">
        <v>156</v>
      </c>
      <c r="I5" s="1" t="s">
        <v>159</v>
      </c>
    </row>
    <row r="6" spans="1:9">
      <c r="A6" s="1" t="s">
        <v>157</v>
      </c>
      <c r="B6" s="1" t="s">
        <v>158</v>
      </c>
      <c r="C6" s="1" t="s">
        <v>11</v>
      </c>
      <c r="D6" s="1">
        <v>2014</v>
      </c>
      <c r="E6" s="15">
        <v>0.12377000000000001</v>
      </c>
      <c r="G6" s="1">
        <f t="shared" si="0"/>
        <v>12.377000000000001</v>
      </c>
      <c r="H6" s="1" t="s">
        <v>156</v>
      </c>
      <c r="I6" s="1" t="s">
        <v>159</v>
      </c>
    </row>
    <row r="7" spans="1:9">
      <c r="A7" s="1" t="s">
        <v>157</v>
      </c>
      <c r="B7" s="1" t="s">
        <v>158</v>
      </c>
      <c r="C7" s="1" t="s">
        <v>18</v>
      </c>
      <c r="D7" s="1">
        <v>2018</v>
      </c>
      <c r="E7" s="15">
        <v>6.0844000000000002E-2</v>
      </c>
      <c r="G7" s="1">
        <f t="shared" si="0"/>
        <v>6.0844000000000005</v>
      </c>
      <c r="H7" s="1" t="s">
        <v>156</v>
      </c>
      <c r="I7" s="1" t="s">
        <v>159</v>
      </c>
    </row>
    <row r="8" spans="1:9">
      <c r="A8" s="1" t="s">
        <v>157</v>
      </c>
      <c r="B8" s="1" t="s">
        <v>158</v>
      </c>
      <c r="C8" s="1" t="s">
        <v>18</v>
      </c>
      <c r="D8" s="1">
        <v>2017</v>
      </c>
      <c r="E8" s="15">
        <v>7.3289000000000007E-2</v>
      </c>
      <c r="G8" s="1">
        <f t="shared" si="0"/>
        <v>7.3289000000000009</v>
      </c>
      <c r="H8" s="1" t="s">
        <v>156</v>
      </c>
      <c r="I8" s="1" t="s">
        <v>159</v>
      </c>
    </row>
    <row r="9" spans="1:9">
      <c r="A9" s="1" t="s">
        <v>157</v>
      </c>
      <c r="B9" s="1" t="s">
        <v>158</v>
      </c>
      <c r="C9" s="1" t="s">
        <v>18</v>
      </c>
      <c r="D9" s="1">
        <v>2016</v>
      </c>
      <c r="E9" s="15">
        <v>5.2446E-2</v>
      </c>
      <c r="G9" s="1">
        <f t="shared" si="0"/>
        <v>5.2446000000000002</v>
      </c>
      <c r="H9" s="1" t="s">
        <v>156</v>
      </c>
      <c r="I9" s="1" t="s">
        <v>159</v>
      </c>
    </row>
    <row r="10" spans="1:9">
      <c r="A10" s="1" t="s">
        <v>157</v>
      </c>
      <c r="B10" s="1" t="s">
        <v>158</v>
      </c>
      <c r="C10" s="1" t="s">
        <v>18</v>
      </c>
      <c r="D10" s="1">
        <v>2015</v>
      </c>
      <c r="E10" s="15">
        <v>7.0884000000000003E-2</v>
      </c>
      <c r="G10" s="1">
        <f t="shared" si="0"/>
        <v>7.0884</v>
      </c>
      <c r="H10" s="1" t="s">
        <v>156</v>
      </c>
      <c r="I10" s="1" t="s">
        <v>159</v>
      </c>
    </row>
    <row r="11" spans="1:9">
      <c r="A11" s="1" t="s">
        <v>157</v>
      </c>
      <c r="B11" s="1" t="s">
        <v>158</v>
      </c>
      <c r="C11" s="1" t="s">
        <v>18</v>
      </c>
      <c r="D11" s="1">
        <v>2014</v>
      </c>
      <c r="E11" s="15">
        <v>4.6066999999999997E-2</v>
      </c>
      <c r="G11" s="1">
        <f t="shared" si="0"/>
        <v>4.6067</v>
      </c>
      <c r="H11" s="1" t="s">
        <v>156</v>
      </c>
      <c r="I11" s="1" t="s">
        <v>159</v>
      </c>
    </row>
    <row r="12" spans="1:9">
      <c r="A12" s="1" t="s">
        <v>157</v>
      </c>
      <c r="B12" s="1" t="s">
        <v>158</v>
      </c>
      <c r="C12" s="1" t="s">
        <v>15</v>
      </c>
      <c r="D12" s="1">
        <v>2018</v>
      </c>
      <c r="E12" s="15">
        <v>1.2937000000000001E-2</v>
      </c>
      <c r="G12" s="1">
        <f t="shared" si="0"/>
        <v>1.2937000000000001</v>
      </c>
      <c r="H12" s="1" t="s">
        <v>156</v>
      </c>
      <c r="I12" s="1" t="s">
        <v>159</v>
      </c>
    </row>
    <row r="13" spans="1:9">
      <c r="A13" s="1" t="s">
        <v>157</v>
      </c>
      <c r="B13" s="1" t="s">
        <v>158</v>
      </c>
      <c r="C13" s="1" t="s">
        <v>15</v>
      </c>
      <c r="D13" s="1">
        <v>2017</v>
      </c>
      <c r="E13" s="15">
        <v>9.0230000000000005E-2</v>
      </c>
      <c r="G13" s="1">
        <f t="shared" si="0"/>
        <v>9.0229999999999997</v>
      </c>
      <c r="H13" s="1" t="s">
        <v>156</v>
      </c>
      <c r="I13" s="1" t="s">
        <v>159</v>
      </c>
    </row>
    <row r="14" spans="1:9">
      <c r="A14" s="1" t="s">
        <v>157</v>
      </c>
      <c r="B14" s="1" t="s">
        <v>158</v>
      </c>
      <c r="C14" s="1" t="s">
        <v>15</v>
      </c>
      <c r="D14" s="1">
        <v>2016</v>
      </c>
      <c r="E14" s="15">
        <v>4.3890999999999999E-2</v>
      </c>
      <c r="G14" s="1">
        <f t="shared" si="0"/>
        <v>4.3891</v>
      </c>
      <c r="H14" s="1" t="s">
        <v>156</v>
      </c>
      <c r="I14" s="1" t="s">
        <v>159</v>
      </c>
    </row>
    <row r="15" spans="1:9">
      <c r="A15" s="1" t="s">
        <v>157</v>
      </c>
      <c r="B15" s="1" t="s">
        <v>158</v>
      </c>
      <c r="C15" s="1" t="s">
        <v>15</v>
      </c>
      <c r="D15" s="1">
        <v>2015</v>
      </c>
      <c r="E15" s="15">
        <v>8.7970000000000007E-2</v>
      </c>
      <c r="G15" s="1">
        <f t="shared" si="0"/>
        <v>8.7970000000000006</v>
      </c>
      <c r="H15" s="1" t="s">
        <v>156</v>
      </c>
      <c r="I15" s="1" t="s">
        <v>159</v>
      </c>
    </row>
    <row r="16" spans="1:9">
      <c r="A16" s="1" t="s">
        <v>157</v>
      </c>
      <c r="B16" s="1" t="s">
        <v>158</v>
      </c>
      <c r="C16" s="1" t="s">
        <v>15</v>
      </c>
      <c r="D16" s="1">
        <v>2014</v>
      </c>
      <c r="E16" s="15">
        <v>7.1789000000000006E-2</v>
      </c>
      <c r="G16" s="1">
        <f t="shared" si="0"/>
        <v>7.1789000000000005</v>
      </c>
      <c r="H16" s="1" t="s">
        <v>156</v>
      </c>
      <c r="I16" s="1" t="s">
        <v>159</v>
      </c>
    </row>
    <row r="17" spans="1:9">
      <c r="A17" s="1" t="s">
        <v>157</v>
      </c>
      <c r="B17" s="1" t="s">
        <v>160</v>
      </c>
      <c r="C17" s="1" t="s">
        <v>11</v>
      </c>
      <c r="D17" s="1">
        <v>2018</v>
      </c>
      <c r="E17" s="15">
        <v>6.4009999999999997E-2</v>
      </c>
      <c r="G17" s="1">
        <f t="shared" si="0"/>
        <v>6.4009999999999998</v>
      </c>
      <c r="H17" s="1" t="s">
        <v>156</v>
      </c>
      <c r="I17" s="1" t="s">
        <v>159</v>
      </c>
    </row>
    <row r="18" spans="1:9">
      <c r="A18" s="1" t="s">
        <v>157</v>
      </c>
      <c r="B18" s="1" t="s">
        <v>160</v>
      </c>
      <c r="C18" s="1" t="s">
        <v>11</v>
      </c>
      <c r="D18" s="1">
        <v>2017</v>
      </c>
      <c r="E18" s="15">
        <v>5.4975000000000003E-2</v>
      </c>
      <c r="G18" s="1">
        <f t="shared" si="0"/>
        <v>5.4975000000000005</v>
      </c>
      <c r="H18" s="1" t="s">
        <v>156</v>
      </c>
      <c r="I18" s="1" t="s">
        <v>159</v>
      </c>
    </row>
    <row r="19" spans="1:9">
      <c r="A19" s="1" t="s">
        <v>157</v>
      </c>
      <c r="B19" s="1" t="s">
        <v>160</v>
      </c>
      <c r="C19" s="1" t="s">
        <v>11</v>
      </c>
      <c r="D19" s="1">
        <v>2016</v>
      </c>
      <c r="E19" s="15">
        <v>3.2357999999999998E-2</v>
      </c>
      <c r="G19" s="1">
        <f t="shared" si="0"/>
        <v>3.2357999999999998</v>
      </c>
      <c r="H19" s="1" t="s">
        <v>156</v>
      </c>
      <c r="I19" s="1" t="s">
        <v>159</v>
      </c>
    </row>
    <row r="20" spans="1:9">
      <c r="A20" s="1" t="s">
        <v>157</v>
      </c>
      <c r="B20" s="1" t="s">
        <v>160</v>
      </c>
      <c r="C20" s="1" t="s">
        <v>11</v>
      </c>
      <c r="D20" s="1">
        <v>2015</v>
      </c>
      <c r="E20" s="15">
        <v>3.3366E-2</v>
      </c>
      <c r="G20" s="1">
        <f t="shared" si="0"/>
        <v>3.3365999999999998</v>
      </c>
      <c r="H20" s="1" t="s">
        <v>156</v>
      </c>
      <c r="I20" s="1" t="s">
        <v>159</v>
      </c>
    </row>
    <row r="21" spans="1:9">
      <c r="A21" s="1" t="s">
        <v>157</v>
      </c>
      <c r="B21" s="1" t="s">
        <v>160</v>
      </c>
      <c r="C21" s="1" t="s">
        <v>11</v>
      </c>
      <c r="D21" s="1">
        <v>2014</v>
      </c>
      <c r="E21" s="15">
        <v>3.2897999999999997E-2</v>
      </c>
      <c r="G21" s="1">
        <f t="shared" si="0"/>
        <v>3.2897999999999996</v>
      </c>
      <c r="H21" s="1" t="s">
        <v>156</v>
      </c>
      <c r="I21" s="1" t="s">
        <v>159</v>
      </c>
    </row>
    <row r="22" spans="1:9">
      <c r="A22" s="1" t="s">
        <v>157</v>
      </c>
      <c r="B22" s="1" t="s">
        <v>160</v>
      </c>
      <c r="C22" s="1" t="s">
        <v>18</v>
      </c>
      <c r="D22" s="1">
        <v>2018</v>
      </c>
      <c r="E22" s="15">
        <v>1.8336999999999999E-2</v>
      </c>
      <c r="G22" s="1">
        <f t="shared" si="0"/>
        <v>1.8336999999999999</v>
      </c>
      <c r="H22" s="1" t="s">
        <v>156</v>
      </c>
      <c r="I22" s="1" t="s">
        <v>159</v>
      </c>
    </row>
    <row r="23" spans="1:9">
      <c r="A23" s="1" t="s">
        <v>157</v>
      </c>
      <c r="B23" s="1" t="s">
        <v>160</v>
      </c>
      <c r="C23" s="1" t="s">
        <v>18</v>
      </c>
      <c r="D23" s="1">
        <v>2017</v>
      </c>
      <c r="E23" s="15">
        <v>2.2179999999999998E-2</v>
      </c>
      <c r="G23" s="1">
        <f t="shared" si="0"/>
        <v>2.218</v>
      </c>
      <c r="H23" s="1" t="s">
        <v>156</v>
      </c>
      <c r="I23" s="1" t="s">
        <v>159</v>
      </c>
    </row>
    <row r="24" spans="1:9">
      <c r="A24" s="1" t="s">
        <v>157</v>
      </c>
      <c r="B24" s="1" t="s">
        <v>160</v>
      </c>
      <c r="C24" s="1" t="s">
        <v>18</v>
      </c>
      <c r="D24" s="1">
        <v>2016</v>
      </c>
      <c r="E24" s="15">
        <v>1.6209999999999999E-2</v>
      </c>
      <c r="G24" s="1">
        <f t="shared" si="0"/>
        <v>1.6209999999999998</v>
      </c>
      <c r="H24" s="1" t="s">
        <v>156</v>
      </c>
      <c r="I24" s="1" t="s">
        <v>159</v>
      </c>
    </row>
    <row r="25" spans="1:9">
      <c r="A25" s="1" t="s">
        <v>157</v>
      </c>
      <c r="B25" s="1" t="s">
        <v>160</v>
      </c>
      <c r="C25" s="1" t="s">
        <v>18</v>
      </c>
      <c r="D25" s="1">
        <v>2015</v>
      </c>
      <c r="E25" s="15">
        <v>2.3243E-2</v>
      </c>
      <c r="G25" s="1">
        <f t="shared" si="0"/>
        <v>2.3243</v>
      </c>
      <c r="H25" s="1" t="s">
        <v>156</v>
      </c>
      <c r="I25" s="1" t="s">
        <v>159</v>
      </c>
    </row>
    <row r="26" spans="1:9">
      <c r="A26" s="1" t="s">
        <v>157</v>
      </c>
      <c r="B26" s="1" t="s">
        <v>160</v>
      </c>
      <c r="C26" s="1" t="s">
        <v>18</v>
      </c>
      <c r="D26" s="1">
        <v>2014</v>
      </c>
      <c r="E26" s="15">
        <v>1.5599E-2</v>
      </c>
      <c r="G26" s="1">
        <f t="shared" si="0"/>
        <v>1.5599000000000001</v>
      </c>
      <c r="H26" s="1" t="s">
        <v>156</v>
      </c>
      <c r="I26" s="1" t="s">
        <v>159</v>
      </c>
    </row>
    <row r="27" spans="1:9">
      <c r="A27" s="1" t="s">
        <v>157</v>
      </c>
      <c r="B27" s="1" t="s">
        <v>160</v>
      </c>
      <c r="C27" s="1" t="s">
        <v>15</v>
      </c>
      <c r="D27" s="1">
        <v>2018</v>
      </c>
      <c r="E27" s="15">
        <f>2084/119666</f>
        <v>1.741513880300169E-2</v>
      </c>
      <c r="G27" s="1">
        <f t="shared" si="0"/>
        <v>1.7415138803001691</v>
      </c>
      <c r="H27" s="1" t="s">
        <v>156</v>
      </c>
      <c r="I27" s="1" t="s">
        <v>159</v>
      </c>
    </row>
    <row r="28" spans="1:9">
      <c r="A28" s="1" t="s">
        <v>157</v>
      </c>
      <c r="B28" s="1" t="s">
        <v>160</v>
      </c>
      <c r="C28" s="1" t="s">
        <v>15</v>
      </c>
      <c r="D28" s="1">
        <v>2017</v>
      </c>
      <c r="E28" s="15">
        <f>3876/116770</f>
        <v>3.3193457223601952E-2</v>
      </c>
      <c r="G28" s="1">
        <f t="shared" si="0"/>
        <v>3.319345722360195</v>
      </c>
      <c r="H28" s="1" t="s">
        <v>156</v>
      </c>
      <c r="I28" s="1" t="s">
        <v>159</v>
      </c>
    </row>
    <row r="29" spans="1:9">
      <c r="A29" s="1" t="s">
        <v>157</v>
      </c>
      <c r="B29" s="1" t="s">
        <v>160</v>
      </c>
      <c r="C29" s="1" t="s">
        <v>15</v>
      </c>
      <c r="D29" s="1">
        <v>2016</v>
      </c>
      <c r="E29" s="15">
        <f>1196/114952</f>
        <v>1.040434268216299E-2</v>
      </c>
      <c r="G29" s="1">
        <f t="shared" si="0"/>
        <v>1.040434268216299</v>
      </c>
      <c r="H29" s="1" t="s">
        <v>156</v>
      </c>
      <c r="I29" s="1" t="s">
        <v>159</v>
      </c>
    </row>
    <row r="30" spans="1:9">
      <c r="A30" s="1" t="s">
        <v>157</v>
      </c>
      <c r="B30" s="1" t="s">
        <v>160</v>
      </c>
      <c r="C30" s="1" t="s">
        <v>15</v>
      </c>
      <c r="D30" s="1">
        <v>2015</v>
      </c>
      <c r="E30" s="15">
        <f>2250/95384</f>
        <v>2.3588861863624928E-2</v>
      </c>
      <c r="G30" s="1">
        <f t="shared" si="0"/>
        <v>2.3588861863624926</v>
      </c>
      <c r="H30" s="1" t="s">
        <v>156</v>
      </c>
      <c r="I30" s="1" t="s">
        <v>159</v>
      </c>
    </row>
    <row r="31" spans="1:9">
      <c r="A31" s="1" t="s">
        <v>157</v>
      </c>
      <c r="B31" s="1" t="s">
        <v>160</v>
      </c>
      <c r="C31" s="1" t="s">
        <v>15</v>
      </c>
      <c r="D31" s="1">
        <v>2014</v>
      </c>
      <c r="E31" s="15">
        <f>1820/86416</f>
        <v>2.1060914645436031E-2</v>
      </c>
      <c r="G31" s="1">
        <f t="shared" si="0"/>
        <v>2.1060914645436033</v>
      </c>
      <c r="H31" s="1" t="s">
        <v>156</v>
      </c>
      <c r="I31" s="1" t="s">
        <v>159</v>
      </c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15">
        <v>2.0371950000000001</v>
      </c>
      <c r="G32" s="1">
        <f t="shared" ref="G32:G46" si="1">E32</f>
        <v>2.0371950000000001</v>
      </c>
      <c r="H32" s="1" t="s">
        <v>156</v>
      </c>
      <c r="I32" s="1" t="s">
        <v>159</v>
      </c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15">
        <v>2.4680589999999998</v>
      </c>
      <c r="G33" s="1">
        <f t="shared" si="1"/>
        <v>2.4680589999999998</v>
      </c>
      <c r="H33" s="1" t="s">
        <v>156</v>
      </c>
      <c r="I33" s="1" t="s">
        <v>159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15">
        <v>2.6971780000000001</v>
      </c>
      <c r="G34" s="1">
        <f t="shared" si="1"/>
        <v>2.6971780000000001</v>
      </c>
      <c r="H34" s="1" t="s">
        <v>156</v>
      </c>
      <c r="I34" s="1" t="s">
        <v>159</v>
      </c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15">
        <v>2.6537169999999999</v>
      </c>
      <c r="G35" s="1">
        <f t="shared" si="1"/>
        <v>2.6537169999999999</v>
      </c>
      <c r="H35" s="1" t="s">
        <v>156</v>
      </c>
      <c r="I35" s="1" t="s">
        <v>159</v>
      </c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15">
        <v>2.762251</v>
      </c>
      <c r="G36" s="1">
        <f t="shared" si="1"/>
        <v>2.762251</v>
      </c>
      <c r="H36" s="1" t="s">
        <v>156</v>
      </c>
      <c r="I36" s="1" t="s">
        <v>159</v>
      </c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15">
        <v>2.3181639999999999</v>
      </c>
      <c r="G37" s="1">
        <f t="shared" si="1"/>
        <v>2.3181639999999999</v>
      </c>
      <c r="H37" s="1" t="s">
        <v>156</v>
      </c>
      <c r="I37" s="1" t="s">
        <v>159</v>
      </c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15">
        <v>2.3041999999999998</v>
      </c>
      <c r="G38" s="1">
        <f t="shared" si="1"/>
        <v>2.3041999999999998</v>
      </c>
      <c r="H38" s="1" t="s">
        <v>156</v>
      </c>
      <c r="I38" s="1" t="s">
        <v>159</v>
      </c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15">
        <v>2.2354690000000002</v>
      </c>
      <c r="G39" s="1">
        <f t="shared" si="1"/>
        <v>2.2354690000000002</v>
      </c>
      <c r="H39" s="1" t="s">
        <v>156</v>
      </c>
      <c r="I39" s="1" t="s">
        <v>159</v>
      </c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15">
        <v>2.0497139999999998</v>
      </c>
      <c r="G40" s="1">
        <f t="shared" si="1"/>
        <v>2.0497139999999998</v>
      </c>
      <c r="H40" s="1" t="s">
        <v>156</v>
      </c>
      <c r="I40" s="1" t="s">
        <v>159</v>
      </c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15">
        <v>1.953125</v>
      </c>
      <c r="G41" s="1">
        <f t="shared" si="1"/>
        <v>1.953125</v>
      </c>
      <c r="H41" s="1" t="s">
        <v>156</v>
      </c>
      <c r="I41" s="1" t="s">
        <v>159</v>
      </c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15">
        <v>2.8898060000000001</v>
      </c>
      <c r="G42" s="1">
        <f t="shared" si="1"/>
        <v>2.8898060000000001</v>
      </c>
      <c r="H42" s="1" t="s">
        <v>156</v>
      </c>
      <c r="I42" s="1" t="s">
        <v>159</v>
      </c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15">
        <v>2.9086310000000002</v>
      </c>
      <c r="G43" s="1">
        <f t="shared" si="1"/>
        <v>2.9086310000000002</v>
      </c>
      <c r="H43" s="1" t="s">
        <v>156</v>
      </c>
      <c r="I43" s="1" t="s">
        <v>159</v>
      </c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15">
        <v>3.4472659999999999</v>
      </c>
      <c r="G44" s="1">
        <f t="shared" si="1"/>
        <v>3.4472659999999999</v>
      </c>
      <c r="H44" s="1" t="s">
        <v>156</v>
      </c>
      <c r="I44" s="1" t="s">
        <v>159</v>
      </c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15">
        <v>2.6980580000000001</v>
      </c>
      <c r="G45" s="1">
        <f t="shared" si="1"/>
        <v>2.6980580000000001</v>
      </c>
      <c r="H45" s="1" t="s">
        <v>156</v>
      </c>
      <c r="I45" s="1" t="s">
        <v>159</v>
      </c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15">
        <v>2.8399679999999998</v>
      </c>
      <c r="G46" s="1">
        <f t="shared" si="1"/>
        <v>2.8399679999999998</v>
      </c>
      <c r="H46" s="1" t="s">
        <v>156</v>
      </c>
      <c r="I46" s="1" t="s">
        <v>159</v>
      </c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5">
        <v>0.214363</v>
      </c>
      <c r="G47" s="1">
        <f t="shared" ref="G47:G61" si="2">E47*100</f>
        <v>21.436299999999999</v>
      </c>
      <c r="H47" s="1" t="s">
        <v>156</v>
      </c>
      <c r="I47" s="1" t="s">
        <v>159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5">
        <v>-0.13991899999999999</v>
      </c>
      <c r="G48" s="1">
        <f t="shared" si="2"/>
        <v>-13.991899999999999</v>
      </c>
      <c r="H48" s="1" t="s">
        <v>156</v>
      </c>
      <c r="I48" s="1" t="s">
        <v>159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5">
        <v>0.31517800000000001</v>
      </c>
      <c r="G49" s="1">
        <f t="shared" si="2"/>
        <v>31.517800000000001</v>
      </c>
      <c r="H49" s="1" t="s">
        <v>156</v>
      </c>
      <c r="I49" s="1" t="s">
        <v>159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5">
        <v>0.30776900000000001</v>
      </c>
      <c r="G50" s="1">
        <f t="shared" si="2"/>
        <v>30.776900000000001</v>
      </c>
      <c r="H50" s="1" t="s">
        <v>156</v>
      </c>
      <c r="I50" s="1" t="s">
        <v>159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5">
        <v>0.32263399999999998</v>
      </c>
      <c r="G51" s="1">
        <f t="shared" si="2"/>
        <v>32.263399999999997</v>
      </c>
      <c r="H51" s="1" t="s">
        <v>156</v>
      </c>
      <c r="I51" s="1" t="s">
        <v>159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5">
        <v>0.145786</v>
      </c>
      <c r="G52" s="1">
        <f t="shared" si="2"/>
        <v>14.5786</v>
      </c>
      <c r="H52" s="1" t="s">
        <v>156</v>
      </c>
      <c r="I52" s="1" t="s">
        <v>159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5">
        <v>0.28035599999999999</v>
      </c>
      <c r="G53" s="1">
        <f t="shared" si="2"/>
        <v>28.035599999999999</v>
      </c>
      <c r="H53" s="1" t="s">
        <v>156</v>
      </c>
      <c r="I53" s="1" t="s">
        <v>159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5">
        <v>0.30958799999999997</v>
      </c>
      <c r="G54" s="1">
        <f t="shared" si="2"/>
        <v>30.958799999999997</v>
      </c>
      <c r="H54" s="1" t="s">
        <v>156</v>
      </c>
      <c r="I54" s="1" t="s">
        <v>159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5">
        <v>0.32052199999999997</v>
      </c>
      <c r="G55" s="1">
        <f t="shared" si="2"/>
        <v>32.052199999999999</v>
      </c>
      <c r="H55" s="1" t="s">
        <v>156</v>
      </c>
      <c r="I55" s="1" t="s">
        <v>159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5">
        <v>0.403725</v>
      </c>
      <c r="G56" s="1">
        <f t="shared" si="2"/>
        <v>40.372500000000002</v>
      </c>
      <c r="H56" s="1" t="s">
        <v>156</v>
      </c>
      <c r="I56" s="1" t="s">
        <v>159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5">
        <v>5.3762999999999998E-2</v>
      </c>
      <c r="G57" s="1">
        <f t="shared" si="2"/>
        <v>5.3762999999999996</v>
      </c>
      <c r="H57" s="1" t="s">
        <v>156</v>
      </c>
      <c r="I57" s="1" t="s">
        <v>159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5">
        <v>-3.3279999999999997E-2</v>
      </c>
      <c r="G58" s="1">
        <f t="shared" si="2"/>
        <v>-3.3279999999999998</v>
      </c>
      <c r="H58" s="1" t="s">
        <v>156</v>
      </c>
      <c r="I58" s="1" t="s">
        <v>159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5">
        <v>0.382604</v>
      </c>
      <c r="G59" s="1">
        <f t="shared" si="2"/>
        <v>38.260399999999997</v>
      </c>
      <c r="H59" s="1" t="s">
        <v>156</v>
      </c>
      <c r="I59" s="1" t="s">
        <v>159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5">
        <v>0.32222200000000001</v>
      </c>
      <c r="G60" s="1">
        <f t="shared" si="2"/>
        <v>32.222200000000001</v>
      </c>
      <c r="H60" s="1" t="s">
        <v>156</v>
      </c>
      <c r="I60" s="1" t="s">
        <v>159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15">
        <v>0.26790000000000003</v>
      </c>
      <c r="G61" s="1">
        <f t="shared" si="2"/>
        <v>26.790000000000003</v>
      </c>
      <c r="H61" s="1" t="s">
        <v>156</v>
      </c>
      <c r="I61" s="1" t="s">
        <v>159</v>
      </c>
    </row>
    <row r="62" spans="1:9">
      <c r="A62" s="1" t="s">
        <v>161</v>
      </c>
      <c r="B62" s="1" t="s">
        <v>164</v>
      </c>
      <c r="C62" s="1" t="s">
        <v>11</v>
      </c>
      <c r="D62" s="1">
        <v>2018</v>
      </c>
      <c r="E62" s="15">
        <v>3732000000</v>
      </c>
      <c r="G62" s="1" cm="1">
        <f t="array" ref="G62">E62/VLOOKUP(D62,net_generation!$A:$D,MATCH(C62,net_generation!$1:$1,FALSE),FALSE)</f>
        <v>19.328152387213784</v>
      </c>
      <c r="H62" s="1" t="s">
        <v>246</v>
      </c>
      <c r="I62" s="1" t="s">
        <v>166</v>
      </c>
    </row>
    <row r="63" spans="1:9">
      <c r="A63" s="1" t="s">
        <v>161</v>
      </c>
      <c r="B63" s="1" t="s">
        <v>164</v>
      </c>
      <c r="C63" s="1" t="s">
        <v>11</v>
      </c>
      <c r="D63" s="1">
        <v>2017</v>
      </c>
      <c r="E63" s="15">
        <v>4071000000</v>
      </c>
      <c r="G63" s="1" cm="1">
        <f t="array" ref="G63">E63/VLOOKUP(D63,net_generation!$A:$D,MATCH(C63,net_generation!$1:$1,FALSE),FALSE)</f>
        <v>21.521463197708485</v>
      </c>
      <c r="H63" s="1" t="s">
        <v>246</v>
      </c>
      <c r="I63" s="1" t="s">
        <v>166</v>
      </c>
    </row>
    <row r="64" spans="1:9">
      <c r="A64" s="1" t="s">
        <v>161</v>
      </c>
      <c r="B64" s="1" t="s">
        <v>164</v>
      </c>
      <c r="C64" s="1" t="s">
        <v>11</v>
      </c>
      <c r="D64" s="1">
        <v>2016</v>
      </c>
      <c r="E64" s="15">
        <v>3992000000</v>
      </c>
      <c r="G64" s="1" cm="1">
        <f t="array" ref="G64">E64/VLOOKUP(D64,net_generation!$A:$D,MATCH(C64,net_generation!$1:$1,FALSE),FALSE)</f>
        <v>20.61173470357447</v>
      </c>
      <c r="H64" s="1" t="s">
        <v>246</v>
      </c>
      <c r="I64" s="1" t="s">
        <v>166</v>
      </c>
    </row>
    <row r="65" spans="1:9">
      <c r="A65" s="1" t="s">
        <v>161</v>
      </c>
      <c r="B65" s="1" t="s">
        <v>164</v>
      </c>
      <c r="C65" s="1" t="s">
        <v>11</v>
      </c>
      <c r="D65" s="1">
        <v>2015</v>
      </c>
      <c r="E65" s="15">
        <v>5327000000</v>
      </c>
      <c r="G65" s="1" cm="1">
        <f t="array" ref="G65">E65/VLOOKUP(D65,net_generation!$A:$D,MATCH(C65,net_generation!$1:$1,FALSE),FALSE)</f>
        <v>26.806344411063129</v>
      </c>
      <c r="H65" s="1" t="s">
        <v>246</v>
      </c>
      <c r="I65" s="1" t="s">
        <v>167</v>
      </c>
    </row>
    <row r="66" spans="1:9">
      <c r="A66" s="1" t="s">
        <v>161</v>
      </c>
      <c r="B66" s="1" t="s">
        <v>164</v>
      </c>
      <c r="C66" s="1" t="s">
        <v>11</v>
      </c>
      <c r="D66" s="1">
        <v>2014</v>
      </c>
      <c r="E66" s="15">
        <v>5602000000</v>
      </c>
      <c r="G66" s="1" cm="1">
        <f t="array" ref="G66">E66/VLOOKUP(D66,net_generation!$A:$D,MATCH(C66,net_generation!$1:$1,FALSE),FALSE)</f>
        <v>30.066278002327575</v>
      </c>
      <c r="H66" s="1" t="s">
        <v>246</v>
      </c>
      <c r="I66" s="1" t="s">
        <v>167</v>
      </c>
    </row>
    <row r="67" spans="1:9">
      <c r="A67" s="1" t="s">
        <v>161</v>
      </c>
      <c r="B67" s="1" t="s">
        <v>164</v>
      </c>
      <c r="C67" s="1" t="s">
        <v>18</v>
      </c>
      <c r="D67" s="1">
        <v>2018</v>
      </c>
      <c r="E67" s="15">
        <v>6831000000</v>
      </c>
      <c r="G67" s="1" cm="1">
        <f t="array" ref="G67">E67/VLOOKUP(D67,net_generation!$A:$D,MATCH(C67,net_generation!$1:$1,FALSE),FALSE)</f>
        <v>29.30149960536701</v>
      </c>
      <c r="H67" s="1" t="s">
        <v>246</v>
      </c>
      <c r="I67" s="1" t="s">
        <v>168</v>
      </c>
    </row>
    <row r="68" spans="1:9">
      <c r="A68" s="1" t="s">
        <v>161</v>
      </c>
      <c r="B68" s="1" t="s">
        <v>164</v>
      </c>
      <c r="C68" s="1" t="s">
        <v>18</v>
      </c>
      <c r="D68" s="1">
        <v>2017</v>
      </c>
      <c r="E68" s="15">
        <v>6350000000</v>
      </c>
      <c r="G68" s="1" cm="1">
        <f t="array" ref="G68">E68/VLOOKUP(D68,net_generation!$A:$D,MATCH(C68,net_generation!$1:$1,FALSE),FALSE)</f>
        <v>27.939474737874928</v>
      </c>
      <c r="H68" s="1" t="s">
        <v>246</v>
      </c>
      <c r="I68" s="1" t="s">
        <v>168</v>
      </c>
    </row>
    <row r="69" spans="1:9">
      <c r="A69" s="1" t="s">
        <v>161</v>
      </c>
      <c r="B69" s="1" t="s">
        <v>164</v>
      </c>
      <c r="C69" s="1" t="s">
        <v>18</v>
      </c>
      <c r="D69" s="1">
        <v>2016</v>
      </c>
      <c r="E69" s="15">
        <v>6625000000</v>
      </c>
      <c r="G69" s="1" cm="1">
        <f t="array" ref="G69">E69/VLOOKUP(D69,net_generation!$A:$D,MATCH(C69,net_generation!$1:$1,FALSE),FALSE)</f>
        <v>30.21182479421757</v>
      </c>
      <c r="H69" s="1" t="s">
        <v>246</v>
      </c>
      <c r="I69" s="1" t="s">
        <v>168</v>
      </c>
    </row>
    <row r="70" spans="1:9">
      <c r="A70" s="1" t="s">
        <v>161</v>
      </c>
      <c r="B70" s="1" t="s">
        <v>164</v>
      </c>
      <c r="C70" s="1" t="s">
        <v>18</v>
      </c>
      <c r="D70" s="1">
        <v>2015</v>
      </c>
      <c r="E70" s="15">
        <v>7355000000</v>
      </c>
      <c r="G70" s="1" cm="1">
        <f t="array" ref="G70">E70/VLOOKUP(D70,net_generation!$A:$D,MATCH(C70,net_generation!$1:$1,FALSE),FALSE)</f>
        <v>33.627622657382304</v>
      </c>
      <c r="H70" s="1" t="s">
        <v>246</v>
      </c>
      <c r="I70" s="1" t="s">
        <v>169</v>
      </c>
    </row>
    <row r="71" spans="1:9">
      <c r="A71" s="1" t="s">
        <v>161</v>
      </c>
      <c r="B71" s="1" t="s">
        <v>164</v>
      </c>
      <c r="C71" s="1" t="s">
        <v>18</v>
      </c>
      <c r="D71" s="1">
        <v>2014</v>
      </c>
      <c r="E71" s="15">
        <v>7732000000</v>
      </c>
      <c r="G71" s="1" cm="1">
        <f t="array" ref="G71">E71/VLOOKUP(D71,net_generation!$A:$D,MATCH(C71,net_generation!$1:$1,FALSE),FALSE)</f>
        <v>31.627990689949971</v>
      </c>
      <c r="H71" s="1" t="s">
        <v>246</v>
      </c>
      <c r="I71" s="1" t="s">
        <v>169</v>
      </c>
    </row>
    <row r="72" spans="1:9">
      <c r="A72" s="1" t="s">
        <v>161</v>
      </c>
      <c r="B72" s="1" t="s">
        <v>164</v>
      </c>
      <c r="C72" s="1" t="s">
        <v>15</v>
      </c>
      <c r="D72" s="1">
        <v>2018</v>
      </c>
      <c r="E72" s="15">
        <v>16670000000</v>
      </c>
      <c r="G72" s="1" cm="1">
        <f t="array" ref="G72">E72/VLOOKUP(D72,net_generation!$A:$D,MATCH(C72,net_generation!$1:$1,FALSE),FALSE)</f>
        <v>85.828733833099932</v>
      </c>
      <c r="H72" s="1" t="s">
        <v>246</v>
      </c>
      <c r="I72" s="1" t="s">
        <v>170</v>
      </c>
    </row>
    <row r="73" spans="1:9">
      <c r="A73" s="1" t="s">
        <v>161</v>
      </c>
      <c r="B73" s="1" t="s">
        <v>164</v>
      </c>
      <c r="C73" s="1" t="s">
        <v>15</v>
      </c>
      <c r="D73" s="1">
        <v>2017</v>
      </c>
      <c r="E73" s="15">
        <v>14035000000</v>
      </c>
      <c r="G73" s="1" cm="1">
        <f t="array" ref="G73">E73/VLOOKUP(D73,net_generation!$A:$D,MATCH(C73,net_generation!$1:$1,FALSE),FALSE)</f>
        <v>72.074558582059325</v>
      </c>
      <c r="H73" s="1" t="s">
        <v>246</v>
      </c>
      <c r="I73" s="1" t="s">
        <v>170</v>
      </c>
    </row>
    <row r="74" spans="1:9">
      <c r="A74" s="1" t="s">
        <v>161</v>
      </c>
      <c r="B74" s="1" t="s">
        <v>164</v>
      </c>
      <c r="C74" s="1" t="s">
        <v>15</v>
      </c>
      <c r="D74" s="1">
        <v>2016</v>
      </c>
      <c r="E74" s="15">
        <v>12640000000</v>
      </c>
      <c r="G74" s="1" cm="1">
        <f t="array" ref="G74">E74/VLOOKUP(D74,net_generation!$A:$D,MATCH(C74,net_generation!$1:$1,FALSE),FALSE)</f>
        <v>67.645826176729415</v>
      </c>
      <c r="H74" s="1" t="s">
        <v>246</v>
      </c>
      <c r="I74" s="1" t="s">
        <v>170</v>
      </c>
    </row>
    <row r="75" spans="1:9">
      <c r="A75" s="1" t="s">
        <v>161</v>
      </c>
      <c r="B75" s="1" t="s">
        <v>164</v>
      </c>
      <c r="C75" s="1" t="s">
        <v>15</v>
      </c>
      <c r="D75" s="1">
        <v>2015</v>
      </c>
      <c r="E75" s="15">
        <f>13084000000</f>
        <v>13084000000</v>
      </c>
      <c r="G75" s="1" cm="1">
        <f t="array" ref="G75">E75/VLOOKUP(D75,net_generation!$A:$D,MATCH(C75,net_generation!$1:$1,FALSE),FALSE)</f>
        <v>72.675590609877105</v>
      </c>
      <c r="H75" s="1" t="s">
        <v>246</v>
      </c>
      <c r="I75" s="1" t="s">
        <v>171</v>
      </c>
    </row>
    <row r="76" spans="1:9" s="95" customFormat="1">
      <c r="A76" s="1" t="s">
        <v>161</v>
      </c>
      <c r="B76" s="1" t="s">
        <v>164</v>
      </c>
      <c r="C76" s="1" t="s">
        <v>15</v>
      </c>
      <c r="D76" s="1">
        <v>2014</v>
      </c>
      <c r="E76" s="15">
        <v>13003000000</v>
      </c>
      <c r="F76" s="1"/>
      <c r="G76" s="110" cm="1">
        <f t="array" ref="G76">E76/VLOOKUP(D76,net_generation!$A:$D,MATCH(C76,net_generation!$1:$1,FALSE),FALSE)</f>
        <v>73.062490128181054</v>
      </c>
      <c r="H76" s="86" t="s">
        <v>246</v>
      </c>
      <c r="I76" s="97" t="s">
        <v>172</v>
      </c>
    </row>
    <row r="77" spans="1:9" s="99" customFormat="1">
      <c r="A77" s="98" t="s">
        <v>173</v>
      </c>
      <c r="B77" s="99" t="s">
        <v>242</v>
      </c>
      <c r="C77" s="99" t="s">
        <v>11</v>
      </c>
      <c r="D77" s="99">
        <v>2018</v>
      </c>
      <c r="E77" s="140">
        <v>1.097005</v>
      </c>
      <c r="G77" s="99">
        <f t="shared" ref="G77:G91" si="3">E77</f>
        <v>1.097005</v>
      </c>
      <c r="H77" s="99" t="s">
        <v>244</v>
      </c>
      <c r="I77" s="102" t="s">
        <v>159</v>
      </c>
    </row>
    <row r="78" spans="1:9" s="51" customFormat="1">
      <c r="A78" s="75" t="s">
        <v>173</v>
      </c>
      <c r="B78" s="99" t="s">
        <v>242</v>
      </c>
      <c r="C78" s="51" t="s">
        <v>11</v>
      </c>
      <c r="D78" s="51">
        <v>2017</v>
      </c>
      <c r="E78" s="168">
        <v>1.186042</v>
      </c>
      <c r="G78" s="51">
        <f t="shared" si="3"/>
        <v>1.186042</v>
      </c>
      <c r="H78" s="99" t="s">
        <v>244</v>
      </c>
      <c r="I78" s="158" t="s">
        <v>159</v>
      </c>
    </row>
    <row r="79" spans="1:9" s="51" customFormat="1">
      <c r="A79" s="75" t="s">
        <v>173</v>
      </c>
      <c r="B79" s="99" t="s">
        <v>242</v>
      </c>
      <c r="C79" s="51" t="s">
        <v>11</v>
      </c>
      <c r="D79" s="51">
        <v>2016</v>
      </c>
      <c r="E79" s="168">
        <v>1.5021230000000001</v>
      </c>
      <c r="G79" s="51">
        <f t="shared" si="3"/>
        <v>1.5021230000000001</v>
      </c>
      <c r="H79" s="99" t="s">
        <v>244</v>
      </c>
      <c r="I79" s="158" t="s">
        <v>159</v>
      </c>
    </row>
    <row r="80" spans="1:9" s="51" customFormat="1">
      <c r="A80" s="75" t="s">
        <v>173</v>
      </c>
      <c r="B80" s="99" t="s">
        <v>242</v>
      </c>
      <c r="C80" s="51" t="s">
        <v>11</v>
      </c>
      <c r="D80" s="51">
        <v>2015</v>
      </c>
      <c r="E80" s="168">
        <v>1.5725720000000001</v>
      </c>
      <c r="G80" s="51">
        <f t="shared" si="3"/>
        <v>1.5725720000000001</v>
      </c>
      <c r="H80" s="99" t="s">
        <v>244</v>
      </c>
      <c r="I80" s="158" t="s">
        <v>159</v>
      </c>
    </row>
    <row r="81" spans="1:9" s="51" customFormat="1">
      <c r="A81" s="75" t="s">
        <v>173</v>
      </c>
      <c r="B81" s="99" t="s">
        <v>242</v>
      </c>
      <c r="C81" s="51" t="s">
        <v>11</v>
      </c>
      <c r="D81" s="51">
        <v>2014</v>
      </c>
      <c r="E81" s="168">
        <v>1.603966</v>
      </c>
      <c r="G81" s="51">
        <f t="shared" si="3"/>
        <v>1.603966</v>
      </c>
      <c r="H81" s="99" t="s">
        <v>244</v>
      </c>
      <c r="I81" s="158" t="s">
        <v>159</v>
      </c>
    </row>
    <row r="82" spans="1:9" s="51" customFormat="1">
      <c r="A82" s="75" t="s">
        <v>173</v>
      </c>
      <c r="B82" s="99" t="s">
        <v>242</v>
      </c>
      <c r="C82" s="51" t="s">
        <v>18</v>
      </c>
      <c r="D82" s="51">
        <v>2018</v>
      </c>
      <c r="E82" s="168">
        <v>0.76536400000000004</v>
      </c>
      <c r="G82" s="51">
        <f t="shared" si="3"/>
        <v>0.76536400000000004</v>
      </c>
      <c r="H82" s="99" t="s">
        <v>244</v>
      </c>
      <c r="I82" s="158" t="s">
        <v>159</v>
      </c>
    </row>
    <row r="83" spans="1:9" s="51" customFormat="1">
      <c r="A83" s="75" t="s">
        <v>173</v>
      </c>
      <c r="B83" s="99" t="s">
        <v>242</v>
      </c>
      <c r="C83" s="51" t="s">
        <v>18</v>
      </c>
      <c r="D83" s="51">
        <v>2017</v>
      </c>
      <c r="E83" s="168">
        <v>0.82389500000000004</v>
      </c>
      <c r="G83" s="51">
        <f t="shared" si="3"/>
        <v>0.82389500000000004</v>
      </c>
      <c r="H83" s="99" t="s">
        <v>244</v>
      </c>
      <c r="I83" s="158" t="s">
        <v>159</v>
      </c>
    </row>
    <row r="84" spans="1:9" s="51" customFormat="1">
      <c r="A84" s="75" t="s">
        <v>173</v>
      </c>
      <c r="B84" s="99" t="s">
        <v>242</v>
      </c>
      <c r="C84" s="51" t="s">
        <v>18</v>
      </c>
      <c r="D84" s="51">
        <v>2016</v>
      </c>
      <c r="E84" s="168">
        <v>0.86039699999999997</v>
      </c>
      <c r="G84" s="51">
        <f t="shared" si="3"/>
        <v>0.86039699999999997</v>
      </c>
      <c r="H84" s="99" t="s">
        <v>244</v>
      </c>
      <c r="I84" s="158" t="s">
        <v>159</v>
      </c>
    </row>
    <row r="85" spans="1:9" s="51" customFormat="1">
      <c r="A85" s="75" t="s">
        <v>173</v>
      </c>
      <c r="B85" s="99" t="s">
        <v>242</v>
      </c>
      <c r="C85" s="51" t="s">
        <v>18</v>
      </c>
      <c r="D85" s="51">
        <v>2015</v>
      </c>
      <c r="E85" s="168">
        <v>0.98669799999999996</v>
      </c>
      <c r="G85" s="51">
        <f t="shared" si="3"/>
        <v>0.98669799999999996</v>
      </c>
      <c r="H85" s="99" t="s">
        <v>244</v>
      </c>
      <c r="I85" s="158" t="s">
        <v>159</v>
      </c>
    </row>
    <row r="86" spans="1:9" s="51" customFormat="1">
      <c r="A86" s="75" t="s">
        <v>173</v>
      </c>
      <c r="B86" s="99" t="s">
        <v>242</v>
      </c>
      <c r="C86" s="51" t="s">
        <v>18</v>
      </c>
      <c r="D86" s="51">
        <v>2014</v>
      </c>
      <c r="E86" s="168">
        <v>1.2232540000000001</v>
      </c>
      <c r="G86" s="51">
        <f t="shared" si="3"/>
        <v>1.2232540000000001</v>
      </c>
      <c r="H86" s="99" t="s">
        <v>244</v>
      </c>
      <c r="I86" s="158" t="s">
        <v>159</v>
      </c>
    </row>
    <row r="87" spans="1:9" s="51" customFormat="1">
      <c r="A87" s="75" t="s">
        <v>173</v>
      </c>
      <c r="B87" s="99" t="s">
        <v>242</v>
      </c>
      <c r="C87" s="51" t="s">
        <v>15</v>
      </c>
      <c r="D87" s="51">
        <v>2018</v>
      </c>
      <c r="E87" s="168">
        <v>1.1382669999999999</v>
      </c>
      <c r="G87" s="51">
        <f t="shared" si="3"/>
        <v>1.1382669999999999</v>
      </c>
      <c r="H87" s="99" t="s">
        <v>244</v>
      </c>
      <c r="I87" s="158" t="s">
        <v>159</v>
      </c>
    </row>
    <row r="88" spans="1:9" s="51" customFormat="1">
      <c r="A88" s="75" t="s">
        <v>173</v>
      </c>
      <c r="B88" s="99" t="s">
        <v>242</v>
      </c>
      <c r="C88" s="51" t="s">
        <v>15</v>
      </c>
      <c r="D88" s="51">
        <v>2017</v>
      </c>
      <c r="E88" s="168">
        <v>0.98628700000000002</v>
      </c>
      <c r="G88" s="51">
        <f t="shared" si="3"/>
        <v>0.98628700000000002</v>
      </c>
      <c r="H88" s="99" t="s">
        <v>244</v>
      </c>
      <c r="I88" s="158" t="s">
        <v>159</v>
      </c>
    </row>
    <row r="89" spans="1:9" s="51" customFormat="1">
      <c r="A89" s="75" t="s">
        <v>173</v>
      </c>
      <c r="B89" s="99" t="s">
        <v>242</v>
      </c>
      <c r="C89" s="51" t="s">
        <v>15</v>
      </c>
      <c r="D89" s="51">
        <v>2016</v>
      </c>
      <c r="E89" s="168">
        <v>0.98737299999999995</v>
      </c>
      <c r="G89" s="51">
        <f t="shared" si="3"/>
        <v>0.98737299999999995</v>
      </c>
      <c r="H89" s="99" t="s">
        <v>244</v>
      </c>
      <c r="I89" s="158" t="s">
        <v>159</v>
      </c>
    </row>
    <row r="90" spans="1:9" s="51" customFormat="1">
      <c r="A90" s="75" t="s">
        <v>173</v>
      </c>
      <c r="B90" s="99" t="s">
        <v>242</v>
      </c>
      <c r="C90" s="51" t="s">
        <v>15</v>
      </c>
      <c r="D90" s="51">
        <v>2015</v>
      </c>
      <c r="E90" s="168">
        <v>0.99895100000000003</v>
      </c>
      <c r="G90" s="51">
        <f t="shared" si="3"/>
        <v>0.99895100000000003</v>
      </c>
      <c r="H90" s="99" t="s">
        <v>244</v>
      </c>
      <c r="I90" s="158" t="s">
        <v>159</v>
      </c>
    </row>
    <row r="91" spans="1:9" s="81" customFormat="1">
      <c r="A91" s="80" t="s">
        <v>173</v>
      </c>
      <c r="B91" s="99" t="s">
        <v>242</v>
      </c>
      <c r="C91" s="81" t="s">
        <v>15</v>
      </c>
      <c r="D91" s="81">
        <v>2014</v>
      </c>
      <c r="E91" s="142">
        <v>0.73342099999999999</v>
      </c>
      <c r="G91" s="81">
        <f t="shared" si="3"/>
        <v>0.73342099999999999</v>
      </c>
      <c r="H91" s="99" t="s">
        <v>244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F92" s="86" t="s">
        <v>244</v>
      </c>
      <c r="G92" s="165">
        <f t="shared" ref="G92:G106" si="4">E92*100</f>
        <v>31.6511</v>
      </c>
      <c r="H92" s="86" t="s">
        <v>156</v>
      </c>
      <c r="I92" s="87" t="s">
        <v>159</v>
      </c>
    </row>
    <row r="93" spans="1:9" s="156" customFormat="1">
      <c r="A93" s="89" t="s">
        <v>173</v>
      </c>
      <c r="B93" s="156" t="s">
        <v>175</v>
      </c>
      <c r="C93" s="156" t="s">
        <v>11</v>
      </c>
      <c r="D93" s="156">
        <v>2017</v>
      </c>
      <c r="E93" s="166">
        <v>0.34306399999999998</v>
      </c>
      <c r="F93" s="86" t="s">
        <v>244</v>
      </c>
      <c r="G93" s="165">
        <f t="shared" si="4"/>
        <v>34.306399999999996</v>
      </c>
      <c r="H93" s="86" t="s">
        <v>156</v>
      </c>
      <c r="I93" s="167" t="s">
        <v>159</v>
      </c>
    </row>
    <row r="94" spans="1:9" s="156" customFormat="1">
      <c r="A94" s="89" t="s">
        <v>173</v>
      </c>
      <c r="B94" s="156" t="s">
        <v>175</v>
      </c>
      <c r="C94" s="156" t="s">
        <v>11</v>
      </c>
      <c r="D94" s="156">
        <v>2016</v>
      </c>
      <c r="E94" s="166">
        <v>0.55357100000000004</v>
      </c>
      <c r="F94" s="86" t="s">
        <v>244</v>
      </c>
      <c r="G94" s="165">
        <f t="shared" si="4"/>
        <v>55.357100000000003</v>
      </c>
      <c r="H94" s="86" t="s">
        <v>156</v>
      </c>
      <c r="I94" s="167" t="s">
        <v>159</v>
      </c>
    </row>
    <row r="95" spans="1:9" s="156" customFormat="1">
      <c r="A95" s="89" t="s">
        <v>173</v>
      </c>
      <c r="B95" s="156" t="s">
        <v>175</v>
      </c>
      <c r="C95" s="156" t="s">
        <v>11</v>
      </c>
      <c r="D95" s="156">
        <v>2015</v>
      </c>
      <c r="E95" s="166">
        <v>0.50327</v>
      </c>
      <c r="F95" s="86" t="s">
        <v>244</v>
      </c>
      <c r="G95" s="165">
        <f t="shared" si="4"/>
        <v>50.326999999999998</v>
      </c>
      <c r="H95" s="86" t="s">
        <v>156</v>
      </c>
      <c r="I95" s="167" t="s">
        <v>159</v>
      </c>
    </row>
    <row r="96" spans="1:9" s="156" customFormat="1">
      <c r="A96" s="89" t="s">
        <v>173</v>
      </c>
      <c r="B96" s="156" t="s">
        <v>175</v>
      </c>
      <c r="C96" s="156" t="s">
        <v>11</v>
      </c>
      <c r="D96" s="156">
        <v>2014</v>
      </c>
      <c r="E96" s="166">
        <v>0.51156199999999996</v>
      </c>
      <c r="F96" s="86" t="s">
        <v>244</v>
      </c>
      <c r="G96" s="165">
        <f t="shared" si="4"/>
        <v>51.156199999999998</v>
      </c>
      <c r="H96" s="86" t="s">
        <v>156</v>
      </c>
      <c r="I96" s="167" t="s">
        <v>159</v>
      </c>
    </row>
    <row r="97" spans="1:9" s="156" customFormat="1">
      <c r="A97" s="89" t="s">
        <v>173</v>
      </c>
      <c r="B97" s="156" t="s">
        <v>175</v>
      </c>
      <c r="C97" s="156" t="s">
        <v>18</v>
      </c>
      <c r="D97" s="156">
        <v>2018</v>
      </c>
      <c r="E97" s="166">
        <v>0.92685700000000004</v>
      </c>
      <c r="F97" s="86" t="s">
        <v>244</v>
      </c>
      <c r="G97" s="165">
        <f t="shared" si="4"/>
        <v>92.685699999999997</v>
      </c>
      <c r="H97" s="86" t="s">
        <v>156</v>
      </c>
      <c r="I97" s="167" t="s">
        <v>159</v>
      </c>
    </row>
    <row r="98" spans="1:9" s="156" customFormat="1">
      <c r="A98" s="89" t="s">
        <v>173</v>
      </c>
      <c r="B98" s="156" t="s">
        <v>175</v>
      </c>
      <c r="C98" s="156" t="s">
        <v>18</v>
      </c>
      <c r="D98" s="156">
        <v>2017</v>
      </c>
      <c r="E98" s="166">
        <v>0.80091500000000004</v>
      </c>
      <c r="F98" s="86" t="s">
        <v>244</v>
      </c>
      <c r="G98" s="165">
        <f t="shared" si="4"/>
        <v>80.091500000000011</v>
      </c>
      <c r="H98" s="86" t="s">
        <v>156</v>
      </c>
      <c r="I98" s="167" t="s">
        <v>159</v>
      </c>
    </row>
    <row r="99" spans="1:9" s="156" customFormat="1">
      <c r="A99" s="89" t="s">
        <v>173</v>
      </c>
      <c r="B99" s="156" t="s">
        <v>175</v>
      </c>
      <c r="C99" s="156" t="s">
        <v>18</v>
      </c>
      <c r="D99" s="156">
        <v>2016</v>
      </c>
      <c r="E99" s="166">
        <v>1.0836429999999999</v>
      </c>
      <c r="F99" s="86" t="s">
        <v>244</v>
      </c>
      <c r="G99" s="165">
        <f t="shared" si="4"/>
        <v>108.36429999999999</v>
      </c>
      <c r="H99" s="86" t="s">
        <v>156</v>
      </c>
      <c r="I99" s="167" t="s">
        <v>159</v>
      </c>
    </row>
    <row r="100" spans="1:9" s="156" customFormat="1">
      <c r="A100" s="89" t="s">
        <v>173</v>
      </c>
      <c r="B100" s="156" t="s">
        <v>175</v>
      </c>
      <c r="C100" s="156" t="s">
        <v>18</v>
      </c>
      <c r="D100" s="156">
        <v>2015</v>
      </c>
      <c r="E100" s="166">
        <v>0.80042599999999997</v>
      </c>
      <c r="F100" s="86" t="s">
        <v>244</v>
      </c>
      <c r="G100" s="165">
        <f t="shared" si="4"/>
        <v>80.042599999999993</v>
      </c>
      <c r="H100" s="86" t="s">
        <v>156</v>
      </c>
      <c r="I100" s="167" t="s">
        <v>159</v>
      </c>
    </row>
    <row r="101" spans="1:9" s="156" customFormat="1">
      <c r="A101" s="89" t="s">
        <v>173</v>
      </c>
      <c r="B101" s="156" t="s">
        <v>175</v>
      </c>
      <c r="C101" s="156" t="s">
        <v>18</v>
      </c>
      <c r="D101" s="156">
        <v>2014</v>
      </c>
      <c r="E101" s="166">
        <v>1.1864049999999999</v>
      </c>
      <c r="F101" s="86" t="s">
        <v>244</v>
      </c>
      <c r="G101" s="165">
        <f t="shared" si="4"/>
        <v>118.64049999999999</v>
      </c>
      <c r="H101" s="86" t="s">
        <v>156</v>
      </c>
      <c r="I101" s="167" t="s">
        <v>159</v>
      </c>
    </row>
    <row r="102" spans="1:9" s="156" customFormat="1">
      <c r="A102" s="89" t="s">
        <v>173</v>
      </c>
      <c r="B102" s="156" t="s">
        <v>175</v>
      </c>
      <c r="C102" s="156" t="s">
        <v>15</v>
      </c>
      <c r="D102" s="156">
        <v>2018</v>
      </c>
      <c r="E102" s="166">
        <v>3.3467340000000001</v>
      </c>
      <c r="F102" s="86" t="s">
        <v>244</v>
      </c>
      <c r="G102" s="165">
        <f t="shared" si="4"/>
        <v>334.67340000000002</v>
      </c>
      <c r="H102" s="86" t="s">
        <v>156</v>
      </c>
      <c r="I102" s="167" t="s">
        <v>159</v>
      </c>
    </row>
    <row r="103" spans="1:9" s="156" customFormat="1">
      <c r="A103" s="89" t="s">
        <v>173</v>
      </c>
      <c r="B103" s="156" t="s">
        <v>175</v>
      </c>
      <c r="C103" s="156" t="s">
        <v>15</v>
      </c>
      <c r="D103" s="156">
        <v>2017</v>
      </c>
      <c r="E103" s="166">
        <v>0.45879700000000001</v>
      </c>
      <c r="F103" s="86" t="s">
        <v>244</v>
      </c>
      <c r="G103" s="165">
        <f t="shared" si="4"/>
        <v>45.8797</v>
      </c>
      <c r="H103" s="86" t="s">
        <v>156</v>
      </c>
      <c r="I103" s="167" t="s">
        <v>159</v>
      </c>
    </row>
    <row r="104" spans="1:9" s="156" customFormat="1">
      <c r="A104" s="89" t="s">
        <v>173</v>
      </c>
      <c r="B104" s="156" t="s">
        <v>175</v>
      </c>
      <c r="C104" s="156" t="s">
        <v>15</v>
      </c>
      <c r="D104" s="156">
        <v>2016</v>
      </c>
      <c r="E104" s="166">
        <v>1.028219</v>
      </c>
      <c r="F104" s="86" t="s">
        <v>244</v>
      </c>
      <c r="G104" s="165">
        <f t="shared" si="4"/>
        <v>102.8219</v>
      </c>
      <c r="H104" s="86" t="s">
        <v>156</v>
      </c>
      <c r="I104" s="167" t="s">
        <v>159</v>
      </c>
    </row>
    <row r="105" spans="1:9" s="156" customFormat="1">
      <c r="A105" s="89" t="s">
        <v>173</v>
      </c>
      <c r="B105" s="156" t="s">
        <v>175</v>
      </c>
      <c r="C105" s="156" t="s">
        <v>15</v>
      </c>
      <c r="D105" s="156">
        <v>2015</v>
      </c>
      <c r="E105" s="166">
        <v>0.48699900000000002</v>
      </c>
      <c r="F105" s="86" t="s">
        <v>244</v>
      </c>
      <c r="G105" s="165">
        <f t="shared" si="4"/>
        <v>48.6999</v>
      </c>
      <c r="H105" s="86" t="s">
        <v>156</v>
      </c>
      <c r="I105" s="167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F106" s="86" t="s">
        <v>244</v>
      </c>
      <c r="G106" s="165">
        <f t="shared" si="4"/>
        <v>65.619200000000006</v>
      </c>
      <c r="H106" s="86" t="s">
        <v>156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850E22D-B4E2-44E8-AEDD-6E5A08ED8B46}"/>
    <hyperlink ref="I73:I74" r:id="rId2" display="http://www.annualreports.com/Company/exelon-corporation p220" xr:uid="{D60FE7A4-53BA-48A0-9776-4877B1DDE796}"/>
    <hyperlink ref="I73" r:id="rId3" xr:uid="{6F7B446D-9518-482D-AFF1-A8F92281D53D}"/>
    <hyperlink ref="I74" r:id="rId4" xr:uid="{C8C7E769-A4C2-4D6E-98AF-043738072E59}"/>
    <hyperlink ref="I62" r:id="rId5" display="http://www.investor.nexteraenergy.com/~/media/Files/N/NEE-IR/reports-and-fillings/annual-reports/NextEra Energy_Annual_Report_2018.pdf p63" xr:uid="{D7687B4E-6988-4E11-BF32-A5522C8F168A}"/>
    <hyperlink ref="I65" r:id="rId6" xr:uid="{772E077F-6FBD-4F39-A1B2-0021B2E98A34}"/>
    <hyperlink ref="I66" r:id="rId7" xr:uid="{8989AC2D-B5BF-45C9-9961-85B05BA77235}"/>
    <hyperlink ref="I69" r:id="rId8" display="https://www.duke-energy.com/annual-report/_/media/pdfs/our-company/investors/de-annual-reports/2018/2018-duke-energy-annual-report.pdf?la=en%20p.85" xr:uid="{BEB0164C-D9C9-49E8-B2B8-8E403C1724F9}"/>
    <hyperlink ref="I75" r:id="rId9" xr:uid="{4BAB7954-EC54-4C5C-A811-66431C86081A}"/>
    <hyperlink ref="I76" r:id="rId10" xr:uid="{25049FF5-6ACB-4320-86E8-A52F13D86F0C}"/>
    <hyperlink ref="I68" r:id="rId11" display="https://www.duke-energy.com/annual-report/_/media/pdfs/our-company/investors/de-annual-reports/2018/2018-duke-energy-annual-report.pdf?la=en%20p.85" xr:uid="{3B13F459-8EFF-4A42-9290-8C41D3186209}"/>
    <hyperlink ref="I67" r:id="rId12" display="https://www.duke-energy.com/annual-report/_/media/pdfs/our-company/investors/de-annual-reports/2018/2018-duke-energy-annual-report.pdf?la=en%20p.85" xr:uid="{ED574E15-4700-48F2-8AD9-08217FD7774E}"/>
    <hyperlink ref="I70" r:id="rId13" display="https://www.duke-energy.com/_/media/pdfs/our-company/investors/de-annual-reports/2016/2017dukeenergy10k.pdf?la=en%20p.68" xr:uid="{1ABE057A-0004-484F-8D31-6D20637CEE8F}"/>
    <hyperlink ref="I71" r:id="rId14" display="https://www.duke-energy.com/_/media/pdfs/our-company/investors/de-annual-reports/2016/2017dukeenergy10k.pdf?la=en%20p.68" xr:uid="{26537C0C-C9C9-48A9-9E96-8863820144E1}"/>
    <hyperlink ref="I63" r:id="rId15" display="http://www.investor.nexteraenergy.com/~/media/Files/N/NEE-IR/reports-and-fillings/annual-reports/NextEra Energy_Annual_Report_2018.pdf p63" xr:uid="{7CF4A230-9455-4C08-9CBB-0743C0269A11}"/>
    <hyperlink ref="I64" r:id="rId16" display="http://www.investor.nexteraenergy.com/~/media/Files/N/NEE-IR/reports-and-fillings/annual-reports/NextEra Energy_Annual_Report_2018.pdf p63" xr:uid="{B8B24985-33FD-40C3-A2B3-B8FA847EFD08}"/>
    <hyperlink ref="I2" r:id="rId17" xr:uid="{8C2B5ACC-CECC-467C-8E00-6E3B9066D993}"/>
    <hyperlink ref="I3:I61" r:id="rId18" display="https://financialmodelingprep.com/developer/docs/financial-statement-free-api" xr:uid="{DFFE1591-CF3A-4BD4-B27C-221EDCDFB048}"/>
    <hyperlink ref="I77" r:id="rId19" xr:uid="{BE948573-B78B-4B17-BA50-AE30ED15776F}"/>
    <hyperlink ref="I78:I106" r:id="rId20" display="https://financialmodelingprep.com/developer/docs/financial-statement-free-api" xr:uid="{BD7AC293-2620-400F-9222-2F591A20D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D67E-B89B-4341-83EC-AABC5BAAA174}">
  <dimension ref="A1:I8"/>
  <sheetViews>
    <sheetView workbookViewId="0">
      <selection activeCell="B11" sqref="B11"/>
    </sheetView>
  </sheetViews>
  <sheetFormatPr defaultColWidth="10.875" defaultRowHeight="15"/>
  <cols>
    <col min="1" max="1" width="10.875" style="1"/>
    <col min="2" max="2" width="17.5" style="1" customWidth="1"/>
    <col min="3" max="3" width="15.875" style="1" bestFit="1" customWidth="1"/>
    <col min="4" max="4" width="16.875" style="1" customWidth="1"/>
    <col min="5" max="5" width="15.125" style="1" bestFit="1" customWidth="1"/>
    <col min="6" max="6" width="15" style="1" bestFit="1" customWidth="1"/>
    <col min="7" max="7" width="15" style="1" customWidth="1"/>
    <col min="8" max="16384" width="10.875" style="1"/>
  </cols>
  <sheetData>
    <row r="1" spans="1:9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9">
      <c r="A2" s="33">
        <v>2014</v>
      </c>
      <c r="B2" s="34">
        <v>186321699</v>
      </c>
      <c r="C2" s="2">
        <f>244467*1000</f>
        <v>244467000</v>
      </c>
      <c r="D2" s="68">
        <v>177970939.35872564</v>
      </c>
      <c r="E2" s="34">
        <v>190901034</v>
      </c>
    </row>
    <row r="3" spans="1:9">
      <c r="A3" s="33">
        <v>2015</v>
      </c>
      <c r="B3" s="34">
        <v>198721613</v>
      </c>
      <c r="C3" s="2">
        <f>218719*1000</f>
        <v>218719000</v>
      </c>
      <c r="D3" s="68">
        <v>180032936.64629394</v>
      </c>
      <c r="E3" s="34">
        <v>185909900</v>
      </c>
    </row>
    <row r="4" spans="1:9">
      <c r="A4" s="33">
        <v>2016</v>
      </c>
      <c r="B4" s="34">
        <v>193676081</v>
      </c>
      <c r="C4" s="2">
        <f>(219285)*1000</f>
        <v>219285000</v>
      </c>
      <c r="D4" s="68">
        <v>186855578.74593952</v>
      </c>
      <c r="E4" s="34">
        <v>187033277</v>
      </c>
    </row>
    <row r="5" spans="1:9">
      <c r="A5" s="33">
        <v>2017</v>
      </c>
      <c r="B5" s="34">
        <v>189160001</v>
      </c>
      <c r="C5" s="2">
        <f>(219422+7855)*1000</f>
        <v>227277000</v>
      </c>
      <c r="D5" s="68">
        <v>194728906.78921992</v>
      </c>
      <c r="E5" s="34">
        <v>192499694</v>
      </c>
    </row>
    <row r="6" spans="1:9">
      <c r="A6" s="33">
        <v>2018</v>
      </c>
      <c r="B6" s="34">
        <v>193086226</v>
      </c>
      <c r="C6" s="2">
        <f>(224609+8519)*1000</f>
        <v>233128000</v>
      </c>
      <c r="D6" s="67">
        <v>194224000</v>
      </c>
      <c r="E6" s="34">
        <v>200000000</v>
      </c>
      <c r="F6" s="34"/>
      <c r="G6" s="34"/>
      <c r="H6" s="34"/>
      <c r="I6" s="34"/>
    </row>
    <row r="7" spans="1:9" ht="15.75">
      <c r="A7" s="1" t="s">
        <v>176</v>
      </c>
      <c r="B7" s="16" t="s">
        <v>24</v>
      </c>
      <c r="C7" s="1" t="s">
        <v>177</v>
      </c>
      <c r="D7" s="32" t="s">
        <v>125</v>
      </c>
      <c r="E7" s="34" t="s">
        <v>125</v>
      </c>
    </row>
    <row r="8" spans="1:9">
      <c r="A8" s="33" t="s">
        <v>178</v>
      </c>
      <c r="B8" s="34" t="s">
        <v>179</v>
      </c>
      <c r="C8" s="34" t="s">
        <v>179</v>
      </c>
      <c r="D8" s="34" t="s">
        <v>179</v>
      </c>
      <c r="E8" s="34" t="s">
        <v>256</v>
      </c>
    </row>
  </sheetData>
  <autoFilter ref="A1:D1" xr:uid="{5949D1A8-7091-4F66-A418-DCA22D359A31}">
    <sortState xmlns:xlrd2="http://schemas.microsoft.com/office/spreadsheetml/2017/richdata2" ref="A2:D8">
      <sortCondition ref="A1"/>
    </sortState>
  </autoFilter>
  <hyperlinks>
    <hyperlink ref="B7" r:id="rId1" xr:uid="{193D4509-2407-4E9D-B1E2-D78568CBB4F1}"/>
    <hyperlink ref="D7" r:id="rId2" xr:uid="{814F15C4-1694-C44E-B992-2CBF60C506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C825-2367-FE49-B0CA-A3F0A7033CA8}">
  <dimension ref="A1:F9"/>
  <sheetViews>
    <sheetView workbookViewId="0">
      <selection sqref="A1:XFD1"/>
    </sheetView>
  </sheetViews>
  <sheetFormatPr defaultColWidth="10.875" defaultRowHeight="15"/>
  <cols>
    <col min="1" max="1" width="10.875" style="1"/>
    <col min="2" max="4" width="21.125" style="1" customWidth="1"/>
    <col min="5" max="5" width="21.625" style="1" customWidth="1"/>
    <col min="6" max="16384" width="10.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6">
      <c r="A2" s="33">
        <v>2014</v>
      </c>
      <c r="B2" s="53">
        <v>17000000000</v>
      </c>
      <c r="C2" s="53">
        <v>27429000000</v>
      </c>
      <c r="D2" s="53">
        <v>22059000000</v>
      </c>
      <c r="E2" s="170">
        <v>18500000000</v>
      </c>
    </row>
    <row r="3" spans="1:6">
      <c r="A3" s="33">
        <v>2015</v>
      </c>
      <c r="B3" s="53">
        <v>17500000000</v>
      </c>
      <c r="C3" s="53">
        <v>29447000000</v>
      </c>
      <c r="D3" s="53">
        <v>22371000000</v>
      </c>
      <c r="E3" s="170">
        <v>17530000000</v>
      </c>
    </row>
    <row r="4" spans="1:6">
      <c r="A4" s="33">
        <v>2016</v>
      </c>
      <c r="B4" s="53">
        <v>16100000000</v>
      </c>
      <c r="C4" s="53">
        <v>31360000000</v>
      </c>
      <c r="D4" s="53">
        <v>22743000000</v>
      </c>
      <c r="E4" s="170">
        <v>19900000000</v>
      </c>
    </row>
    <row r="5" spans="1:6">
      <c r="A5" s="33">
        <v>2017</v>
      </c>
      <c r="B5" s="53">
        <v>17200000000</v>
      </c>
      <c r="C5" s="54">
        <v>33558000000</v>
      </c>
      <c r="D5" s="53">
        <v>23565000000</v>
      </c>
      <c r="E5" s="170">
        <v>23000000000</v>
      </c>
    </row>
    <row r="6" spans="1:6">
      <c r="A6" s="33">
        <v>2018</v>
      </c>
      <c r="B6" s="53">
        <v>16700000000</v>
      </c>
      <c r="C6" s="54">
        <v>35978000000</v>
      </c>
      <c r="D6" s="53">
        <v>24521000000</v>
      </c>
      <c r="E6" s="170">
        <v>23400000000</v>
      </c>
    </row>
    <row r="7" spans="1:6">
      <c r="B7" s="1" t="s">
        <v>24</v>
      </c>
      <c r="C7" s="1" t="s">
        <v>180</v>
      </c>
      <c r="D7" s="1" t="s">
        <v>181</v>
      </c>
      <c r="E7" s="1" t="s">
        <v>251</v>
      </c>
      <c r="F7" s="1">
        <v>2014</v>
      </c>
    </row>
    <row r="8" spans="1:6">
      <c r="C8" s="1" t="s">
        <v>182</v>
      </c>
      <c r="E8" s="1" t="s">
        <v>252</v>
      </c>
      <c r="F8" s="1">
        <v>2015</v>
      </c>
    </row>
    <row r="9" spans="1:6">
      <c r="E9" s="1" t="s">
        <v>253</v>
      </c>
    </row>
  </sheetData>
  <autoFilter ref="A1:D1" xr:uid="{0A81C391-1788-43BC-B134-56A0E299EC5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4226-7135-4DF5-96F2-C16D52FAB1FC}">
  <dimension ref="A1:F19"/>
  <sheetViews>
    <sheetView workbookViewId="0">
      <selection sqref="A1:XFD1"/>
    </sheetView>
  </sheetViews>
  <sheetFormatPr defaultColWidth="10.875" defaultRowHeight="15"/>
  <cols>
    <col min="1" max="1" width="10.875" style="1"/>
    <col min="2" max="4" width="13.5" style="1" customWidth="1"/>
    <col min="5" max="16384" width="10.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248</v>
      </c>
    </row>
    <row r="2" spans="1:6">
      <c r="A2" s="33">
        <v>2014</v>
      </c>
      <c r="B2" s="34">
        <v>13800</v>
      </c>
      <c r="C2" s="1">
        <v>28344</v>
      </c>
      <c r="D2" s="1">
        <v>28993</v>
      </c>
      <c r="E2" s="1">
        <v>32015</v>
      </c>
    </row>
    <row r="3" spans="1:6">
      <c r="A3" s="33">
        <v>2015</v>
      </c>
      <c r="B3" s="34">
        <v>14300</v>
      </c>
      <c r="C3" s="1">
        <v>28905</v>
      </c>
      <c r="D3" s="1">
        <v>29762</v>
      </c>
      <c r="E3" s="1">
        <v>31569</v>
      </c>
    </row>
    <row r="4" spans="1:6">
      <c r="A4" s="33">
        <v>2016</v>
      </c>
      <c r="B4" s="34">
        <v>14700</v>
      </c>
      <c r="C4" s="1">
        <v>28790</v>
      </c>
      <c r="D4" s="1">
        <v>34396</v>
      </c>
      <c r="E4" s="1">
        <v>30612</v>
      </c>
    </row>
    <row r="5" spans="1:6">
      <c r="A5" s="33">
        <v>2017</v>
      </c>
      <c r="B5" s="34">
        <v>13900</v>
      </c>
      <c r="C5" s="1">
        <v>29143</v>
      </c>
      <c r="D5" s="34">
        <v>34529</v>
      </c>
      <c r="E5" s="1">
        <v>29700</v>
      </c>
    </row>
    <row r="6" spans="1:6">
      <c r="A6" s="33">
        <v>2018</v>
      </c>
      <c r="B6" s="34">
        <v>14300</v>
      </c>
      <c r="C6" s="1">
        <v>29923</v>
      </c>
      <c r="D6" s="1">
        <v>33383</v>
      </c>
      <c r="E6" s="1">
        <v>28383</v>
      </c>
    </row>
    <row r="7" spans="1:6">
      <c r="B7" s="3" t="s">
        <v>24</v>
      </c>
      <c r="C7" s="1" t="s">
        <v>183</v>
      </c>
      <c r="D7" s="1" t="s">
        <v>184</v>
      </c>
    </row>
    <row r="9" spans="1:6">
      <c r="B9" s="34"/>
      <c r="C9" s="34"/>
      <c r="D9" s="34"/>
      <c r="E9" s="34"/>
      <c r="F9" s="34"/>
    </row>
    <row r="11" spans="1:6">
      <c r="B11" s="34"/>
    </row>
    <row r="12" spans="1:6">
      <c r="B12" s="34"/>
    </row>
    <row r="13" spans="1:6">
      <c r="B13" s="34"/>
    </row>
    <row r="14" spans="1:6">
      <c r="B14" s="34"/>
    </row>
    <row r="15" spans="1:6">
      <c r="B15" s="34"/>
      <c r="C15" s="34"/>
      <c r="D15" s="34"/>
    </row>
    <row r="16" spans="1:6">
      <c r="B16" s="34"/>
      <c r="C16" s="34"/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</sheetData>
  <autoFilter ref="A1:D1" xr:uid="{655C661D-F604-4043-998C-48C45439A630}"/>
  <hyperlinks>
    <hyperlink ref="B7" r:id="rId1" xr:uid="{2C89E2D3-2EBC-4404-A289-7769CCD292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6D2-8220-9F42-9C79-682DF33CBA64}">
  <dimension ref="A1:I24"/>
  <sheetViews>
    <sheetView zoomScale="120" zoomScaleNormal="120" workbookViewId="0">
      <selection activeCell="E17" sqref="E17"/>
    </sheetView>
  </sheetViews>
  <sheetFormatPr defaultColWidth="10.875" defaultRowHeight="15"/>
  <cols>
    <col min="1" max="2" width="19" style="12" customWidth="1"/>
    <col min="3" max="3" width="26.5" style="12" customWidth="1"/>
    <col min="4" max="4" width="9.875" style="12" customWidth="1"/>
    <col min="5" max="5" width="25.625" style="12" customWidth="1"/>
    <col min="6" max="6" width="16" style="12" customWidth="1"/>
    <col min="7" max="7" width="12" style="12" customWidth="1"/>
    <col min="8" max="8" width="11.625" style="12" customWidth="1"/>
    <col min="9" max="16384" width="10.875" style="12"/>
  </cols>
  <sheetData>
    <row r="1" spans="1:9">
      <c r="A1" s="56" t="s">
        <v>185</v>
      </c>
      <c r="B1" s="57" t="s">
        <v>186</v>
      </c>
      <c r="C1" s="58" t="s">
        <v>187</v>
      </c>
      <c r="D1" s="61" t="s">
        <v>2</v>
      </c>
      <c r="E1" s="65" t="s">
        <v>188</v>
      </c>
      <c r="F1" s="66" t="s">
        <v>189</v>
      </c>
      <c r="G1" s="12" t="s">
        <v>190</v>
      </c>
      <c r="H1" s="12" t="s">
        <v>191</v>
      </c>
    </row>
    <row r="2" spans="1:9">
      <c r="A2" s="230" t="s">
        <v>192</v>
      </c>
      <c r="B2" s="227" t="s">
        <v>9</v>
      </c>
      <c r="C2" s="60" t="s">
        <v>20</v>
      </c>
      <c r="E2" s="12" t="s">
        <v>193</v>
      </c>
      <c r="I2" s="12" t="s">
        <v>194</v>
      </c>
    </row>
    <row r="3" spans="1:9">
      <c r="A3" s="231"/>
      <c r="B3" s="228"/>
      <c r="C3" s="60" t="s">
        <v>10</v>
      </c>
      <c r="E3" s="12" t="s">
        <v>193</v>
      </c>
      <c r="I3" s="12" t="s">
        <v>195</v>
      </c>
    </row>
    <row r="4" spans="1:9">
      <c r="A4" s="231"/>
      <c r="B4" s="227" t="s">
        <v>36</v>
      </c>
      <c r="C4" s="60" t="s">
        <v>37</v>
      </c>
      <c r="E4" s="12" t="s">
        <v>193</v>
      </c>
      <c r="I4" s="12" t="s">
        <v>196</v>
      </c>
    </row>
    <row r="5" spans="1:9">
      <c r="A5" s="231"/>
      <c r="B5" s="229"/>
      <c r="C5" s="60" t="s">
        <v>40</v>
      </c>
      <c r="E5" s="12" t="s">
        <v>193</v>
      </c>
      <c r="I5" s="12" t="s">
        <v>197</v>
      </c>
    </row>
    <row r="6" spans="1:9">
      <c r="A6" s="231"/>
      <c r="B6" s="229"/>
      <c r="C6" s="60" t="s">
        <v>110</v>
      </c>
      <c r="E6" s="12" t="s">
        <v>198</v>
      </c>
    </row>
    <row r="7" spans="1:9">
      <c r="A7" s="231"/>
      <c r="B7" s="228"/>
      <c r="C7" s="60" t="s">
        <v>120</v>
      </c>
      <c r="E7" s="12" t="s">
        <v>198</v>
      </c>
    </row>
    <row r="8" spans="1:9">
      <c r="A8" s="232"/>
      <c r="B8" s="59" t="s">
        <v>199</v>
      </c>
      <c r="C8" s="60" t="s">
        <v>236</v>
      </c>
      <c r="E8" s="12" t="s">
        <v>198</v>
      </c>
    </row>
    <row r="9" spans="1:9">
      <c r="A9" s="230" t="s">
        <v>200</v>
      </c>
      <c r="B9" s="227" t="s">
        <v>121</v>
      </c>
      <c r="C9" s="60" t="s">
        <v>122</v>
      </c>
      <c r="E9" s="12" t="s">
        <v>193</v>
      </c>
    </row>
    <row r="10" spans="1:9">
      <c r="A10" s="231"/>
      <c r="B10" s="228"/>
      <c r="C10" s="60" t="s">
        <v>128</v>
      </c>
      <c r="E10" s="12" t="s">
        <v>193</v>
      </c>
    </row>
    <row r="11" spans="1:9">
      <c r="A11" s="231"/>
      <c r="B11" s="227" t="s">
        <v>135</v>
      </c>
      <c r="C11" s="60" t="s">
        <v>136</v>
      </c>
      <c r="E11" s="12" t="s">
        <v>193</v>
      </c>
    </row>
    <row r="12" spans="1:9">
      <c r="A12" s="231"/>
      <c r="B12" s="229"/>
      <c r="C12" s="60" t="s">
        <v>143</v>
      </c>
      <c r="E12" s="12" t="s">
        <v>193</v>
      </c>
    </row>
    <row r="13" spans="1:9">
      <c r="A13" s="231"/>
      <c r="B13" s="228"/>
      <c r="C13" s="60" t="s">
        <v>145</v>
      </c>
      <c r="E13" s="12" t="s">
        <v>193</v>
      </c>
    </row>
    <row r="14" spans="1:9">
      <c r="A14" s="231"/>
      <c r="B14" s="227" t="s">
        <v>147</v>
      </c>
      <c r="C14" s="60" t="s">
        <v>148</v>
      </c>
      <c r="E14" s="12" t="s">
        <v>193</v>
      </c>
    </row>
    <row r="15" spans="1:9">
      <c r="A15" s="232"/>
      <c r="B15" s="228"/>
      <c r="C15" s="60" t="s">
        <v>155</v>
      </c>
      <c r="E15" s="12" t="s">
        <v>193</v>
      </c>
    </row>
    <row r="16" spans="1:9">
      <c r="A16" s="230" t="s">
        <v>201</v>
      </c>
      <c r="B16" s="227" t="s">
        <v>157</v>
      </c>
      <c r="C16" s="60" t="s">
        <v>202</v>
      </c>
      <c r="E16" s="62" t="s">
        <v>204</v>
      </c>
      <c r="F16" s="62"/>
    </row>
    <row r="17" spans="1:6" ht="15.75">
      <c r="A17" s="231"/>
      <c r="B17" s="228"/>
      <c r="C17" s="60" t="s">
        <v>203</v>
      </c>
      <c r="E17" s="63" t="s">
        <v>198</v>
      </c>
      <c r="F17" s="63"/>
    </row>
    <row r="18" spans="1:6">
      <c r="A18" s="231"/>
      <c r="B18" s="227" t="s">
        <v>161</v>
      </c>
      <c r="C18" s="60" t="s">
        <v>162</v>
      </c>
      <c r="E18" s="64" t="s">
        <v>204</v>
      </c>
      <c r="F18" s="64"/>
    </row>
    <row r="19" spans="1:6">
      <c r="A19" s="231"/>
      <c r="B19" s="229"/>
      <c r="C19" s="60" t="s">
        <v>163</v>
      </c>
      <c r="E19" s="12" t="s">
        <v>193</v>
      </c>
    </row>
    <row r="20" spans="1:6">
      <c r="A20" s="231"/>
      <c r="B20" s="228"/>
      <c r="C20" s="60" t="s">
        <v>164</v>
      </c>
      <c r="E20" s="12" t="s">
        <v>193</v>
      </c>
    </row>
    <row r="21" spans="1:6">
      <c r="A21" s="231"/>
      <c r="B21" s="227" t="s">
        <v>173</v>
      </c>
      <c r="C21" s="60" t="s">
        <v>174</v>
      </c>
      <c r="E21" s="12" t="s">
        <v>198</v>
      </c>
    </row>
    <row r="22" spans="1:6">
      <c r="A22" s="232"/>
      <c r="B22" s="228"/>
      <c r="C22" s="60" t="s">
        <v>175</v>
      </c>
      <c r="E22" s="12" t="s">
        <v>204</v>
      </c>
    </row>
    <row r="23" spans="1:6">
      <c r="C23" s="55"/>
    </row>
    <row r="24" spans="1:6">
      <c r="C24" s="55"/>
    </row>
  </sheetData>
  <mergeCells count="11">
    <mergeCell ref="B21:B22"/>
    <mergeCell ref="B18:B20"/>
    <mergeCell ref="A16:A22"/>
    <mergeCell ref="A9:A15"/>
    <mergeCell ref="A2:A8"/>
    <mergeCell ref="B2:B3"/>
    <mergeCell ref="B4:B7"/>
    <mergeCell ref="B9:B10"/>
    <mergeCell ref="B11:B13"/>
    <mergeCell ref="B14:B15"/>
    <mergeCell ref="B16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FB8-0793-4BDB-89FE-60C8FC6EF817}">
  <dimension ref="A1:J138"/>
  <sheetViews>
    <sheetView workbookViewId="0">
      <selection activeCell="E16" sqref="E16"/>
    </sheetView>
  </sheetViews>
  <sheetFormatPr defaultColWidth="11" defaultRowHeight="15"/>
  <cols>
    <col min="1" max="1" width="11" style="1"/>
    <col min="2" max="2" width="31.625" style="1" bestFit="1" customWidth="1"/>
    <col min="3" max="3" width="9" style="1" bestFit="1" customWidth="1"/>
    <col min="4" max="4" width="11.5" style="1" bestFit="1" customWidth="1"/>
    <col min="5" max="5" width="34.375" style="2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157</v>
      </c>
      <c r="B2" s="2" t="s">
        <v>202</v>
      </c>
      <c r="C2" s="1" t="s">
        <v>11</v>
      </c>
      <c r="D2" s="1">
        <v>2018</v>
      </c>
      <c r="E2" s="26">
        <f>6.6/37.4</f>
        <v>0.1764705882352941</v>
      </c>
      <c r="F2" s="1">
        <v>0.194412</v>
      </c>
      <c r="G2" s="1">
        <f>6593/37413</f>
        <v>0.17622216876486782</v>
      </c>
      <c r="I2" s="16" t="s">
        <v>24</v>
      </c>
    </row>
    <row r="3" spans="1:10">
      <c r="A3" s="1" t="s">
        <v>157</v>
      </c>
      <c r="B3" s="2" t="s">
        <v>202</v>
      </c>
      <c r="C3" s="1" t="s">
        <v>11</v>
      </c>
      <c r="D3" s="1">
        <v>2017</v>
      </c>
      <c r="E3" s="26">
        <f>5.4/29.5</f>
        <v>0.18305084745762712</v>
      </c>
      <c r="F3" s="1">
        <v>0.19065499999999999</v>
      </c>
      <c r="I3" s="16" t="s">
        <v>24</v>
      </c>
    </row>
    <row r="4" spans="1:10">
      <c r="A4" s="1" t="s">
        <v>157</v>
      </c>
      <c r="B4" s="2" t="s">
        <v>202</v>
      </c>
      <c r="C4" s="1" t="s">
        <v>11</v>
      </c>
      <c r="D4" s="1">
        <v>2016</v>
      </c>
      <c r="E4" s="26">
        <f>2.9/25.3</f>
        <v>0.11462450592885375</v>
      </c>
      <c r="F4" s="1">
        <v>0.119634</v>
      </c>
      <c r="I4" s="16" t="s">
        <v>24</v>
      </c>
    </row>
    <row r="5" spans="1:10">
      <c r="A5" s="1" t="s">
        <v>157</v>
      </c>
      <c r="B5" s="2" t="s">
        <v>202</v>
      </c>
      <c r="C5" s="1" t="s">
        <v>11</v>
      </c>
      <c r="D5" s="1">
        <v>2015</v>
      </c>
      <c r="E5" s="26">
        <f>2.8/23.1</f>
        <v>0.1212121212121212</v>
      </c>
      <c r="F5" s="1">
        <v>0.12191</v>
      </c>
      <c r="I5" s="16" t="s">
        <v>24</v>
      </c>
    </row>
    <row r="6" spans="1:10">
      <c r="A6" s="1" t="s">
        <v>157</v>
      </c>
      <c r="B6" s="2" t="s">
        <v>202</v>
      </c>
      <c r="C6" s="1" t="s">
        <v>11</v>
      </c>
      <c r="D6" s="1">
        <v>2014</v>
      </c>
      <c r="E6" s="26">
        <f>2.5/20.2</f>
        <v>0.12376237623762376</v>
      </c>
      <c r="F6" s="1">
        <v>0.12377000000000001</v>
      </c>
      <c r="I6" s="16" t="s">
        <v>24</v>
      </c>
    </row>
    <row r="7" spans="1:10">
      <c r="A7" s="1" t="s">
        <v>157</v>
      </c>
      <c r="B7" s="2" t="s">
        <v>202</v>
      </c>
      <c r="C7" s="1" t="s">
        <v>18</v>
      </c>
      <c r="D7" s="1">
        <v>2018</v>
      </c>
      <c r="E7" s="26">
        <f>2666/43817</f>
        <v>6.0843964671246323E-2</v>
      </c>
      <c r="F7" s="4">
        <v>6.0844000000000002E-2</v>
      </c>
      <c r="G7" s="4"/>
      <c r="H7" s="4"/>
      <c r="I7" s="16" t="s">
        <v>205</v>
      </c>
      <c r="J7" s="4"/>
    </row>
    <row r="8" spans="1:10">
      <c r="A8" s="1" t="s">
        <v>157</v>
      </c>
      <c r="B8" s="2" t="s">
        <v>202</v>
      </c>
      <c r="C8" s="1" t="s">
        <v>18</v>
      </c>
      <c r="D8" s="1">
        <v>2017</v>
      </c>
      <c r="E8" s="26">
        <f>3059/41739</f>
        <v>7.3288770694075092E-2</v>
      </c>
      <c r="F8" s="4">
        <v>7.3289000000000007E-2</v>
      </c>
      <c r="G8" s="4"/>
      <c r="H8" s="4"/>
      <c r="I8" s="16" t="s">
        <v>205</v>
      </c>
      <c r="J8" s="4"/>
    </row>
    <row r="9" spans="1:10">
      <c r="A9" s="1" t="s">
        <v>157</v>
      </c>
      <c r="B9" s="2" t="s">
        <v>202</v>
      </c>
      <c r="C9" s="1" t="s">
        <v>18</v>
      </c>
      <c r="D9" s="1">
        <v>2016</v>
      </c>
      <c r="E9" s="26">
        <f>2152/41033</f>
        <v>5.2445592571832428E-2</v>
      </c>
      <c r="F9" s="4">
        <v>5.2446E-2</v>
      </c>
      <c r="G9" s="4"/>
      <c r="H9" s="4"/>
      <c r="I9" s="16" t="s">
        <v>205</v>
      </c>
      <c r="J9" s="4"/>
    </row>
    <row r="10" spans="1:10">
      <c r="A10" s="1" t="s">
        <v>157</v>
      </c>
      <c r="B10" s="2" t="s">
        <v>202</v>
      </c>
      <c r="C10" s="1" t="s">
        <v>18</v>
      </c>
      <c r="D10" s="1">
        <v>2015</v>
      </c>
      <c r="E10" s="26">
        <f>2816/39727</f>
        <v>7.0883781810859109E-2</v>
      </c>
      <c r="F10" s="1">
        <v>7.0884000000000003E-2</v>
      </c>
      <c r="I10" s="16" t="s">
        <v>205</v>
      </c>
    </row>
    <row r="11" spans="1:10">
      <c r="A11" s="1" t="s">
        <v>157</v>
      </c>
      <c r="B11" s="2" t="s">
        <v>202</v>
      </c>
      <c r="C11" s="1" t="s">
        <v>18</v>
      </c>
      <c r="D11" s="1">
        <v>2014</v>
      </c>
      <c r="E11" s="26">
        <f>1883/40875</f>
        <v>4.6067278287461773E-2</v>
      </c>
      <c r="F11" s="1">
        <v>4.6066999999999997E-2</v>
      </c>
      <c r="I11" s="16" t="s">
        <v>205</v>
      </c>
    </row>
    <row r="12" spans="1:10">
      <c r="A12" s="1" t="s">
        <v>157</v>
      </c>
      <c r="B12" s="2" t="s">
        <v>202</v>
      </c>
      <c r="C12" s="1" t="s">
        <v>15</v>
      </c>
      <c r="D12" s="1">
        <v>2018</v>
      </c>
      <c r="E12" s="27">
        <v>1.2937000000000001E-2</v>
      </c>
      <c r="F12" s="1">
        <v>1.2937000000000001E-2</v>
      </c>
      <c r="G12" s="4"/>
      <c r="H12" s="4"/>
      <c r="I12" s="16"/>
    </row>
    <row r="13" spans="1:10">
      <c r="A13" s="1" t="s">
        <v>157</v>
      </c>
      <c r="B13" s="2" t="s">
        <v>202</v>
      </c>
      <c r="C13" s="1" t="s">
        <v>15</v>
      </c>
      <c r="D13" s="1">
        <v>2017</v>
      </c>
      <c r="E13" s="27">
        <v>9.0230000000000005E-2</v>
      </c>
      <c r="F13" s="1">
        <v>9.0230000000000005E-2</v>
      </c>
      <c r="G13" s="4"/>
      <c r="H13" s="4"/>
      <c r="I13" s="16"/>
    </row>
    <row r="14" spans="1:10">
      <c r="A14" s="1" t="s">
        <v>157</v>
      </c>
      <c r="B14" s="2" t="s">
        <v>202</v>
      </c>
      <c r="C14" s="1" t="s">
        <v>15</v>
      </c>
      <c r="D14" s="1">
        <v>2016</v>
      </c>
      <c r="E14" s="27">
        <v>4.3890999999999999E-2</v>
      </c>
      <c r="F14" s="1">
        <v>4.3890999999999999E-2</v>
      </c>
      <c r="G14" s="4"/>
      <c r="H14" s="4"/>
      <c r="I14" s="16"/>
    </row>
    <row r="15" spans="1:10">
      <c r="A15" s="1" t="s">
        <v>157</v>
      </c>
      <c r="B15" s="2" t="s">
        <v>202</v>
      </c>
      <c r="C15" s="1" t="s">
        <v>15</v>
      </c>
      <c r="D15" s="1">
        <v>2015</v>
      </c>
      <c r="E15" s="27">
        <v>8.7970000000000007E-2</v>
      </c>
      <c r="F15" s="1">
        <v>8.7970000000000007E-2</v>
      </c>
      <c r="G15" s="4"/>
      <c r="H15" s="4"/>
      <c r="I15" s="16"/>
    </row>
    <row r="16" spans="1:10" s="25" customFormat="1">
      <c r="A16" s="17" t="s">
        <v>157</v>
      </c>
      <c r="B16" s="24" t="s">
        <v>202</v>
      </c>
      <c r="C16" s="17" t="s">
        <v>15</v>
      </c>
      <c r="D16" s="17">
        <v>2014</v>
      </c>
      <c r="E16" s="28">
        <v>7.1789000000000006E-2</v>
      </c>
      <c r="F16" s="25">
        <v>7.1789000000000006E-2</v>
      </c>
      <c r="I16" s="29"/>
    </row>
    <row r="17" spans="1:9">
      <c r="A17" s="1" t="s">
        <v>157</v>
      </c>
      <c r="B17" s="1" t="s">
        <v>203</v>
      </c>
      <c r="C17" s="1" t="s">
        <v>11</v>
      </c>
      <c r="D17" s="1">
        <v>2018</v>
      </c>
      <c r="E17" s="27">
        <v>6.3640000000000002E-2</v>
      </c>
      <c r="F17" s="1">
        <v>6.4009999999999997E-2</v>
      </c>
      <c r="I17" s="16" t="s">
        <v>24</v>
      </c>
    </row>
    <row r="18" spans="1:9">
      <c r="A18" s="1" t="s">
        <v>157</v>
      </c>
      <c r="B18" s="1" t="s">
        <v>203</v>
      </c>
      <c r="C18" s="1" t="s">
        <v>11</v>
      </c>
      <c r="D18" s="1">
        <v>2017</v>
      </c>
      <c r="E18" s="27">
        <v>5.5100000000000003E-2</v>
      </c>
      <c r="F18" s="1">
        <v>5.4975000000000003E-2</v>
      </c>
      <c r="I18" s="16" t="s">
        <v>24</v>
      </c>
    </row>
    <row r="19" spans="1:9">
      <c r="A19" s="1" t="s">
        <v>157</v>
      </c>
      <c r="B19" s="1" t="s">
        <v>203</v>
      </c>
      <c r="C19" s="1" t="s">
        <v>11</v>
      </c>
      <c r="D19" s="1">
        <v>2016</v>
      </c>
      <c r="E19" s="27">
        <v>3.2219999999999999E-2</v>
      </c>
      <c r="F19" s="1">
        <v>3.2357999999999998E-2</v>
      </c>
      <c r="I19" s="16" t="s">
        <v>24</v>
      </c>
    </row>
    <row r="20" spans="1:9">
      <c r="A20" s="1" t="s">
        <v>157</v>
      </c>
      <c r="B20" s="1" t="s">
        <v>203</v>
      </c>
      <c r="C20" s="1" t="s">
        <v>11</v>
      </c>
      <c r="D20" s="1">
        <v>2015</v>
      </c>
      <c r="E20" s="27">
        <v>3.3939999999999998E-2</v>
      </c>
      <c r="F20" s="1">
        <v>3.3366E-2</v>
      </c>
      <c r="I20" s="16" t="s">
        <v>24</v>
      </c>
    </row>
    <row r="21" spans="1:9">
      <c r="A21" s="1" t="s">
        <v>157</v>
      </c>
      <c r="B21" s="1" t="s">
        <v>203</v>
      </c>
      <c r="C21" s="1" t="s">
        <v>11</v>
      </c>
      <c r="D21" s="1">
        <v>2014</v>
      </c>
      <c r="E21" s="27">
        <v>3.3509999999999998E-2</v>
      </c>
      <c r="F21" s="1">
        <v>3.2897999999999997E-2</v>
      </c>
      <c r="I21" s="16" t="s">
        <v>24</v>
      </c>
    </row>
    <row r="22" spans="1:9">
      <c r="A22" s="1" t="s">
        <v>157</v>
      </c>
      <c r="B22" s="1" t="s">
        <v>203</v>
      </c>
      <c r="C22" s="1" t="s">
        <v>18</v>
      </c>
      <c r="D22" s="1">
        <v>2018</v>
      </c>
      <c r="E22" s="27">
        <v>1.8339999999999999E-2</v>
      </c>
      <c r="F22" s="1">
        <v>1.8336999999999999E-2</v>
      </c>
      <c r="I22" s="16" t="s">
        <v>205</v>
      </c>
    </row>
    <row r="23" spans="1:9">
      <c r="A23" s="1" t="s">
        <v>157</v>
      </c>
      <c r="B23" s="1" t="s">
        <v>203</v>
      </c>
      <c r="C23" s="1" t="s">
        <v>18</v>
      </c>
      <c r="D23" s="1">
        <v>2017</v>
      </c>
      <c r="E23" s="27">
        <v>2.2179999999999998E-2</v>
      </c>
      <c r="F23" s="1">
        <v>2.2179999999999998E-2</v>
      </c>
      <c r="I23" s="16" t="s">
        <v>205</v>
      </c>
    </row>
    <row r="24" spans="1:9">
      <c r="A24" s="1" t="s">
        <v>157</v>
      </c>
      <c r="B24" s="1" t="s">
        <v>203</v>
      </c>
      <c r="C24" s="1" t="s">
        <v>18</v>
      </c>
      <c r="D24" s="1">
        <v>2016</v>
      </c>
      <c r="E24" s="27">
        <v>1.6209999999999999E-2</v>
      </c>
      <c r="F24" s="1">
        <v>1.6209999999999999E-2</v>
      </c>
      <c r="I24" s="16" t="s">
        <v>205</v>
      </c>
    </row>
    <row r="25" spans="1:9">
      <c r="A25" s="1" t="s">
        <v>157</v>
      </c>
      <c r="B25" s="1" t="s">
        <v>203</v>
      </c>
      <c r="C25" s="1" t="s">
        <v>18</v>
      </c>
      <c r="D25" s="1">
        <v>2015</v>
      </c>
      <c r="E25" s="27">
        <v>2.2324E-2</v>
      </c>
      <c r="F25" s="1">
        <v>2.3243E-2</v>
      </c>
      <c r="I25" s="16" t="s">
        <v>205</v>
      </c>
    </row>
    <row r="26" spans="1:9">
      <c r="A26" s="1" t="s">
        <v>157</v>
      </c>
      <c r="B26" s="1" t="s">
        <v>203</v>
      </c>
      <c r="C26" s="1" t="s">
        <v>18</v>
      </c>
      <c r="D26" s="1">
        <v>2014</v>
      </c>
      <c r="E26" s="27">
        <v>1.562E-2</v>
      </c>
      <c r="F26" s="1">
        <v>1.5599E-2</v>
      </c>
      <c r="I26" s="16"/>
    </row>
    <row r="27" spans="1:9">
      <c r="A27" s="1" t="s">
        <v>157</v>
      </c>
      <c r="B27" s="1" t="s">
        <v>203</v>
      </c>
      <c r="C27" s="1" t="s">
        <v>15</v>
      </c>
      <c r="D27" s="1">
        <v>2018</v>
      </c>
      <c r="E27" s="27">
        <v>3.326E-3</v>
      </c>
      <c r="F27" s="1">
        <v>3.326E-3</v>
      </c>
      <c r="G27" s="4"/>
      <c r="H27" s="4"/>
      <c r="I27" s="16"/>
    </row>
    <row r="28" spans="1:9">
      <c r="A28" s="1" t="s">
        <v>157</v>
      </c>
      <c r="B28" s="1" t="s">
        <v>203</v>
      </c>
      <c r="C28" s="1" t="s">
        <v>15</v>
      </c>
      <c r="D28" s="1">
        <v>2017</v>
      </c>
      <c r="E28" s="27">
        <v>2.3085000000000001E-2</v>
      </c>
      <c r="F28" s="1">
        <v>2.3085000000000001E-2</v>
      </c>
      <c r="G28" s="4"/>
      <c r="H28" s="4"/>
      <c r="I28" s="16"/>
    </row>
    <row r="29" spans="1:9">
      <c r="A29" s="1" t="s">
        <v>157</v>
      </c>
      <c r="B29" s="1" t="s">
        <v>203</v>
      </c>
      <c r="C29" s="1" t="s">
        <v>15</v>
      </c>
      <c r="D29" s="1">
        <v>2016</v>
      </c>
      <c r="E29" s="27">
        <v>9.8689999999999993E-3</v>
      </c>
      <c r="F29" s="1">
        <v>9.8689999999999993E-3</v>
      </c>
      <c r="G29" s="4"/>
      <c r="H29" s="4"/>
      <c r="I29" s="16"/>
    </row>
    <row r="30" spans="1:9">
      <c r="A30" s="1" t="s">
        <v>157</v>
      </c>
      <c r="B30" s="1" t="s">
        <v>203</v>
      </c>
      <c r="C30" s="1" t="s">
        <v>15</v>
      </c>
      <c r="D30" s="1">
        <v>2015</v>
      </c>
      <c r="E30" s="27">
        <v>2.3788E-2</v>
      </c>
      <c r="F30" s="1">
        <v>2.3788E-2</v>
      </c>
      <c r="G30" s="4"/>
      <c r="H30" s="4"/>
      <c r="I30" s="16"/>
    </row>
    <row r="31" spans="1:9">
      <c r="A31" s="1" t="s">
        <v>157</v>
      </c>
      <c r="B31" s="1" t="s">
        <v>203</v>
      </c>
      <c r="C31" s="1" t="s">
        <v>15</v>
      </c>
      <c r="D31" s="1">
        <v>2014</v>
      </c>
      <c r="E31" s="27">
        <v>1.8695E-2</v>
      </c>
      <c r="F31" s="1">
        <v>1.8695E-2</v>
      </c>
      <c r="G31" s="4"/>
      <c r="H31" s="4"/>
      <c r="I31" s="16"/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27">
        <v>2.0371950000000001</v>
      </c>
      <c r="I32" s="16"/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27">
        <v>2.4680589999999998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27">
        <v>2.6971780000000001</v>
      </c>
      <c r="I34" s="3"/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27">
        <v>2.6537169999999999</v>
      </c>
      <c r="I35" s="3"/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27">
        <v>2.762251</v>
      </c>
      <c r="I36" s="3"/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27">
        <v>2.3181639999999999</v>
      </c>
      <c r="I37" s="3"/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27">
        <v>2.3041999999999998</v>
      </c>
      <c r="I38" s="3"/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27">
        <v>2.2354690000000002</v>
      </c>
      <c r="I39" s="3"/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27">
        <v>2.0497139999999998</v>
      </c>
      <c r="I40" s="3"/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27">
        <v>1.953125</v>
      </c>
      <c r="I41" s="3"/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27">
        <v>2.8898060000000001</v>
      </c>
      <c r="I42" s="3"/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27">
        <v>2.9086310000000002</v>
      </c>
      <c r="I43" s="3"/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27">
        <v>3.4472659999999999</v>
      </c>
      <c r="I44" s="3"/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27">
        <v>2.6980580000000001</v>
      </c>
      <c r="I45" s="3"/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27">
        <v>2.8399679999999998</v>
      </c>
      <c r="I46" s="3"/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">
        <v>0.214363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">
        <v>-0.13991899999999999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">
        <v>0.31517800000000001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">
        <v>0.30776900000000001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">
        <v>0.32263399999999998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">
        <v>0.145786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">
        <v>0.28035599999999999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">
        <v>0.30958799999999997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">
        <v>0.32052199999999997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">
        <v>0.403725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">
        <v>5.3762999999999998E-2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">
        <v>-3.3279999999999997E-2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">
        <v>0.382604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">
        <v>0.32222200000000001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27">
        <v>0.26790000000000003</v>
      </c>
    </row>
    <row r="62" spans="1:9" ht="15.75">
      <c r="A62" s="1" t="s">
        <v>161</v>
      </c>
      <c r="B62" s="1" t="s">
        <v>164</v>
      </c>
      <c r="C62" s="1" t="s">
        <v>11</v>
      </c>
      <c r="D62" s="1">
        <v>2018</v>
      </c>
      <c r="E62" s="2">
        <v>3732000000</v>
      </c>
      <c r="I62" s="9" t="s">
        <v>166</v>
      </c>
    </row>
    <row r="63" spans="1:9" ht="15.75">
      <c r="A63" s="1" t="s">
        <v>161</v>
      </c>
      <c r="B63" s="1" t="s">
        <v>164</v>
      </c>
      <c r="C63" s="1" t="s">
        <v>11</v>
      </c>
      <c r="D63" s="1">
        <v>2017</v>
      </c>
      <c r="E63" s="2">
        <v>4071000000</v>
      </c>
      <c r="I63" s="9" t="s">
        <v>166</v>
      </c>
    </row>
    <row r="64" spans="1:9" ht="15.75">
      <c r="A64" s="1" t="s">
        <v>161</v>
      </c>
      <c r="B64" s="1" t="s">
        <v>164</v>
      </c>
      <c r="C64" s="1" t="s">
        <v>11</v>
      </c>
      <c r="D64" s="1">
        <v>2016</v>
      </c>
      <c r="E64" s="2">
        <v>3992000000</v>
      </c>
      <c r="I64" s="9" t="s">
        <v>166</v>
      </c>
    </row>
    <row r="65" spans="1:9" ht="15.75">
      <c r="A65" s="1" t="s">
        <v>161</v>
      </c>
      <c r="B65" s="1" t="s">
        <v>164</v>
      </c>
      <c r="C65" s="1" t="s">
        <v>11</v>
      </c>
      <c r="D65" s="1">
        <v>2015</v>
      </c>
      <c r="E65" s="2">
        <v>5327000000</v>
      </c>
      <c r="I65" s="9" t="s">
        <v>167</v>
      </c>
    </row>
    <row r="66" spans="1:9" ht="15.75">
      <c r="A66" s="1" t="s">
        <v>161</v>
      </c>
      <c r="B66" s="1" t="s">
        <v>164</v>
      </c>
      <c r="C66" s="1" t="s">
        <v>11</v>
      </c>
      <c r="D66" s="1">
        <v>2014</v>
      </c>
      <c r="E66" s="2">
        <v>5602000000</v>
      </c>
      <c r="I66" s="9" t="s">
        <v>167</v>
      </c>
    </row>
    <row r="67" spans="1:9" ht="15.75">
      <c r="A67" s="1" t="s">
        <v>161</v>
      </c>
      <c r="B67" s="1" t="s">
        <v>164</v>
      </c>
      <c r="C67" s="1" t="s">
        <v>18</v>
      </c>
      <c r="D67" s="1">
        <v>2018</v>
      </c>
      <c r="E67" s="2">
        <v>6831000000</v>
      </c>
      <c r="I67" s="9" t="s">
        <v>168</v>
      </c>
    </row>
    <row r="68" spans="1:9" ht="15.75">
      <c r="A68" s="1" t="s">
        <v>161</v>
      </c>
      <c r="B68" s="1" t="s">
        <v>164</v>
      </c>
      <c r="C68" s="1" t="s">
        <v>18</v>
      </c>
      <c r="D68" s="1">
        <v>2017</v>
      </c>
      <c r="E68" s="2">
        <v>6350000000</v>
      </c>
      <c r="I68" s="9" t="s">
        <v>168</v>
      </c>
    </row>
    <row r="69" spans="1:9" ht="15.75">
      <c r="A69" s="1" t="s">
        <v>161</v>
      </c>
      <c r="B69" s="1" t="s">
        <v>164</v>
      </c>
      <c r="C69" s="1" t="s">
        <v>18</v>
      </c>
      <c r="D69" s="1">
        <v>2016</v>
      </c>
      <c r="E69" s="2">
        <v>6625000000</v>
      </c>
      <c r="I69" s="9" t="s">
        <v>168</v>
      </c>
    </row>
    <row r="70" spans="1:9" ht="15.75">
      <c r="A70" s="1" t="s">
        <v>161</v>
      </c>
      <c r="B70" s="1" t="s">
        <v>164</v>
      </c>
      <c r="C70" s="1" t="s">
        <v>18</v>
      </c>
      <c r="D70" s="1">
        <v>2015</v>
      </c>
      <c r="E70" s="2">
        <v>7355000000</v>
      </c>
      <c r="I70" s="9" t="s">
        <v>169</v>
      </c>
    </row>
    <row r="71" spans="1:9" ht="15.75">
      <c r="A71" s="1" t="s">
        <v>161</v>
      </c>
      <c r="B71" s="1" t="s">
        <v>164</v>
      </c>
      <c r="C71" s="1" t="s">
        <v>18</v>
      </c>
      <c r="D71" s="1">
        <v>2014</v>
      </c>
      <c r="E71" s="2">
        <v>7732000000</v>
      </c>
      <c r="I71" s="9" t="s">
        <v>169</v>
      </c>
    </row>
    <row r="72" spans="1:9" ht="15.75">
      <c r="A72" s="1" t="s">
        <v>161</v>
      </c>
      <c r="B72" s="1" t="s">
        <v>206</v>
      </c>
      <c r="C72" s="1" t="s">
        <v>15</v>
      </c>
      <c r="D72" s="1">
        <v>2018</v>
      </c>
      <c r="E72" s="2">
        <v>16670000000</v>
      </c>
      <c r="I72" s="9" t="s">
        <v>170</v>
      </c>
    </row>
    <row r="73" spans="1:9" ht="15.75">
      <c r="A73" s="1" t="s">
        <v>161</v>
      </c>
      <c r="B73" s="1" t="s">
        <v>164</v>
      </c>
      <c r="C73" s="1" t="s">
        <v>15</v>
      </c>
      <c r="D73" s="1">
        <v>2017</v>
      </c>
      <c r="E73" s="2">
        <v>14035000000</v>
      </c>
      <c r="I73" s="9" t="s">
        <v>170</v>
      </c>
    </row>
    <row r="74" spans="1:9" ht="15.75">
      <c r="A74" s="1" t="s">
        <v>161</v>
      </c>
      <c r="B74" s="1" t="s">
        <v>164</v>
      </c>
      <c r="C74" s="1" t="s">
        <v>15</v>
      </c>
      <c r="D74" s="1">
        <v>2016</v>
      </c>
      <c r="E74" s="2">
        <v>12640000000</v>
      </c>
      <c r="I74" s="9" t="s">
        <v>170</v>
      </c>
    </row>
    <row r="75" spans="1:9" ht="15.75">
      <c r="A75" s="1" t="s">
        <v>161</v>
      </c>
      <c r="B75" s="1" t="s">
        <v>164</v>
      </c>
      <c r="C75" s="1" t="s">
        <v>15</v>
      </c>
      <c r="D75" s="1">
        <v>2015</v>
      </c>
      <c r="E75" s="2">
        <f>13084000000</f>
        <v>13084000000</v>
      </c>
      <c r="I75" s="9" t="s">
        <v>171</v>
      </c>
    </row>
    <row r="76" spans="1:9" ht="15.75">
      <c r="A76" s="1" t="s">
        <v>161</v>
      </c>
      <c r="B76" s="1" t="s">
        <v>164</v>
      </c>
      <c r="C76" s="1" t="s">
        <v>15</v>
      </c>
      <c r="D76" s="1">
        <v>2014</v>
      </c>
      <c r="E76" s="2">
        <v>13003000000</v>
      </c>
      <c r="I76" s="9" t="s">
        <v>172</v>
      </c>
    </row>
    <row r="77" spans="1:9">
      <c r="A77" s="1" t="s">
        <v>173</v>
      </c>
      <c r="B77" s="1" t="s">
        <v>174</v>
      </c>
      <c r="C77" s="1" t="s">
        <v>11</v>
      </c>
      <c r="D77" s="1">
        <v>2018</v>
      </c>
      <c r="E77" s="1">
        <v>1.097005</v>
      </c>
    </row>
    <row r="78" spans="1:9">
      <c r="A78" s="1" t="s">
        <v>173</v>
      </c>
      <c r="B78" s="1" t="s">
        <v>174</v>
      </c>
      <c r="C78" s="1" t="s">
        <v>11</v>
      </c>
      <c r="D78" s="1">
        <v>2017</v>
      </c>
      <c r="E78" s="1">
        <v>1.186042</v>
      </c>
    </row>
    <row r="79" spans="1:9">
      <c r="A79" s="1" t="s">
        <v>173</v>
      </c>
      <c r="B79" s="1" t="s">
        <v>174</v>
      </c>
      <c r="C79" s="1" t="s">
        <v>11</v>
      </c>
      <c r="D79" s="1">
        <v>2016</v>
      </c>
      <c r="E79" s="1">
        <v>1.5021230000000001</v>
      </c>
    </row>
    <row r="80" spans="1:9">
      <c r="A80" s="1" t="s">
        <v>173</v>
      </c>
      <c r="B80" s="1" t="s">
        <v>174</v>
      </c>
      <c r="C80" s="1" t="s">
        <v>11</v>
      </c>
      <c r="D80" s="1">
        <v>2015</v>
      </c>
      <c r="E80" s="1">
        <v>1.5725720000000001</v>
      </c>
    </row>
    <row r="81" spans="1:5">
      <c r="A81" s="1" t="s">
        <v>173</v>
      </c>
      <c r="B81" s="1" t="s">
        <v>174</v>
      </c>
      <c r="C81" s="1" t="s">
        <v>11</v>
      </c>
      <c r="D81" s="1">
        <v>2014</v>
      </c>
      <c r="E81" s="1">
        <v>1.603966</v>
      </c>
    </row>
    <row r="82" spans="1:5">
      <c r="A82" s="1" t="s">
        <v>173</v>
      </c>
      <c r="B82" s="1" t="s">
        <v>174</v>
      </c>
      <c r="C82" s="1" t="s">
        <v>18</v>
      </c>
      <c r="D82" s="1">
        <v>2018</v>
      </c>
      <c r="E82" s="1">
        <v>0.76536400000000004</v>
      </c>
    </row>
    <row r="83" spans="1:5">
      <c r="A83" s="1" t="s">
        <v>173</v>
      </c>
      <c r="B83" s="1" t="s">
        <v>174</v>
      </c>
      <c r="C83" s="1" t="s">
        <v>18</v>
      </c>
      <c r="D83" s="1">
        <v>2017</v>
      </c>
      <c r="E83" s="1">
        <v>0.82389500000000004</v>
      </c>
    </row>
    <row r="84" spans="1:5">
      <c r="A84" s="1" t="s">
        <v>173</v>
      </c>
      <c r="B84" s="1" t="s">
        <v>174</v>
      </c>
      <c r="C84" s="1" t="s">
        <v>18</v>
      </c>
      <c r="D84" s="1">
        <v>2016</v>
      </c>
      <c r="E84" s="1">
        <v>0.86039699999999997</v>
      </c>
    </row>
    <row r="85" spans="1:5">
      <c r="A85" s="1" t="s">
        <v>173</v>
      </c>
      <c r="B85" s="1" t="s">
        <v>174</v>
      </c>
      <c r="C85" s="1" t="s">
        <v>18</v>
      </c>
      <c r="D85" s="1">
        <v>2015</v>
      </c>
      <c r="E85" s="1">
        <v>0.98669799999999996</v>
      </c>
    </row>
    <row r="86" spans="1:5">
      <c r="A86" s="1" t="s">
        <v>173</v>
      </c>
      <c r="B86" s="1" t="s">
        <v>174</v>
      </c>
      <c r="C86" s="1" t="s">
        <v>18</v>
      </c>
      <c r="D86" s="1">
        <v>2014</v>
      </c>
      <c r="E86" s="1">
        <v>1.2232540000000001</v>
      </c>
    </row>
    <row r="87" spans="1:5">
      <c r="A87" s="1" t="s">
        <v>173</v>
      </c>
      <c r="B87" s="1" t="s">
        <v>174</v>
      </c>
      <c r="C87" s="1" t="s">
        <v>15</v>
      </c>
      <c r="D87" s="1">
        <v>2018</v>
      </c>
      <c r="E87" s="1">
        <v>1.1382669999999999</v>
      </c>
    </row>
    <row r="88" spans="1:5">
      <c r="A88" s="1" t="s">
        <v>173</v>
      </c>
      <c r="B88" s="1" t="s">
        <v>174</v>
      </c>
      <c r="C88" s="1" t="s">
        <v>15</v>
      </c>
      <c r="D88" s="1">
        <v>2017</v>
      </c>
      <c r="E88" s="1">
        <v>0.98628700000000002</v>
      </c>
    </row>
    <row r="89" spans="1:5">
      <c r="A89" s="1" t="s">
        <v>173</v>
      </c>
      <c r="B89" s="1" t="s">
        <v>174</v>
      </c>
      <c r="C89" s="1" t="s">
        <v>15</v>
      </c>
      <c r="D89" s="1">
        <v>2016</v>
      </c>
      <c r="E89" s="1">
        <v>0.98737299999999995</v>
      </c>
    </row>
    <row r="90" spans="1:5">
      <c r="A90" s="1" t="s">
        <v>173</v>
      </c>
      <c r="B90" s="1" t="s">
        <v>174</v>
      </c>
      <c r="C90" s="1" t="s">
        <v>15</v>
      </c>
      <c r="D90" s="1">
        <v>2015</v>
      </c>
      <c r="E90" s="1">
        <v>0.99895100000000003</v>
      </c>
    </row>
    <row r="91" spans="1:5">
      <c r="A91" s="1" t="s">
        <v>173</v>
      </c>
      <c r="B91" s="1" t="s">
        <v>174</v>
      </c>
      <c r="C91" s="1" t="s">
        <v>15</v>
      </c>
      <c r="D91" s="1">
        <v>2014</v>
      </c>
      <c r="E91" s="1">
        <v>0.73342099999999999</v>
      </c>
    </row>
    <row r="92" spans="1:5">
      <c r="A92" s="1" t="s">
        <v>173</v>
      </c>
      <c r="B92" s="1" t="s">
        <v>175</v>
      </c>
      <c r="C92" s="1" t="s">
        <v>11</v>
      </c>
      <c r="D92" s="1">
        <v>2018</v>
      </c>
      <c r="E92" s="1"/>
    </row>
    <row r="93" spans="1:5">
      <c r="A93" s="1" t="s">
        <v>173</v>
      </c>
      <c r="B93" s="1" t="s">
        <v>175</v>
      </c>
      <c r="C93" s="1" t="s">
        <v>11</v>
      </c>
      <c r="D93" s="1">
        <v>2017</v>
      </c>
      <c r="E93" s="1"/>
    </row>
    <row r="94" spans="1:5">
      <c r="A94" s="1" t="s">
        <v>173</v>
      </c>
      <c r="B94" s="1" t="s">
        <v>175</v>
      </c>
      <c r="C94" s="1" t="s">
        <v>11</v>
      </c>
      <c r="D94" s="1">
        <v>2016</v>
      </c>
      <c r="E94" s="1"/>
    </row>
    <row r="95" spans="1:5">
      <c r="A95" s="1" t="s">
        <v>173</v>
      </c>
      <c r="B95" s="1" t="s">
        <v>175</v>
      </c>
      <c r="C95" s="1" t="s">
        <v>11</v>
      </c>
      <c r="D95" s="1">
        <v>2015</v>
      </c>
      <c r="E95" s="1"/>
    </row>
    <row r="96" spans="1:5">
      <c r="A96" s="1" t="s">
        <v>173</v>
      </c>
      <c r="B96" s="1" t="s">
        <v>175</v>
      </c>
      <c r="C96" s="1" t="s">
        <v>11</v>
      </c>
      <c r="D96" s="1">
        <v>2014</v>
      </c>
      <c r="E96" s="1"/>
    </row>
    <row r="97" spans="1:5">
      <c r="A97" s="1" t="s">
        <v>173</v>
      </c>
      <c r="B97" s="1" t="s">
        <v>175</v>
      </c>
      <c r="C97" s="1" t="s">
        <v>18</v>
      </c>
      <c r="D97" s="1">
        <v>2018</v>
      </c>
      <c r="E97" s="1"/>
    </row>
    <row r="98" spans="1:5">
      <c r="A98" s="1" t="s">
        <v>173</v>
      </c>
      <c r="B98" s="1" t="s">
        <v>175</v>
      </c>
      <c r="C98" s="1" t="s">
        <v>18</v>
      </c>
      <c r="D98" s="1">
        <v>2017</v>
      </c>
      <c r="E98" s="1"/>
    </row>
    <row r="99" spans="1:5">
      <c r="A99" s="1" t="s">
        <v>173</v>
      </c>
      <c r="B99" s="1" t="s">
        <v>175</v>
      </c>
      <c r="C99" s="1" t="s">
        <v>18</v>
      </c>
      <c r="D99" s="1">
        <v>2016</v>
      </c>
      <c r="E99" s="1"/>
    </row>
    <row r="100" spans="1:5">
      <c r="A100" s="1" t="s">
        <v>173</v>
      </c>
      <c r="B100" s="1" t="s">
        <v>175</v>
      </c>
      <c r="C100" s="1" t="s">
        <v>18</v>
      </c>
      <c r="D100" s="1">
        <v>2015</v>
      </c>
      <c r="E100" s="1"/>
    </row>
    <row r="101" spans="1:5">
      <c r="A101" s="1" t="s">
        <v>173</v>
      </c>
      <c r="B101" s="1" t="s">
        <v>175</v>
      </c>
      <c r="C101" s="1" t="s">
        <v>18</v>
      </c>
      <c r="D101" s="1">
        <v>2014</v>
      </c>
      <c r="E101" s="1"/>
    </row>
    <row r="102" spans="1:5">
      <c r="A102" s="1" t="s">
        <v>173</v>
      </c>
      <c r="B102" s="1" t="s">
        <v>175</v>
      </c>
      <c r="C102" s="1" t="s">
        <v>15</v>
      </c>
      <c r="D102" s="1">
        <v>2018</v>
      </c>
      <c r="E102" s="1"/>
    </row>
    <row r="103" spans="1:5">
      <c r="A103" s="1" t="s">
        <v>173</v>
      </c>
      <c r="B103" s="1" t="s">
        <v>175</v>
      </c>
      <c r="C103" s="1" t="s">
        <v>15</v>
      </c>
      <c r="D103" s="1">
        <v>2017</v>
      </c>
      <c r="E103" s="1"/>
    </row>
    <row r="104" spans="1:5">
      <c r="A104" s="1" t="s">
        <v>173</v>
      </c>
      <c r="B104" s="1" t="s">
        <v>175</v>
      </c>
      <c r="C104" s="1" t="s">
        <v>15</v>
      </c>
      <c r="D104" s="1">
        <v>2016</v>
      </c>
      <c r="E104" s="1"/>
    </row>
    <row r="105" spans="1:5">
      <c r="A105" s="1" t="s">
        <v>173</v>
      </c>
      <c r="B105" s="1" t="s">
        <v>175</v>
      </c>
      <c r="C105" s="1" t="s">
        <v>15</v>
      </c>
      <c r="D105" s="1">
        <v>2015</v>
      </c>
      <c r="E105" s="1"/>
    </row>
    <row r="106" spans="1:5">
      <c r="A106" s="1" t="s">
        <v>173</v>
      </c>
      <c r="B106" s="1" t="s">
        <v>175</v>
      </c>
      <c r="C106" s="1" t="s">
        <v>15</v>
      </c>
      <c r="D106" s="1">
        <v>2014</v>
      </c>
      <c r="E106" s="1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8" spans="9:9">
      <c r="I138" s="6"/>
    </row>
  </sheetData>
  <autoFilter ref="A1:I1" xr:uid="{3614E37E-F4C3-4B0E-9466-023FE8460AE8}"/>
  <hyperlinks>
    <hyperlink ref="I2" r:id="rId1" xr:uid="{5639830E-A569-42B3-B175-05D479D1342F}"/>
    <hyperlink ref="I3" r:id="rId2" xr:uid="{D3E0CEAC-C5BB-473A-9BB4-D4605A731928}"/>
    <hyperlink ref="I4" r:id="rId3" xr:uid="{22745497-4576-4F8C-B90F-37F6345D4E16}"/>
    <hyperlink ref="I5" r:id="rId4" xr:uid="{2163BDBA-95B1-4C53-A853-1E1DA278B7C0}"/>
    <hyperlink ref="I6" r:id="rId5" xr:uid="{CC3A830D-9204-418E-B6B6-10FC85859A69}"/>
    <hyperlink ref="I7" r:id="rId6" xr:uid="{9B626AA2-42C3-4392-B984-FF57232A3706}"/>
    <hyperlink ref="I8" r:id="rId7" xr:uid="{28863D13-8618-4F88-9C1A-C6FCD36A923E}"/>
    <hyperlink ref="I9" r:id="rId8" xr:uid="{CF158F18-11FD-45F2-AC63-00CA9641B5AE}"/>
    <hyperlink ref="I10" r:id="rId9" xr:uid="{494DBC63-D0FB-4DA8-B347-873B29573225}"/>
    <hyperlink ref="I11" r:id="rId10" xr:uid="{59193F4A-3DAB-4C59-B752-A1A489169875}"/>
    <hyperlink ref="I17" r:id="rId11" xr:uid="{0EC526DE-A318-4BB9-B122-FE483E232BAF}"/>
    <hyperlink ref="I18" r:id="rId12" xr:uid="{8871B2A6-5082-4961-B892-8BF10793A7A3}"/>
    <hyperlink ref="I19" r:id="rId13" xr:uid="{14580B9F-CE33-475D-9ECC-D10D617F1EF9}"/>
    <hyperlink ref="I20" r:id="rId14" xr:uid="{849AC1C4-E0F7-4E70-8B05-C6CDB66B9AAF}"/>
    <hyperlink ref="I21" r:id="rId15" xr:uid="{48C12571-EE86-4889-B0C2-CBF50F9FD41D}"/>
    <hyperlink ref="I22" r:id="rId16" xr:uid="{A90A1746-E15B-4A68-8BD2-C8136A9E0C57}"/>
    <hyperlink ref="I72" r:id="rId17" xr:uid="{82434DBC-3577-4B10-84C0-35D111E79D64}"/>
    <hyperlink ref="I73:I74" r:id="rId18" display="http://www.annualreports.com/Company/exelon-corporation p220" xr:uid="{D22BAEAB-D5B1-4A58-93EA-7192CB320A68}"/>
    <hyperlink ref="I73" r:id="rId19" xr:uid="{FDFC7C40-13B9-4B28-8AB5-B3AF9F9B9893}"/>
    <hyperlink ref="I74" r:id="rId20" xr:uid="{465BF764-65B3-42EB-86FE-4B178021985D}"/>
    <hyperlink ref="I62" r:id="rId21" xr:uid="{1CBF4B0F-B761-481B-AA3A-0674BA76B94C}"/>
    <hyperlink ref="I65" r:id="rId22" xr:uid="{0C4309B2-AA38-4A73-B2F5-D56E20D33C4B}"/>
    <hyperlink ref="I66" r:id="rId23" xr:uid="{C4A5A05B-E699-4491-80C4-30D2D10822B7}"/>
    <hyperlink ref="I69" r:id="rId24" xr:uid="{459FB21C-ACB8-46BB-AEC6-0640DD93D002}"/>
    <hyperlink ref="I75" r:id="rId25" xr:uid="{1467F947-488A-451D-A0D3-CF6A0607F7BD}"/>
    <hyperlink ref="I76" r:id="rId26" xr:uid="{DC744929-F318-4CDD-B6A2-BE211D239802}"/>
    <hyperlink ref="I68" r:id="rId27" xr:uid="{AE4D2ABA-64A6-4EA6-960F-CFC326DB9BC2}"/>
    <hyperlink ref="I67" r:id="rId28" xr:uid="{CFBED47A-E1BB-4B20-B231-924AE9BEA499}"/>
    <hyperlink ref="I70" r:id="rId29" xr:uid="{48B4517D-8665-427D-A54F-D272D13E4D53}"/>
    <hyperlink ref="I71" r:id="rId30" xr:uid="{A8EEE2D4-5336-4BAB-A87E-9ECE295666C2}"/>
    <hyperlink ref="I63" r:id="rId31" xr:uid="{FE40C247-5820-4774-B0A1-83B9CC36B823}"/>
    <hyperlink ref="I64" r:id="rId32" xr:uid="{4ABAB8B7-8EB1-423C-A07B-C5EE2CE4FB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3F5-6B15-405D-817A-1C5B8A405985}">
  <dimension ref="A1:M287"/>
  <sheetViews>
    <sheetView zoomScale="75" workbookViewId="0">
      <selection activeCell="A28" sqref="A28"/>
    </sheetView>
  </sheetViews>
  <sheetFormatPr defaultColWidth="11" defaultRowHeight="15"/>
  <cols>
    <col min="1" max="1" width="11" style="1"/>
    <col min="2" max="2" width="46.375" style="1" bestFit="1" customWidth="1"/>
    <col min="3" max="3" width="9" style="1" bestFit="1" customWidth="1"/>
    <col min="4" max="4" width="11.5" style="1" bestFit="1" customWidth="1"/>
    <col min="5" max="5" width="29.625" style="8" bestFit="1" customWidth="1"/>
    <col min="6" max="6" width="37.5" style="1" bestFit="1" customWidth="1"/>
    <col min="7" max="7" width="11.5" style="7" bestFit="1" customWidth="1"/>
    <col min="8" max="8" width="15.5" style="1" bestFit="1" customWidth="1"/>
    <col min="9" max="9" width="104.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7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207</v>
      </c>
      <c r="C2" s="1" t="s">
        <v>11</v>
      </c>
      <c r="D2" s="1">
        <v>2014</v>
      </c>
      <c r="E2" s="8">
        <v>0.18</v>
      </c>
      <c r="F2" s="1" t="s">
        <v>208</v>
      </c>
      <c r="I2" s="1" t="s">
        <v>24</v>
      </c>
    </row>
    <row r="3" spans="1:9">
      <c r="A3" s="1" t="s">
        <v>121</v>
      </c>
      <c r="B3" s="1" t="s">
        <v>207</v>
      </c>
      <c r="C3" s="1" t="s">
        <v>11</v>
      </c>
      <c r="D3" s="1">
        <v>2015</v>
      </c>
      <c r="E3" s="8">
        <v>0.17</v>
      </c>
      <c r="F3" s="1" t="s">
        <v>208</v>
      </c>
      <c r="I3" s="1" t="s">
        <v>24</v>
      </c>
    </row>
    <row r="4" spans="1:9">
      <c r="A4" s="1" t="s">
        <v>121</v>
      </c>
      <c r="B4" s="1" t="s">
        <v>207</v>
      </c>
      <c r="C4" s="1" t="s">
        <v>11</v>
      </c>
      <c r="D4" s="1">
        <v>2016</v>
      </c>
      <c r="E4" s="8">
        <v>0.13</v>
      </c>
      <c r="F4" s="1" t="s">
        <v>208</v>
      </c>
      <c r="I4" s="1" t="s">
        <v>24</v>
      </c>
    </row>
    <row r="5" spans="1:9">
      <c r="A5" s="1" t="s">
        <v>121</v>
      </c>
      <c r="B5" s="1" t="s">
        <v>207</v>
      </c>
      <c r="C5" s="1" t="s">
        <v>11</v>
      </c>
      <c r="D5" s="1">
        <v>2017</v>
      </c>
      <c r="E5" s="8">
        <v>0.13</v>
      </c>
      <c r="F5" s="1" t="s">
        <v>208</v>
      </c>
      <c r="I5" s="1" t="s">
        <v>24</v>
      </c>
    </row>
    <row r="6" spans="1:9">
      <c r="A6" s="1" t="s">
        <v>121</v>
      </c>
      <c r="B6" s="1" t="s">
        <v>207</v>
      </c>
      <c r="C6" s="1" t="s">
        <v>11</v>
      </c>
      <c r="D6" s="1">
        <v>2018</v>
      </c>
      <c r="E6" s="8">
        <v>0.1</v>
      </c>
      <c r="F6" s="1" t="s">
        <v>208</v>
      </c>
      <c r="I6" s="1" t="s">
        <v>24</v>
      </c>
    </row>
    <row r="7" spans="1:9">
      <c r="A7" s="1" t="s">
        <v>121</v>
      </c>
      <c r="B7" s="1" t="s">
        <v>209</v>
      </c>
      <c r="C7" s="1" t="s">
        <v>11</v>
      </c>
      <c r="D7" s="1">
        <v>2014</v>
      </c>
      <c r="E7" s="8">
        <v>7.0000000000000007E-2</v>
      </c>
      <c r="F7" s="1" t="s">
        <v>208</v>
      </c>
      <c r="I7" s="1" t="s">
        <v>24</v>
      </c>
    </row>
    <row r="8" spans="1:9">
      <c r="A8" s="1" t="s">
        <v>121</v>
      </c>
      <c r="B8" s="1" t="s">
        <v>209</v>
      </c>
      <c r="C8" s="1" t="s">
        <v>11</v>
      </c>
      <c r="D8" s="1">
        <v>2015</v>
      </c>
      <c r="E8" s="8">
        <v>0.05</v>
      </c>
      <c r="F8" s="1" t="s">
        <v>208</v>
      </c>
      <c r="I8" s="1" t="s">
        <v>24</v>
      </c>
    </row>
    <row r="9" spans="1:9">
      <c r="A9" s="1" t="s">
        <v>121</v>
      </c>
      <c r="B9" s="1" t="s">
        <v>209</v>
      </c>
      <c r="C9" s="1" t="s">
        <v>11</v>
      </c>
      <c r="D9" s="1">
        <v>2016</v>
      </c>
      <c r="E9" s="8">
        <v>0.03</v>
      </c>
      <c r="F9" s="1" t="s">
        <v>208</v>
      </c>
      <c r="I9" s="1" t="s">
        <v>24</v>
      </c>
    </row>
    <row r="10" spans="1:9">
      <c r="A10" s="1" t="s">
        <v>121</v>
      </c>
      <c r="B10" s="1" t="s">
        <v>209</v>
      </c>
      <c r="C10" s="1" t="s">
        <v>11</v>
      </c>
      <c r="D10" s="1">
        <v>2017</v>
      </c>
      <c r="E10" s="8">
        <v>0.03</v>
      </c>
      <c r="F10" s="1" t="s">
        <v>208</v>
      </c>
      <c r="I10" s="1" t="s">
        <v>24</v>
      </c>
    </row>
    <row r="11" spans="1:9">
      <c r="A11" s="1" t="s">
        <v>121</v>
      </c>
      <c r="B11" s="1" t="s">
        <v>209</v>
      </c>
      <c r="C11" s="1" t="s">
        <v>11</v>
      </c>
      <c r="D11" s="1">
        <v>2018</v>
      </c>
      <c r="E11" s="8">
        <v>0.02</v>
      </c>
      <c r="F11" s="1" t="s">
        <v>208</v>
      </c>
      <c r="I11" s="1" t="s">
        <v>24</v>
      </c>
    </row>
    <row r="12" spans="1:9">
      <c r="A12" s="1" t="s">
        <v>121</v>
      </c>
      <c r="B12" s="1" t="s">
        <v>210</v>
      </c>
      <c r="C12" s="1" t="s">
        <v>11</v>
      </c>
      <c r="D12" s="1">
        <v>2014</v>
      </c>
      <c r="E12" s="8">
        <v>533</v>
      </c>
      <c r="F12" s="1" t="s">
        <v>208</v>
      </c>
      <c r="I12" s="1" t="s">
        <v>24</v>
      </c>
    </row>
    <row r="13" spans="1:9">
      <c r="A13" s="1" t="s">
        <v>121</v>
      </c>
      <c r="B13" s="1" t="s">
        <v>210</v>
      </c>
      <c r="C13" s="1" t="s">
        <v>11</v>
      </c>
      <c r="D13" s="1">
        <v>2015</v>
      </c>
      <c r="E13" s="8">
        <v>548</v>
      </c>
      <c r="F13" s="1" t="s">
        <v>208</v>
      </c>
      <c r="I13" s="1" t="s">
        <v>24</v>
      </c>
    </row>
    <row r="14" spans="1:9">
      <c r="A14" s="1" t="s">
        <v>121</v>
      </c>
      <c r="B14" s="1" t="s">
        <v>210</v>
      </c>
      <c r="C14" s="1" t="s">
        <v>11</v>
      </c>
      <c r="D14" s="1">
        <v>2016</v>
      </c>
      <c r="E14" s="8">
        <v>477</v>
      </c>
      <c r="F14" s="1" t="s">
        <v>208</v>
      </c>
      <c r="I14" s="1" t="s">
        <v>24</v>
      </c>
    </row>
    <row r="15" spans="1:9">
      <c r="A15" s="1" t="s">
        <v>121</v>
      </c>
      <c r="B15" s="1" t="s">
        <v>210</v>
      </c>
      <c r="C15" s="1" t="s">
        <v>11</v>
      </c>
      <c r="D15" s="1">
        <v>2017</v>
      </c>
      <c r="E15" s="8">
        <v>455</v>
      </c>
      <c r="F15" s="1" t="s">
        <v>208</v>
      </c>
      <c r="I15" s="1" t="s">
        <v>24</v>
      </c>
    </row>
    <row r="16" spans="1:9">
      <c r="A16" s="1" t="s">
        <v>121</v>
      </c>
      <c r="B16" s="1" t="s">
        <v>210</v>
      </c>
      <c r="C16" s="1" t="s">
        <v>11</v>
      </c>
      <c r="D16" s="1">
        <v>2018</v>
      </c>
      <c r="E16" s="8">
        <v>436</v>
      </c>
      <c r="F16" s="1" t="s">
        <v>208</v>
      </c>
      <c r="I16" s="1" t="s">
        <v>24</v>
      </c>
    </row>
    <row r="17" spans="1:9">
      <c r="A17" s="1" t="s">
        <v>147</v>
      </c>
      <c r="B17" s="1" t="s">
        <v>211</v>
      </c>
      <c r="C17" s="1" t="s">
        <v>11</v>
      </c>
      <c r="D17" s="1">
        <v>2014</v>
      </c>
      <c r="E17" s="8">
        <v>8</v>
      </c>
      <c r="F17" s="1" t="s">
        <v>212</v>
      </c>
      <c r="I17" s="1" t="s">
        <v>24</v>
      </c>
    </row>
    <row r="18" spans="1:9">
      <c r="A18" s="1" t="s">
        <v>147</v>
      </c>
      <c r="B18" s="1" t="s">
        <v>211</v>
      </c>
      <c r="C18" s="1" t="s">
        <v>11</v>
      </c>
      <c r="D18" s="1">
        <v>2015</v>
      </c>
      <c r="E18" s="8">
        <v>8.8000000000000007</v>
      </c>
      <c r="F18" s="1" t="s">
        <v>212</v>
      </c>
      <c r="I18" s="1" t="s">
        <v>24</v>
      </c>
    </row>
    <row r="19" spans="1:9">
      <c r="A19" s="1" t="s">
        <v>147</v>
      </c>
      <c r="B19" s="1" t="s">
        <v>211</v>
      </c>
      <c r="C19" s="1" t="s">
        <v>11</v>
      </c>
      <c r="D19" s="1">
        <v>2016</v>
      </c>
      <c r="E19" s="8">
        <v>6.2</v>
      </c>
      <c r="F19" s="1" t="s">
        <v>212</v>
      </c>
      <c r="I19" s="1" t="s">
        <v>24</v>
      </c>
    </row>
    <row r="20" spans="1:9">
      <c r="A20" s="1" t="s">
        <v>147</v>
      </c>
      <c r="B20" s="1" t="s">
        <v>211</v>
      </c>
      <c r="C20" s="1" t="s">
        <v>11</v>
      </c>
      <c r="D20" s="1">
        <v>2017</v>
      </c>
      <c r="E20" s="8">
        <v>4.4000000000000004</v>
      </c>
      <c r="F20" s="1" t="s">
        <v>212</v>
      </c>
      <c r="I20" s="1" t="s">
        <v>24</v>
      </c>
    </row>
    <row r="21" spans="1:9">
      <c r="A21" s="1" t="s">
        <v>147</v>
      </c>
      <c r="B21" s="1" t="s">
        <v>211</v>
      </c>
      <c r="C21" s="1" t="s">
        <v>11</v>
      </c>
      <c r="D21" s="1">
        <v>2018</v>
      </c>
      <c r="E21" s="8">
        <v>5.3</v>
      </c>
      <c r="F21" s="1" t="s">
        <v>212</v>
      </c>
      <c r="I21" s="1" t="s">
        <v>24</v>
      </c>
    </row>
    <row r="22" spans="1:9">
      <c r="A22" s="1" t="s">
        <v>147</v>
      </c>
      <c r="B22" s="1" t="s">
        <v>148</v>
      </c>
      <c r="C22" s="1" t="s">
        <v>11</v>
      </c>
      <c r="D22" s="1">
        <v>2014</v>
      </c>
      <c r="E22" s="8">
        <v>1752000000000</v>
      </c>
      <c r="F22" s="1" t="s">
        <v>149</v>
      </c>
      <c r="H22" s="1" t="s">
        <v>150</v>
      </c>
      <c r="I22" s="1" t="s">
        <v>24</v>
      </c>
    </row>
    <row r="23" spans="1:9">
      <c r="A23" s="1" t="s">
        <v>147</v>
      </c>
      <c r="B23" s="1" t="s">
        <v>148</v>
      </c>
      <c r="C23" s="1" t="s">
        <v>11</v>
      </c>
      <c r="D23" s="1">
        <v>2015</v>
      </c>
      <c r="E23" s="8">
        <v>1857000000000</v>
      </c>
      <c r="F23" s="1" t="s">
        <v>149</v>
      </c>
      <c r="H23" s="1" t="s">
        <v>150</v>
      </c>
      <c r="I23" s="1" t="s">
        <v>24</v>
      </c>
    </row>
    <row r="24" spans="1:9">
      <c r="A24" s="1" t="s">
        <v>147</v>
      </c>
      <c r="B24" s="1" t="s">
        <v>148</v>
      </c>
      <c r="C24" s="1" t="s">
        <v>11</v>
      </c>
      <c r="D24" s="1">
        <v>2016</v>
      </c>
      <c r="E24" s="8">
        <v>1960000000000</v>
      </c>
      <c r="F24" s="1" t="s">
        <v>149</v>
      </c>
      <c r="H24" s="1" t="s">
        <v>150</v>
      </c>
      <c r="I24" s="1" t="s">
        <v>24</v>
      </c>
    </row>
    <row r="25" spans="1:9">
      <c r="A25" s="1" t="s">
        <v>147</v>
      </c>
      <c r="B25" s="1" t="s">
        <v>148</v>
      </c>
      <c r="C25" s="1" t="s">
        <v>11</v>
      </c>
      <c r="D25" s="1">
        <v>2017</v>
      </c>
      <c r="E25" s="8">
        <v>2025000000000</v>
      </c>
      <c r="F25" s="1" t="s">
        <v>149</v>
      </c>
      <c r="H25" s="1" t="s">
        <v>150</v>
      </c>
      <c r="I25" s="1" t="s">
        <v>24</v>
      </c>
    </row>
    <row r="26" spans="1:9">
      <c r="A26" s="1" t="s">
        <v>147</v>
      </c>
      <c r="B26" s="1" t="s">
        <v>148</v>
      </c>
      <c r="C26" s="1" t="s">
        <v>11</v>
      </c>
      <c r="D26" s="1">
        <v>2018</v>
      </c>
      <c r="E26" s="8">
        <v>1960000000000</v>
      </c>
      <c r="F26" s="1" t="s">
        <v>149</v>
      </c>
      <c r="H26" s="1" t="s">
        <v>150</v>
      </c>
      <c r="I26" s="1" t="s">
        <v>24</v>
      </c>
    </row>
    <row r="27" spans="1:9">
      <c r="A27" s="1" t="s">
        <v>147</v>
      </c>
      <c r="B27" s="1" t="s">
        <v>213</v>
      </c>
      <c r="C27" s="1" t="s">
        <v>11</v>
      </c>
      <c r="D27" s="1">
        <v>2014</v>
      </c>
      <c r="E27" s="8">
        <v>27.4</v>
      </c>
      <c r="F27" s="1" t="s">
        <v>212</v>
      </c>
      <c r="I27" s="1" t="s">
        <v>24</v>
      </c>
    </row>
    <row r="28" spans="1:9">
      <c r="A28" s="1" t="s">
        <v>147</v>
      </c>
      <c r="B28" s="1" t="s">
        <v>213</v>
      </c>
      <c r="C28" s="1" t="s">
        <v>11</v>
      </c>
      <c r="D28" s="1">
        <v>2015</v>
      </c>
      <c r="E28" s="8">
        <v>41.2</v>
      </c>
      <c r="F28" s="1" t="s">
        <v>212</v>
      </c>
      <c r="I28" s="1" t="s">
        <v>24</v>
      </c>
    </row>
    <row r="29" spans="1:9">
      <c r="A29" s="1" t="s">
        <v>147</v>
      </c>
      <c r="B29" s="1" t="s">
        <v>213</v>
      </c>
      <c r="C29" s="1" t="s">
        <v>11</v>
      </c>
      <c r="D29" s="1">
        <v>2016</v>
      </c>
      <c r="E29" s="8">
        <v>28.5</v>
      </c>
      <c r="F29" s="1" t="s">
        <v>212</v>
      </c>
      <c r="I29" s="1" t="s">
        <v>24</v>
      </c>
    </row>
    <row r="30" spans="1:9">
      <c r="A30" s="1" t="s">
        <v>147</v>
      </c>
      <c r="B30" s="1" t="s">
        <v>213</v>
      </c>
      <c r="C30" s="1" t="s">
        <v>11</v>
      </c>
      <c r="D30" s="1">
        <v>2017</v>
      </c>
      <c r="E30" s="8">
        <v>30.1</v>
      </c>
      <c r="F30" s="1" t="s">
        <v>212</v>
      </c>
      <c r="I30" s="1" t="s">
        <v>24</v>
      </c>
    </row>
    <row r="31" spans="1:9">
      <c r="A31" s="1" t="s">
        <v>147</v>
      </c>
      <c r="B31" s="1" t="s">
        <v>213</v>
      </c>
      <c r="C31" s="1" t="s">
        <v>11</v>
      </c>
      <c r="D31" s="1">
        <v>2018</v>
      </c>
      <c r="E31" s="8">
        <v>29.5</v>
      </c>
      <c r="F31" s="1" t="s">
        <v>212</v>
      </c>
      <c r="I31" s="1" t="s">
        <v>24</v>
      </c>
    </row>
    <row r="32" spans="1:9">
      <c r="A32" s="1" t="s">
        <v>147</v>
      </c>
      <c r="B32" s="1" t="s">
        <v>148</v>
      </c>
      <c r="C32" s="1" t="s">
        <v>15</v>
      </c>
      <c r="D32" s="1">
        <v>2014</v>
      </c>
      <c r="E32" s="8">
        <v>13849574000000</v>
      </c>
      <c r="F32" s="1" t="s">
        <v>149</v>
      </c>
      <c r="G32" s="7" cm="1">
        <f t="array" ref="G32">E32/VLOOKUP(D32,net_generation!$A:$D,MATCH(C32,net_generation!$1:$1,FALSE),FALSE)</f>
        <v>77819.300442552718</v>
      </c>
      <c r="H32" s="1" t="s">
        <v>150</v>
      </c>
      <c r="I32" s="1" t="s">
        <v>151</v>
      </c>
    </row>
    <row r="33" spans="1:10">
      <c r="A33" s="1" t="s">
        <v>147</v>
      </c>
      <c r="B33" s="1" t="s">
        <v>148</v>
      </c>
      <c r="C33" s="1" t="s">
        <v>15</v>
      </c>
      <c r="D33" s="1">
        <v>2015</v>
      </c>
      <c r="E33" s="8">
        <v>13440737000000</v>
      </c>
      <c r="F33" s="1" t="s">
        <v>149</v>
      </c>
      <c r="G33" s="7" cm="1">
        <f t="array" ref="G33">E33/VLOOKUP(D33,net_generation!$A:$D,MATCH(C33,net_generation!$1:$1,FALSE),FALSE)</f>
        <v>74657.100252753575</v>
      </c>
      <c r="H33" s="1" t="s">
        <v>150</v>
      </c>
      <c r="I33" s="1" t="s">
        <v>152</v>
      </c>
    </row>
    <row r="34" spans="1:10">
      <c r="A34" s="1" t="s">
        <v>147</v>
      </c>
      <c r="B34" s="1" t="s">
        <v>148</v>
      </c>
      <c r="C34" s="1" t="s">
        <v>15</v>
      </c>
      <c r="D34" s="1">
        <v>2016</v>
      </c>
      <c r="E34" s="8">
        <v>13456099000000</v>
      </c>
      <c r="F34" s="1" t="s">
        <v>149</v>
      </c>
      <c r="G34" s="7" cm="1">
        <f t="array" ref="G34">E34/VLOOKUP(D34,net_generation!$A:$D,MATCH(C34,net_generation!$1:$1,FALSE),FALSE)</f>
        <v>72013.365029340392</v>
      </c>
      <c r="H34" s="1" t="s">
        <v>150</v>
      </c>
      <c r="I34" s="1" t="s">
        <v>153</v>
      </c>
    </row>
    <row r="35" spans="1:10">
      <c r="A35" s="1" t="s">
        <v>147</v>
      </c>
      <c r="B35" s="1" t="s">
        <v>148</v>
      </c>
      <c r="C35" s="1" t="s">
        <v>15</v>
      </c>
      <c r="D35" s="1">
        <v>2017</v>
      </c>
      <c r="E35" s="8">
        <v>15833678000000</v>
      </c>
      <c r="F35" s="1" t="s">
        <v>149</v>
      </c>
      <c r="G35" s="7" cm="1">
        <f t="array" ref="G35">E35/VLOOKUP(D35,net_generation!$A:$D,MATCH(C35,net_generation!$1:$1,FALSE),FALSE)</f>
        <v>81311.38956754285</v>
      </c>
      <c r="H35" s="1" t="s">
        <v>150</v>
      </c>
      <c r="I35" s="1" t="s">
        <v>154</v>
      </c>
    </row>
    <row r="36" spans="1:10">
      <c r="A36" s="1" t="s">
        <v>147</v>
      </c>
      <c r="B36" s="1" t="s">
        <v>148</v>
      </c>
      <c r="C36" s="1" t="s">
        <v>15</v>
      </c>
      <c r="D36" s="1">
        <v>2018</v>
      </c>
      <c r="E36" s="8">
        <v>18986062000000</v>
      </c>
      <c r="F36" s="1" t="s">
        <v>149</v>
      </c>
      <c r="G36" s="7" cm="1">
        <f t="array" ref="G36">E36/VLOOKUP(D36,net_generation!$A:$D,MATCH(C36,net_generation!$1:$1,FALSE),FALSE)</f>
        <v>97753.429030397892</v>
      </c>
      <c r="H36" s="1" t="s">
        <v>150</v>
      </c>
      <c r="I36" s="1" t="s">
        <v>23</v>
      </c>
    </row>
    <row r="37" spans="1:10">
      <c r="A37" s="1" t="s">
        <v>147</v>
      </c>
      <c r="B37" s="1" t="s">
        <v>148</v>
      </c>
      <c r="C37" s="1" t="s">
        <v>18</v>
      </c>
      <c r="D37" s="1">
        <v>2014</v>
      </c>
      <c r="E37" s="8">
        <v>5799000000000</v>
      </c>
      <c r="F37" s="1" t="s">
        <v>149</v>
      </c>
      <c r="G37" s="7" cm="1">
        <f t="array" ref="G37">E37/VLOOKUP(D37,net_generation!$A:$D,MATCH(C37,net_generation!$1:$1,FALSE),FALSE)</f>
        <v>23720.993017462479</v>
      </c>
      <c r="H37" s="1" t="s">
        <v>150</v>
      </c>
      <c r="I37" s="1" t="s">
        <v>139</v>
      </c>
    </row>
    <row r="38" spans="1:10">
      <c r="A38" s="1" t="s">
        <v>147</v>
      </c>
      <c r="B38" s="1" t="s">
        <v>148</v>
      </c>
      <c r="C38" s="1" t="s">
        <v>18</v>
      </c>
      <c r="D38" s="1">
        <v>2015</v>
      </c>
      <c r="E38" s="8">
        <v>6250000000000</v>
      </c>
      <c r="F38" s="1" t="s">
        <v>149</v>
      </c>
      <c r="G38" s="7" cm="1">
        <f t="array" ref="G38">E38/VLOOKUP(D38,net_generation!$A:$D,MATCH(C38,net_generation!$1:$1,FALSE),FALSE)</f>
        <v>28575.478124899986</v>
      </c>
      <c r="H38" s="1" t="s">
        <v>150</v>
      </c>
      <c r="I38" s="1" t="s">
        <v>140</v>
      </c>
    </row>
    <row r="39" spans="1:10">
      <c r="A39" s="1" t="s">
        <v>147</v>
      </c>
      <c r="B39" s="1" t="s">
        <v>148</v>
      </c>
      <c r="C39" s="1" t="s">
        <v>18</v>
      </c>
      <c r="D39" s="1">
        <v>2016</v>
      </c>
      <c r="E39" s="8">
        <v>5341000000000</v>
      </c>
      <c r="F39" s="1" t="s">
        <v>149</v>
      </c>
      <c r="G39" s="7" cm="1">
        <f t="array" ref="G39">E39/VLOOKUP(D39,net_generation!$A:$D,MATCH(C39,net_generation!$1:$1,FALSE),FALSE)</f>
        <v>24356.431128440159</v>
      </c>
      <c r="H39" s="1" t="s">
        <v>150</v>
      </c>
      <c r="I39" s="1" t="s">
        <v>141</v>
      </c>
    </row>
    <row r="40" spans="1:10">
      <c r="A40" s="1" t="s">
        <v>147</v>
      </c>
      <c r="B40" s="1" t="s">
        <v>148</v>
      </c>
      <c r="C40" s="1" t="s">
        <v>18</v>
      </c>
      <c r="D40" s="1">
        <v>2017</v>
      </c>
      <c r="E40" s="8">
        <v>5293000000000</v>
      </c>
      <c r="F40" s="1" t="s">
        <v>149</v>
      </c>
      <c r="G40" s="7" cm="1">
        <f t="array" ref="G40">E40/VLOOKUP(D40,net_generation!$A:$D,MATCH(C40,net_generation!$1:$1,FALSE),FALSE)</f>
        <v>23288.762171271181</v>
      </c>
      <c r="H40" s="1" t="s">
        <v>150</v>
      </c>
      <c r="I40" s="1" t="s">
        <v>142</v>
      </c>
    </row>
    <row r="41" spans="1:10" s="13" customFormat="1">
      <c r="A41" s="13" t="s">
        <v>147</v>
      </c>
      <c r="B41" s="13" t="s">
        <v>148</v>
      </c>
      <c r="C41" s="13" t="s">
        <v>18</v>
      </c>
      <c r="D41" s="13">
        <v>2018</v>
      </c>
      <c r="E41" s="8">
        <v>4991000000000</v>
      </c>
      <c r="F41" s="13" t="s">
        <v>149</v>
      </c>
      <c r="G41" s="7" cm="1">
        <f t="array" ref="G41">E41/VLOOKUP(D41,net_generation!$A:$D,MATCH(C41,net_generation!$1:$1,FALSE),FALSE)</f>
        <v>21408.839779005524</v>
      </c>
      <c r="H41" s="1" t="s">
        <v>150</v>
      </c>
      <c r="I41" s="16" t="s">
        <v>19</v>
      </c>
      <c r="J41" s="16"/>
    </row>
    <row r="42" spans="1:10" s="49" customFormat="1">
      <c r="A42" s="45" t="s">
        <v>147</v>
      </c>
      <c r="B42" s="45" t="s">
        <v>155</v>
      </c>
      <c r="C42" s="45" t="s">
        <v>11</v>
      </c>
      <c r="D42" s="45">
        <v>2014</v>
      </c>
      <c r="E42" s="46">
        <v>1.6</v>
      </c>
      <c r="F42" s="47" t="s">
        <v>156</v>
      </c>
      <c r="G42" s="48">
        <v>1.6</v>
      </c>
      <c r="H42" s="47" t="s">
        <v>156</v>
      </c>
      <c r="I42" s="45" t="s">
        <v>24</v>
      </c>
    </row>
    <row r="43" spans="1:10" s="49" customFormat="1">
      <c r="A43" s="45" t="s">
        <v>147</v>
      </c>
      <c r="B43" s="45" t="s">
        <v>155</v>
      </c>
      <c r="C43" s="45" t="s">
        <v>11</v>
      </c>
      <c r="D43" s="45">
        <v>2015</v>
      </c>
      <c r="E43" s="46">
        <v>2.2000000000000002</v>
      </c>
      <c r="F43" s="47" t="s">
        <v>156</v>
      </c>
      <c r="G43" s="48">
        <v>2.2000000000000002</v>
      </c>
      <c r="H43" s="47" t="s">
        <v>156</v>
      </c>
      <c r="I43" s="45" t="s">
        <v>24</v>
      </c>
    </row>
    <row r="44" spans="1:10" s="49" customFormat="1">
      <c r="A44" s="45" t="s">
        <v>147</v>
      </c>
      <c r="B44" s="45" t="s">
        <v>155</v>
      </c>
      <c r="C44" s="45" t="s">
        <v>11</v>
      </c>
      <c r="D44" s="45">
        <v>2016</v>
      </c>
      <c r="E44" s="46">
        <v>1.5</v>
      </c>
      <c r="F44" s="47" t="s">
        <v>156</v>
      </c>
      <c r="G44" s="48">
        <v>1.5</v>
      </c>
      <c r="H44" s="47" t="s">
        <v>156</v>
      </c>
      <c r="I44" s="45" t="s">
        <v>24</v>
      </c>
    </row>
    <row r="45" spans="1:10" s="49" customFormat="1">
      <c r="A45" s="45" t="s">
        <v>147</v>
      </c>
      <c r="B45" s="45" t="s">
        <v>155</v>
      </c>
      <c r="C45" s="45" t="s">
        <v>11</v>
      </c>
      <c r="D45" s="45">
        <v>2017</v>
      </c>
      <c r="E45" s="46">
        <v>1.5</v>
      </c>
      <c r="F45" s="47" t="s">
        <v>156</v>
      </c>
      <c r="G45" s="48">
        <v>1.5</v>
      </c>
      <c r="H45" s="47" t="s">
        <v>156</v>
      </c>
      <c r="I45" s="45" t="s">
        <v>24</v>
      </c>
    </row>
    <row r="46" spans="1:10" s="49" customFormat="1">
      <c r="A46" s="45" t="s">
        <v>147</v>
      </c>
      <c r="B46" s="45" t="s">
        <v>155</v>
      </c>
      <c r="C46" s="45" t="s">
        <v>11</v>
      </c>
      <c r="D46" s="45">
        <v>2018</v>
      </c>
      <c r="E46" s="46">
        <v>1.5</v>
      </c>
      <c r="F46" s="47" t="s">
        <v>156</v>
      </c>
      <c r="G46" s="48">
        <v>1.5</v>
      </c>
      <c r="H46" s="47" t="s">
        <v>156</v>
      </c>
      <c r="I46" s="45" t="s">
        <v>24</v>
      </c>
    </row>
    <row r="47" spans="1:10" s="49" customFormat="1">
      <c r="A47" s="45" t="s">
        <v>147</v>
      </c>
      <c r="B47" s="45" t="s">
        <v>155</v>
      </c>
      <c r="C47" s="45" t="s">
        <v>15</v>
      </c>
      <c r="D47" s="45">
        <v>2014</v>
      </c>
      <c r="E47" s="48">
        <f>233408/13849574 * 100</f>
        <v>1.6853081546046109</v>
      </c>
      <c r="F47" s="47" t="s">
        <v>156</v>
      </c>
      <c r="G47" s="48">
        <v>1.6853081546046109</v>
      </c>
      <c r="H47" s="47" t="s">
        <v>156</v>
      </c>
      <c r="I47" s="50" t="s">
        <v>151</v>
      </c>
    </row>
    <row r="48" spans="1:10" s="49" customFormat="1">
      <c r="A48" s="45" t="s">
        <v>147</v>
      </c>
      <c r="B48" s="45" t="s">
        <v>155</v>
      </c>
      <c r="C48" s="45" t="s">
        <v>15</v>
      </c>
      <c r="D48" s="45">
        <v>2015</v>
      </c>
      <c r="E48" s="48">
        <f>250513/13440737 *100</f>
        <v>1.8638338061372675</v>
      </c>
      <c r="F48" s="47" t="s">
        <v>156</v>
      </c>
      <c r="G48" s="48">
        <v>1.8638338061372675</v>
      </c>
      <c r="H48" s="47" t="s">
        <v>156</v>
      </c>
      <c r="I48" s="50" t="s">
        <v>152</v>
      </c>
    </row>
    <row r="49" spans="1:13" s="49" customFormat="1">
      <c r="A49" s="45" t="s">
        <v>147</v>
      </c>
      <c r="B49" s="45" t="s">
        <v>155</v>
      </c>
      <c r="C49" s="45" t="s">
        <v>15</v>
      </c>
      <c r="D49" s="45">
        <v>2016</v>
      </c>
      <c r="E49" s="48">
        <f>234351/13456099 *100</f>
        <v>1.741596877371369</v>
      </c>
      <c r="F49" s="47" t="s">
        <v>156</v>
      </c>
      <c r="G49" s="48">
        <v>1.741596877371369</v>
      </c>
      <c r="H49" s="47" t="s">
        <v>156</v>
      </c>
      <c r="I49" s="50" t="s">
        <v>153</v>
      </c>
    </row>
    <row r="50" spans="1:13" s="49" customFormat="1">
      <c r="A50" s="45" t="s">
        <v>147</v>
      </c>
      <c r="B50" s="45" t="s">
        <v>155</v>
      </c>
      <c r="C50" s="45" t="s">
        <v>15</v>
      </c>
      <c r="D50" s="45">
        <v>2017</v>
      </c>
      <c r="E50" s="48">
        <f>221516/15833678 *100</f>
        <v>1.3990179666404736</v>
      </c>
      <c r="F50" s="47" t="s">
        <v>156</v>
      </c>
      <c r="G50" s="48">
        <v>1.3990179666404736</v>
      </c>
      <c r="H50" s="47" t="s">
        <v>156</v>
      </c>
      <c r="I50" s="50" t="s">
        <v>154</v>
      </c>
    </row>
    <row r="51" spans="1:13" s="49" customFormat="1">
      <c r="A51" s="45" t="s">
        <v>147</v>
      </c>
      <c r="B51" s="45" t="s">
        <v>155</v>
      </c>
      <c r="C51" s="45" t="s">
        <v>15</v>
      </c>
      <c r="D51" s="45">
        <v>2018</v>
      </c>
      <c r="E51" s="48">
        <f>228422/18986062 *100</f>
        <v>1.2031036241217372</v>
      </c>
      <c r="F51" s="47" t="s">
        <v>156</v>
      </c>
      <c r="G51" s="48">
        <v>1.2031036241217372</v>
      </c>
      <c r="H51" s="47" t="s">
        <v>156</v>
      </c>
      <c r="I51" s="50" t="s">
        <v>23</v>
      </c>
    </row>
    <row r="52" spans="1:13" s="49" customFormat="1">
      <c r="A52" s="45" t="s">
        <v>147</v>
      </c>
      <c r="B52" s="45" t="s">
        <v>155</v>
      </c>
      <c r="C52" s="45" t="s">
        <v>18</v>
      </c>
      <c r="D52" s="45">
        <v>2014</v>
      </c>
      <c r="E52" s="48">
        <f>93/5799*100</f>
        <v>1.603724780134506</v>
      </c>
      <c r="F52" s="47" t="s">
        <v>156</v>
      </c>
      <c r="G52" s="48">
        <v>1.603724780134506</v>
      </c>
      <c r="H52" s="47" t="s">
        <v>156</v>
      </c>
      <c r="I52" s="50" t="s">
        <v>139</v>
      </c>
    </row>
    <row r="53" spans="1:13" s="49" customFormat="1">
      <c r="A53" s="45" t="s">
        <v>147</v>
      </c>
      <c r="B53" s="45" t="s">
        <v>155</v>
      </c>
      <c r="C53" s="45" t="s">
        <v>18</v>
      </c>
      <c r="D53" s="45">
        <v>2015</v>
      </c>
      <c r="E53" s="48">
        <f>79/6250*100</f>
        <v>1.264</v>
      </c>
      <c r="F53" s="47" t="s">
        <v>156</v>
      </c>
      <c r="G53" s="48">
        <v>1.264</v>
      </c>
      <c r="H53" s="47" t="s">
        <v>156</v>
      </c>
      <c r="I53" s="50" t="s">
        <v>140</v>
      </c>
    </row>
    <row r="54" spans="1:13" s="49" customFormat="1">
      <c r="A54" s="45" t="s">
        <v>147</v>
      </c>
      <c r="B54" s="45" t="s">
        <v>155</v>
      </c>
      <c r="C54" s="45" t="s">
        <v>18</v>
      </c>
      <c r="D54" s="45">
        <v>2016</v>
      </c>
      <c r="E54" s="48">
        <f>74/5341*100</f>
        <v>1.3855083317730763</v>
      </c>
      <c r="F54" s="47" t="s">
        <v>156</v>
      </c>
      <c r="G54" s="48">
        <v>1.3855083317730763</v>
      </c>
      <c r="H54" s="47" t="s">
        <v>156</v>
      </c>
      <c r="I54" s="50" t="s">
        <v>141</v>
      </c>
    </row>
    <row r="55" spans="1:13" s="49" customFormat="1">
      <c r="A55" s="45" t="s">
        <v>147</v>
      </c>
      <c r="B55" s="45" t="s">
        <v>155</v>
      </c>
      <c r="C55" s="45" t="s">
        <v>18</v>
      </c>
      <c r="D55" s="45">
        <v>2017</v>
      </c>
      <c r="E55" s="48">
        <f>71/5293*100</f>
        <v>1.3413942943510295</v>
      </c>
      <c r="F55" s="47" t="s">
        <v>156</v>
      </c>
      <c r="G55" s="48">
        <v>1.3413942943510295</v>
      </c>
      <c r="H55" s="47" t="s">
        <v>156</v>
      </c>
      <c r="I55" s="50" t="s">
        <v>142</v>
      </c>
    </row>
    <row r="56" spans="1:13" s="49" customFormat="1">
      <c r="A56" s="45" t="s">
        <v>147</v>
      </c>
      <c r="B56" s="45" t="s">
        <v>155</v>
      </c>
      <c r="C56" s="45" t="s">
        <v>18</v>
      </c>
      <c r="D56" s="45">
        <v>2018</v>
      </c>
      <c r="E56" s="48">
        <f>84/4991*100</f>
        <v>1.6830294530154277</v>
      </c>
      <c r="F56" s="47" t="s">
        <v>156</v>
      </c>
      <c r="G56" s="48">
        <v>1.6830294530154277</v>
      </c>
      <c r="H56" s="47" t="s">
        <v>156</v>
      </c>
      <c r="I56" s="50" t="s">
        <v>19</v>
      </c>
    </row>
    <row r="57" spans="1:13" s="13" customFormat="1">
      <c r="A57" s="1" t="s">
        <v>135</v>
      </c>
      <c r="B57" s="1" t="s">
        <v>136</v>
      </c>
      <c r="C57" s="1" t="s">
        <v>11</v>
      </c>
      <c r="D57" s="1">
        <v>2014</v>
      </c>
      <c r="E57" s="14">
        <v>0</v>
      </c>
      <c r="F57" s="1" t="s">
        <v>137</v>
      </c>
      <c r="G57" s="7"/>
      <c r="H57" s="1" t="s">
        <v>136</v>
      </c>
      <c r="I57" s="1" t="s">
        <v>24</v>
      </c>
    </row>
    <row r="58" spans="1:13" s="13" customFormat="1">
      <c r="A58" s="1" t="s">
        <v>135</v>
      </c>
      <c r="B58" s="1" t="s">
        <v>136</v>
      </c>
      <c r="C58" s="1" t="s">
        <v>11</v>
      </c>
      <c r="D58" s="1">
        <v>2015</v>
      </c>
      <c r="E58" s="14">
        <v>2</v>
      </c>
      <c r="F58" s="1" t="s">
        <v>137</v>
      </c>
      <c r="G58" s="7"/>
      <c r="H58" s="1" t="s">
        <v>136</v>
      </c>
      <c r="I58" s="1" t="s">
        <v>24</v>
      </c>
      <c r="M58" s="20"/>
    </row>
    <row r="59" spans="1:13" s="13" customFormat="1">
      <c r="A59" s="1" t="s">
        <v>135</v>
      </c>
      <c r="B59" s="1" t="s">
        <v>136</v>
      </c>
      <c r="C59" s="1" t="s">
        <v>11</v>
      </c>
      <c r="D59" s="1">
        <v>2016</v>
      </c>
      <c r="E59" s="14">
        <v>0</v>
      </c>
      <c r="F59" s="1" t="s">
        <v>137</v>
      </c>
      <c r="G59" s="7"/>
      <c r="H59" s="1" t="s">
        <v>136</v>
      </c>
      <c r="I59" s="1" t="s">
        <v>24</v>
      </c>
    </row>
    <row r="60" spans="1:13" s="13" customFormat="1">
      <c r="A60" s="1" t="s">
        <v>135</v>
      </c>
      <c r="B60" s="1" t="s">
        <v>136</v>
      </c>
      <c r="C60" s="1" t="s">
        <v>11</v>
      </c>
      <c r="D60" s="1">
        <v>2017</v>
      </c>
      <c r="E60" s="14">
        <v>1</v>
      </c>
      <c r="F60" s="1" t="s">
        <v>137</v>
      </c>
      <c r="G60" s="7"/>
      <c r="H60" s="1" t="s">
        <v>136</v>
      </c>
      <c r="I60" s="1" t="s">
        <v>24</v>
      </c>
    </row>
    <row r="61" spans="1:13" s="13" customFormat="1">
      <c r="A61" s="1" t="s">
        <v>135</v>
      </c>
      <c r="B61" s="1" t="s">
        <v>136</v>
      </c>
      <c r="C61" s="1" t="s">
        <v>11</v>
      </c>
      <c r="D61" s="1">
        <v>2018</v>
      </c>
      <c r="E61" s="14">
        <v>0</v>
      </c>
      <c r="F61" s="1" t="s">
        <v>137</v>
      </c>
      <c r="G61" s="7"/>
      <c r="H61" s="1" t="s">
        <v>136</v>
      </c>
      <c r="I61" s="1" t="s">
        <v>24</v>
      </c>
    </row>
    <row r="62" spans="1:13" s="13" customFormat="1">
      <c r="A62" s="1" t="s">
        <v>135</v>
      </c>
      <c r="B62" s="1" t="s">
        <v>136</v>
      </c>
      <c r="C62" s="1" t="s">
        <v>15</v>
      </c>
      <c r="D62" s="1">
        <v>2014</v>
      </c>
      <c r="E62" s="14">
        <v>592</v>
      </c>
      <c r="F62" s="1" t="s">
        <v>137</v>
      </c>
      <c r="G62" s="7"/>
      <c r="H62" s="1" t="s">
        <v>136</v>
      </c>
      <c r="I62" s="16" t="s">
        <v>17</v>
      </c>
    </row>
    <row r="63" spans="1:13" s="13" customFormat="1">
      <c r="A63" s="1" t="s">
        <v>135</v>
      </c>
      <c r="B63" s="1" t="s">
        <v>136</v>
      </c>
      <c r="C63" s="1" t="s">
        <v>15</v>
      </c>
      <c r="D63" s="1">
        <v>2015</v>
      </c>
      <c r="E63" s="14">
        <v>726</v>
      </c>
      <c r="F63" s="1" t="s">
        <v>137</v>
      </c>
      <c r="G63" s="7"/>
      <c r="H63" s="1" t="s">
        <v>136</v>
      </c>
      <c r="I63" s="16" t="s">
        <v>17</v>
      </c>
    </row>
    <row r="64" spans="1:13" s="13" customFormat="1">
      <c r="A64" s="1" t="s">
        <v>135</v>
      </c>
      <c r="B64" s="1" t="s">
        <v>136</v>
      </c>
      <c r="C64" s="1" t="s">
        <v>15</v>
      </c>
      <c r="D64" s="1">
        <v>2016</v>
      </c>
      <c r="E64" s="14">
        <v>777</v>
      </c>
      <c r="F64" s="1" t="s">
        <v>137</v>
      </c>
      <c r="G64" s="7"/>
      <c r="H64" s="1" t="s">
        <v>136</v>
      </c>
      <c r="I64" s="16" t="s">
        <v>17</v>
      </c>
    </row>
    <row r="65" spans="1:9" s="13" customFormat="1">
      <c r="A65" s="1" t="s">
        <v>135</v>
      </c>
      <c r="B65" s="1" t="s">
        <v>136</v>
      </c>
      <c r="C65" s="1" t="s">
        <v>15</v>
      </c>
      <c r="D65" s="1">
        <v>2017</v>
      </c>
      <c r="E65" s="14">
        <v>746</v>
      </c>
      <c r="F65" s="1" t="s">
        <v>137</v>
      </c>
      <c r="G65" s="7"/>
      <c r="H65" s="1" t="s">
        <v>136</v>
      </c>
      <c r="I65" s="16" t="s">
        <v>17</v>
      </c>
    </row>
    <row r="66" spans="1:9" s="13" customFormat="1">
      <c r="A66" s="1" t="s">
        <v>135</v>
      </c>
      <c r="B66" s="1" t="s">
        <v>136</v>
      </c>
      <c r="C66" s="1" t="s">
        <v>15</v>
      </c>
      <c r="D66" s="1">
        <v>2018</v>
      </c>
      <c r="E66" s="14">
        <v>805</v>
      </c>
      <c r="F66" s="1" t="s">
        <v>137</v>
      </c>
      <c r="G66" s="7"/>
      <c r="H66" s="1" t="s">
        <v>136</v>
      </c>
      <c r="I66" s="16" t="s">
        <v>17</v>
      </c>
    </row>
    <row r="67" spans="1:9" s="13" customFormat="1">
      <c r="A67" s="1" t="s">
        <v>135</v>
      </c>
      <c r="B67" s="1" t="s">
        <v>136</v>
      </c>
      <c r="C67" s="1" t="s">
        <v>18</v>
      </c>
      <c r="D67" s="1">
        <v>2014</v>
      </c>
      <c r="E67" s="14">
        <v>26</v>
      </c>
      <c r="F67" s="1" t="s">
        <v>137</v>
      </c>
      <c r="G67" s="7"/>
      <c r="H67" s="1" t="s">
        <v>136</v>
      </c>
      <c r="I67" s="16" t="s">
        <v>139</v>
      </c>
    </row>
    <row r="68" spans="1:9" s="13" customFormat="1">
      <c r="A68" s="1" t="s">
        <v>135</v>
      </c>
      <c r="B68" s="1" t="s">
        <v>136</v>
      </c>
      <c r="C68" s="1" t="s">
        <v>18</v>
      </c>
      <c r="D68" s="1">
        <v>2015</v>
      </c>
      <c r="E68" s="14">
        <v>23</v>
      </c>
      <c r="F68" s="1" t="s">
        <v>137</v>
      </c>
      <c r="G68" s="7"/>
      <c r="H68" s="1" t="s">
        <v>136</v>
      </c>
      <c r="I68" s="16" t="s">
        <v>140</v>
      </c>
    </row>
    <row r="69" spans="1:9" s="13" customFormat="1">
      <c r="A69" s="1" t="s">
        <v>135</v>
      </c>
      <c r="B69" s="1" t="s">
        <v>136</v>
      </c>
      <c r="C69" s="1" t="s">
        <v>18</v>
      </c>
      <c r="D69" s="1">
        <v>2016</v>
      </c>
      <c r="E69" s="14">
        <v>23</v>
      </c>
      <c r="F69" s="1" t="s">
        <v>137</v>
      </c>
      <c r="G69" s="7"/>
      <c r="H69" s="1" t="s">
        <v>136</v>
      </c>
      <c r="I69" s="16" t="s">
        <v>141</v>
      </c>
    </row>
    <row r="70" spans="1:9" s="13" customFormat="1">
      <c r="A70" s="1" t="s">
        <v>135</v>
      </c>
      <c r="B70" s="1" t="s">
        <v>136</v>
      </c>
      <c r="C70" s="1" t="s">
        <v>18</v>
      </c>
      <c r="D70" s="1">
        <v>2017</v>
      </c>
      <c r="E70" s="14">
        <v>18</v>
      </c>
      <c r="F70" s="1" t="s">
        <v>137</v>
      </c>
      <c r="G70" s="7"/>
      <c r="H70" s="1" t="s">
        <v>136</v>
      </c>
      <c r="I70" s="16" t="s">
        <v>142</v>
      </c>
    </row>
    <row r="71" spans="1:9" s="18" customFormat="1">
      <c r="A71" s="17" t="s">
        <v>135</v>
      </c>
      <c r="B71" s="17" t="s">
        <v>136</v>
      </c>
      <c r="C71" s="17" t="s">
        <v>18</v>
      </c>
      <c r="D71" s="17">
        <v>2018</v>
      </c>
      <c r="E71" s="22">
        <v>28</v>
      </c>
      <c r="F71" s="17" t="s">
        <v>137</v>
      </c>
      <c r="G71" s="38"/>
      <c r="H71" s="1" t="s">
        <v>136</v>
      </c>
      <c r="I71" s="29" t="s">
        <v>19</v>
      </c>
    </row>
    <row r="72" spans="1:9" s="13" customFormat="1">
      <c r="A72" s="1" t="s">
        <v>135</v>
      </c>
      <c r="B72" s="1" t="s">
        <v>145</v>
      </c>
      <c r="C72" s="1" t="s">
        <v>11</v>
      </c>
      <c r="D72" s="1">
        <v>2017</v>
      </c>
      <c r="E72" s="14">
        <v>105.2</v>
      </c>
      <c r="F72" s="1" t="s">
        <v>129</v>
      </c>
      <c r="G72" s="7"/>
      <c r="H72" s="1" t="s">
        <v>130</v>
      </c>
      <c r="I72" s="1" t="s">
        <v>24</v>
      </c>
    </row>
    <row r="73" spans="1:9">
      <c r="A73" s="1" t="s">
        <v>135</v>
      </c>
      <c r="B73" s="1" t="s">
        <v>145</v>
      </c>
      <c r="C73" s="1" t="s">
        <v>11</v>
      </c>
      <c r="D73" s="1">
        <v>2018</v>
      </c>
      <c r="E73" s="8">
        <v>222.2</v>
      </c>
      <c r="F73" s="1" t="s">
        <v>129</v>
      </c>
      <c r="H73" s="1" t="s">
        <v>130</v>
      </c>
      <c r="I73" s="1" t="s">
        <v>24</v>
      </c>
    </row>
    <row r="74" spans="1:9" s="13" customFormat="1">
      <c r="A74" s="1" t="s">
        <v>135</v>
      </c>
      <c r="B74" s="1" t="s">
        <v>143</v>
      </c>
      <c r="C74" s="1" t="s">
        <v>11</v>
      </c>
      <c r="D74" s="1">
        <v>2017</v>
      </c>
      <c r="E74" s="14">
        <v>37207.5</v>
      </c>
      <c r="F74" s="1" t="s">
        <v>129</v>
      </c>
      <c r="G74" s="7"/>
      <c r="H74" s="1" t="s">
        <v>130</v>
      </c>
      <c r="I74" s="1" t="s">
        <v>24</v>
      </c>
    </row>
    <row r="75" spans="1:9" s="13" customFormat="1">
      <c r="A75" s="1" t="s">
        <v>135</v>
      </c>
      <c r="B75" s="1" t="s">
        <v>143</v>
      </c>
      <c r="C75" s="1" t="s">
        <v>11</v>
      </c>
      <c r="D75" s="1">
        <v>2018</v>
      </c>
      <c r="E75" s="14">
        <v>147153.20000000001</v>
      </c>
      <c r="F75" s="1" t="s">
        <v>129</v>
      </c>
      <c r="G75" s="7"/>
      <c r="H75" s="1" t="s">
        <v>130</v>
      </c>
      <c r="I75" s="1" t="s">
        <v>24</v>
      </c>
    </row>
    <row r="76" spans="1:9" s="13" customFormat="1">
      <c r="A76" s="1" t="s">
        <v>135</v>
      </c>
      <c r="B76" s="1" t="s">
        <v>143</v>
      </c>
      <c r="C76" s="1" t="s">
        <v>18</v>
      </c>
      <c r="D76" s="1">
        <v>2015</v>
      </c>
      <c r="E76" s="14">
        <v>88000</v>
      </c>
      <c r="F76" s="1" t="s">
        <v>129</v>
      </c>
      <c r="G76" s="7"/>
      <c r="H76" s="1" t="s">
        <v>130</v>
      </c>
      <c r="I76" s="1" t="s">
        <v>144</v>
      </c>
    </row>
    <row r="77" spans="1:9" s="13" customFormat="1">
      <c r="A77" s="1" t="s">
        <v>135</v>
      </c>
      <c r="B77" s="1" t="s">
        <v>143</v>
      </c>
      <c r="C77" s="1" t="s">
        <v>18</v>
      </c>
      <c r="D77" s="1">
        <v>2016</v>
      </c>
      <c r="E77" s="14">
        <v>102000</v>
      </c>
      <c r="F77" s="1" t="s">
        <v>129</v>
      </c>
      <c r="G77" s="7"/>
      <c r="H77" s="1" t="s">
        <v>130</v>
      </c>
      <c r="I77" s="1" t="s">
        <v>144</v>
      </c>
    </row>
    <row r="78" spans="1:9" s="13" customFormat="1">
      <c r="A78" s="1" t="s">
        <v>135</v>
      </c>
      <c r="B78" s="1" t="s">
        <v>143</v>
      </c>
      <c r="C78" s="1" t="s">
        <v>18</v>
      </c>
      <c r="D78" s="1">
        <v>2017</v>
      </c>
      <c r="E78" s="14">
        <v>109000</v>
      </c>
      <c r="F78" s="1" t="s">
        <v>129</v>
      </c>
      <c r="G78" s="7"/>
      <c r="H78" s="1" t="s">
        <v>130</v>
      </c>
      <c r="I78" s="1" t="s">
        <v>144</v>
      </c>
    </row>
    <row r="79" spans="1:9" s="13" customFormat="1">
      <c r="A79" s="1" t="s">
        <v>135</v>
      </c>
      <c r="B79" s="1" t="s">
        <v>143</v>
      </c>
      <c r="C79" s="1" t="s">
        <v>18</v>
      </c>
      <c r="D79" s="1">
        <v>2018</v>
      </c>
      <c r="E79" s="14">
        <v>104000</v>
      </c>
      <c r="F79" s="1" t="s">
        <v>129</v>
      </c>
      <c r="G79" s="7"/>
      <c r="H79" s="1" t="s">
        <v>130</v>
      </c>
      <c r="I79" s="1" t="s">
        <v>144</v>
      </c>
    </row>
    <row r="80" spans="1:9" s="13" customFormat="1">
      <c r="A80" s="1" t="s">
        <v>135</v>
      </c>
      <c r="B80" s="1" t="s">
        <v>145</v>
      </c>
      <c r="C80" s="1" t="s">
        <v>18</v>
      </c>
      <c r="D80" s="1">
        <v>2015</v>
      </c>
      <c r="E80" s="14">
        <v>317</v>
      </c>
      <c r="F80" s="1" t="s">
        <v>129</v>
      </c>
      <c r="G80" s="7"/>
      <c r="H80" s="1" t="s">
        <v>130</v>
      </c>
      <c r="I80" s="1" t="s">
        <v>144</v>
      </c>
    </row>
    <row r="81" spans="1:9" s="13" customFormat="1">
      <c r="A81" s="1" t="s">
        <v>135</v>
      </c>
      <c r="B81" s="1" t="s">
        <v>145</v>
      </c>
      <c r="C81" s="1" t="s">
        <v>18</v>
      </c>
      <c r="D81" s="1">
        <v>2016</v>
      </c>
      <c r="E81" s="14">
        <v>1195</v>
      </c>
      <c r="F81" s="1" t="s">
        <v>129</v>
      </c>
      <c r="G81" s="7"/>
      <c r="H81" s="1" t="s">
        <v>130</v>
      </c>
      <c r="I81" s="1" t="s">
        <v>144</v>
      </c>
    </row>
    <row r="82" spans="1:9" s="13" customFormat="1">
      <c r="A82" s="1" t="s">
        <v>135</v>
      </c>
      <c r="B82" s="1" t="s">
        <v>145</v>
      </c>
      <c r="C82" s="1" t="s">
        <v>18</v>
      </c>
      <c r="D82" s="1">
        <v>2017</v>
      </c>
      <c r="E82" s="14">
        <v>126</v>
      </c>
      <c r="F82" s="1" t="s">
        <v>129</v>
      </c>
      <c r="G82" s="7"/>
      <c r="H82" s="1" t="s">
        <v>130</v>
      </c>
      <c r="I82" s="1" t="s">
        <v>144</v>
      </c>
    </row>
    <row r="83" spans="1:9" s="13" customFormat="1">
      <c r="A83" s="1" t="s">
        <v>135</v>
      </c>
      <c r="B83" s="1" t="s">
        <v>145</v>
      </c>
      <c r="C83" s="1" t="s">
        <v>18</v>
      </c>
      <c r="D83" s="1">
        <v>2018</v>
      </c>
      <c r="E83" s="14">
        <v>281</v>
      </c>
      <c r="F83" s="1" t="s">
        <v>129</v>
      </c>
      <c r="G83" s="7"/>
      <c r="H83" s="1" t="s">
        <v>130</v>
      </c>
      <c r="I83" s="1" t="s">
        <v>144</v>
      </c>
    </row>
    <row r="84" spans="1:9" s="13" customFormat="1">
      <c r="A84" s="1" t="s">
        <v>135</v>
      </c>
      <c r="B84" s="1" t="s">
        <v>143</v>
      </c>
      <c r="C84" s="1" t="s">
        <v>15</v>
      </c>
      <c r="D84" s="1"/>
      <c r="E84" s="14"/>
      <c r="F84" s="1"/>
      <c r="G84" s="7"/>
      <c r="H84" s="1" t="s">
        <v>130</v>
      </c>
      <c r="I84" s="1"/>
    </row>
    <row r="85" spans="1:9" s="13" customFormat="1">
      <c r="A85" s="1" t="s">
        <v>135</v>
      </c>
      <c r="B85" s="1" t="s">
        <v>143</v>
      </c>
      <c r="C85" s="1"/>
      <c r="D85" s="1"/>
      <c r="E85" s="14"/>
      <c r="F85" s="1"/>
      <c r="G85" s="7"/>
      <c r="H85" s="1" t="s">
        <v>130</v>
      </c>
      <c r="I85" s="1"/>
    </row>
    <row r="86" spans="1:9" s="13" customFormat="1">
      <c r="A86" s="1" t="s">
        <v>135</v>
      </c>
      <c r="B86" s="1" t="s">
        <v>143</v>
      </c>
      <c r="C86" s="1"/>
      <c r="D86" s="1"/>
      <c r="E86" s="14"/>
      <c r="F86" s="1"/>
      <c r="G86" s="7"/>
      <c r="H86" s="1" t="s">
        <v>130</v>
      </c>
      <c r="I86" s="1"/>
    </row>
    <row r="87" spans="1:9" s="13" customFormat="1">
      <c r="A87" s="1" t="s">
        <v>135</v>
      </c>
      <c r="B87" s="1" t="s">
        <v>145</v>
      </c>
      <c r="C87" s="1" t="s">
        <v>15</v>
      </c>
      <c r="D87" s="1">
        <v>2016</v>
      </c>
      <c r="E87" s="14">
        <v>3668</v>
      </c>
      <c r="F87" s="1" t="s">
        <v>129</v>
      </c>
      <c r="G87" s="7"/>
      <c r="H87" s="1" t="s">
        <v>130</v>
      </c>
      <c r="I87" s="1" t="s">
        <v>146</v>
      </c>
    </row>
    <row r="88" spans="1:9" s="13" customFormat="1">
      <c r="A88" s="1" t="s">
        <v>135</v>
      </c>
      <c r="B88" s="1" t="s">
        <v>145</v>
      </c>
      <c r="C88" s="1" t="s">
        <v>15</v>
      </c>
      <c r="D88" s="1">
        <v>2017</v>
      </c>
      <c r="E88" s="14">
        <v>854</v>
      </c>
      <c r="F88" s="1" t="s">
        <v>129</v>
      </c>
      <c r="G88" s="7"/>
      <c r="H88" s="1" t="s">
        <v>130</v>
      </c>
      <c r="I88" s="1" t="s">
        <v>146</v>
      </c>
    </row>
    <row r="89" spans="1:9" s="43" customFormat="1">
      <c r="A89" s="39" t="s">
        <v>135</v>
      </c>
      <c r="B89" s="39" t="s">
        <v>145</v>
      </c>
      <c r="C89" s="39" t="s">
        <v>15</v>
      </c>
      <c r="D89" s="39">
        <v>2018</v>
      </c>
      <c r="E89" s="42">
        <v>1460</v>
      </c>
      <c r="F89" s="39" t="s">
        <v>129</v>
      </c>
      <c r="G89" s="41"/>
      <c r="H89" s="39" t="s">
        <v>130</v>
      </c>
      <c r="I89" s="43" t="s">
        <v>146</v>
      </c>
    </row>
    <row r="90" spans="1:9">
      <c r="A90" s="1" t="s">
        <v>135</v>
      </c>
      <c r="B90" s="1" t="s">
        <v>214</v>
      </c>
      <c r="C90" s="1" t="s">
        <v>11</v>
      </c>
      <c r="D90" s="1">
        <v>2017</v>
      </c>
      <c r="E90" s="8">
        <v>94</v>
      </c>
      <c r="F90" s="1" t="s">
        <v>129</v>
      </c>
      <c r="H90" s="7" t="s">
        <v>150</v>
      </c>
      <c r="I90" s="1" t="s">
        <v>24</v>
      </c>
    </row>
    <row r="91" spans="1:9">
      <c r="A91" s="1" t="s">
        <v>135</v>
      </c>
      <c r="B91" s="1" t="s">
        <v>214</v>
      </c>
      <c r="C91" s="1" t="s">
        <v>11</v>
      </c>
      <c r="D91" s="1">
        <v>2018</v>
      </c>
      <c r="E91" s="8">
        <v>211.7</v>
      </c>
      <c r="F91" s="1" t="s">
        <v>129</v>
      </c>
      <c r="H91" s="7" t="s">
        <v>150</v>
      </c>
      <c r="I91" s="1" t="s">
        <v>24</v>
      </c>
    </row>
    <row r="92" spans="1:9">
      <c r="A92" s="1" t="s">
        <v>135</v>
      </c>
      <c r="B92" s="1" t="s">
        <v>215</v>
      </c>
      <c r="C92" s="1" t="s">
        <v>11</v>
      </c>
      <c r="D92" s="1">
        <v>2017</v>
      </c>
      <c r="E92" s="8">
        <v>0</v>
      </c>
      <c r="F92" s="1" t="s">
        <v>129</v>
      </c>
      <c r="H92" s="7" t="s">
        <v>150</v>
      </c>
      <c r="I92" s="1" t="s">
        <v>24</v>
      </c>
    </row>
    <row r="93" spans="1:9">
      <c r="A93" s="1" t="s">
        <v>135</v>
      </c>
      <c r="B93" s="1" t="s">
        <v>215</v>
      </c>
      <c r="C93" s="1" t="s">
        <v>11</v>
      </c>
      <c r="D93" s="1">
        <v>2018</v>
      </c>
      <c r="E93" s="8">
        <v>0</v>
      </c>
      <c r="F93" s="1" t="s">
        <v>129</v>
      </c>
      <c r="H93" s="7" t="s">
        <v>150</v>
      </c>
      <c r="I93" s="1" t="s">
        <v>24</v>
      </c>
    </row>
    <row r="94" spans="1:9">
      <c r="A94" s="1" t="s">
        <v>135</v>
      </c>
      <c r="B94" s="1" t="s">
        <v>216</v>
      </c>
      <c r="C94" s="1" t="s">
        <v>11</v>
      </c>
      <c r="D94" s="1">
        <v>2017</v>
      </c>
      <c r="E94" s="8">
        <v>0.3</v>
      </c>
      <c r="F94" s="1" t="s">
        <v>129</v>
      </c>
      <c r="H94" s="7" t="s">
        <v>150</v>
      </c>
      <c r="I94" s="1" t="s">
        <v>24</v>
      </c>
    </row>
    <row r="95" spans="1:9">
      <c r="A95" s="1" t="s">
        <v>135</v>
      </c>
      <c r="B95" s="1" t="s">
        <v>216</v>
      </c>
      <c r="C95" s="1" t="s">
        <v>11</v>
      </c>
      <c r="D95" s="1">
        <v>2018</v>
      </c>
      <c r="E95" s="8">
        <v>3.3</v>
      </c>
      <c r="F95" s="1" t="s">
        <v>129</v>
      </c>
      <c r="H95" s="7" t="s">
        <v>150</v>
      </c>
      <c r="I95" s="1" t="s">
        <v>24</v>
      </c>
    </row>
    <row r="96" spans="1:9">
      <c r="A96" s="1" t="s">
        <v>135</v>
      </c>
      <c r="B96" s="1" t="s">
        <v>217</v>
      </c>
      <c r="C96" s="1" t="s">
        <v>11</v>
      </c>
      <c r="D96" s="1">
        <v>2017</v>
      </c>
      <c r="E96" s="8">
        <v>10.7</v>
      </c>
      <c r="F96" s="1" t="s">
        <v>129</v>
      </c>
      <c r="H96" s="7" t="s">
        <v>150</v>
      </c>
      <c r="I96" s="1" t="s">
        <v>24</v>
      </c>
    </row>
    <row r="97" spans="1:9">
      <c r="A97" s="1" t="s">
        <v>135</v>
      </c>
      <c r="B97" s="1" t="s">
        <v>217</v>
      </c>
      <c r="C97" s="1" t="s">
        <v>11</v>
      </c>
      <c r="D97" s="1">
        <v>2018</v>
      </c>
      <c r="E97" s="8">
        <v>6.9</v>
      </c>
      <c r="F97" s="1" t="s">
        <v>129</v>
      </c>
      <c r="H97" s="7" t="s">
        <v>150</v>
      </c>
      <c r="I97" s="1" t="s">
        <v>24</v>
      </c>
    </row>
    <row r="98" spans="1:9">
      <c r="A98" s="1" t="s">
        <v>135</v>
      </c>
      <c r="B98" s="1" t="s">
        <v>218</v>
      </c>
      <c r="C98" s="1" t="s">
        <v>11</v>
      </c>
      <c r="D98" s="1">
        <v>2017</v>
      </c>
      <c r="E98" s="8">
        <v>0.2</v>
      </c>
      <c r="F98" s="1" t="s">
        <v>129</v>
      </c>
      <c r="H98" s="7" t="s">
        <v>150</v>
      </c>
      <c r="I98" s="1" t="s">
        <v>24</v>
      </c>
    </row>
    <row r="99" spans="1:9">
      <c r="A99" s="1" t="s">
        <v>135</v>
      </c>
      <c r="B99" s="1" t="s">
        <v>218</v>
      </c>
      <c r="C99" s="1" t="s">
        <v>11</v>
      </c>
      <c r="D99" s="1">
        <v>2018</v>
      </c>
      <c r="E99" s="8">
        <v>0.3</v>
      </c>
      <c r="F99" s="1" t="s">
        <v>129</v>
      </c>
      <c r="H99" s="7" t="s">
        <v>150</v>
      </c>
      <c r="I99" s="1" t="s">
        <v>24</v>
      </c>
    </row>
    <row r="100" spans="1:9">
      <c r="A100" s="1" t="s">
        <v>135</v>
      </c>
      <c r="B100" s="1" t="s">
        <v>219</v>
      </c>
      <c r="C100" s="1" t="s">
        <v>11</v>
      </c>
      <c r="D100" s="1">
        <v>2017</v>
      </c>
      <c r="E100" s="8">
        <v>7152</v>
      </c>
      <c r="F100" s="1" t="s">
        <v>129</v>
      </c>
      <c r="H100" s="7" t="s">
        <v>150</v>
      </c>
      <c r="I100" s="1" t="s">
        <v>24</v>
      </c>
    </row>
    <row r="101" spans="1:9">
      <c r="A101" s="1" t="s">
        <v>135</v>
      </c>
      <c r="B101" s="1" t="s">
        <v>219</v>
      </c>
      <c r="C101" s="1" t="s">
        <v>11</v>
      </c>
      <c r="D101" s="1">
        <v>2018</v>
      </c>
      <c r="E101" s="8">
        <v>47502.7</v>
      </c>
      <c r="F101" s="1" t="s">
        <v>129</v>
      </c>
      <c r="H101" s="7" t="s">
        <v>150</v>
      </c>
      <c r="I101" s="1" t="s">
        <v>24</v>
      </c>
    </row>
    <row r="102" spans="1:9">
      <c r="A102" s="1" t="s">
        <v>135</v>
      </c>
      <c r="B102" s="1" t="s">
        <v>220</v>
      </c>
      <c r="C102" s="1" t="s">
        <v>11</v>
      </c>
      <c r="D102" s="1">
        <v>2017</v>
      </c>
      <c r="E102" s="8">
        <v>28909.9</v>
      </c>
      <c r="F102" s="1" t="s">
        <v>129</v>
      </c>
      <c r="H102" s="7" t="s">
        <v>150</v>
      </c>
      <c r="I102" s="1" t="s">
        <v>24</v>
      </c>
    </row>
    <row r="103" spans="1:9">
      <c r="A103" s="1" t="s">
        <v>135</v>
      </c>
      <c r="B103" s="1" t="s">
        <v>220</v>
      </c>
      <c r="C103" s="1" t="s">
        <v>11</v>
      </c>
      <c r="D103" s="1">
        <v>2018</v>
      </c>
      <c r="E103" s="8">
        <v>97546.7</v>
      </c>
      <c r="F103" s="1" t="s">
        <v>129</v>
      </c>
      <c r="H103" s="7" t="s">
        <v>150</v>
      </c>
      <c r="I103" s="1" t="s">
        <v>24</v>
      </c>
    </row>
    <row r="104" spans="1:9">
      <c r="A104" s="1" t="s">
        <v>135</v>
      </c>
      <c r="B104" s="1" t="s">
        <v>221</v>
      </c>
      <c r="C104" s="1" t="s">
        <v>11</v>
      </c>
      <c r="D104" s="1">
        <v>2017</v>
      </c>
      <c r="E104" s="8">
        <v>0</v>
      </c>
      <c r="F104" s="1" t="s">
        <v>129</v>
      </c>
      <c r="H104" s="7" t="s">
        <v>150</v>
      </c>
      <c r="I104" s="1" t="s">
        <v>24</v>
      </c>
    </row>
    <row r="105" spans="1:9">
      <c r="A105" s="1" t="s">
        <v>135</v>
      </c>
      <c r="B105" s="1" t="s">
        <v>221</v>
      </c>
      <c r="C105" s="1" t="s">
        <v>11</v>
      </c>
      <c r="D105" s="1">
        <v>2018</v>
      </c>
      <c r="E105" s="8">
        <v>0</v>
      </c>
      <c r="F105" s="1" t="s">
        <v>129</v>
      </c>
      <c r="H105" s="7" t="s">
        <v>150</v>
      </c>
      <c r="I105" s="1" t="s">
        <v>24</v>
      </c>
    </row>
    <row r="106" spans="1:9">
      <c r="A106" s="1" t="s">
        <v>135</v>
      </c>
      <c r="B106" s="1" t="s">
        <v>222</v>
      </c>
      <c r="C106" s="1" t="s">
        <v>11</v>
      </c>
      <c r="D106" s="1">
        <v>2017</v>
      </c>
      <c r="E106" s="8">
        <v>386.7</v>
      </c>
      <c r="F106" s="1" t="s">
        <v>129</v>
      </c>
      <c r="H106" s="7" t="s">
        <v>150</v>
      </c>
      <c r="I106" s="1" t="s">
        <v>24</v>
      </c>
    </row>
    <row r="107" spans="1:9">
      <c r="A107" s="1" t="s">
        <v>135</v>
      </c>
      <c r="B107" s="1" t="s">
        <v>222</v>
      </c>
      <c r="C107" s="1" t="s">
        <v>11</v>
      </c>
      <c r="D107" s="1">
        <v>2018</v>
      </c>
      <c r="E107" s="8">
        <v>317.10000000000002</v>
      </c>
      <c r="F107" s="1" t="s">
        <v>129</v>
      </c>
      <c r="H107" s="7" t="s">
        <v>150</v>
      </c>
      <c r="I107" s="1" t="s">
        <v>24</v>
      </c>
    </row>
    <row r="108" spans="1:9">
      <c r="A108" s="1" t="s">
        <v>135</v>
      </c>
      <c r="B108" s="1" t="s">
        <v>223</v>
      </c>
      <c r="C108" s="1" t="s">
        <v>11</v>
      </c>
      <c r="D108" s="1">
        <v>2017</v>
      </c>
      <c r="E108" s="8">
        <v>758.8</v>
      </c>
      <c r="F108" s="1" t="s">
        <v>129</v>
      </c>
      <c r="H108" s="7" t="s">
        <v>150</v>
      </c>
      <c r="I108" s="1" t="s">
        <v>24</v>
      </c>
    </row>
    <row r="109" spans="1:9">
      <c r="A109" s="1" t="s">
        <v>135</v>
      </c>
      <c r="B109" s="1" t="s">
        <v>223</v>
      </c>
      <c r="C109" s="1" t="s">
        <v>11</v>
      </c>
      <c r="D109" s="1">
        <v>2018</v>
      </c>
      <c r="E109" s="8">
        <v>1786.7</v>
      </c>
      <c r="F109" s="1" t="s">
        <v>129</v>
      </c>
      <c r="H109" s="7" t="s">
        <v>150</v>
      </c>
      <c r="I109" s="1" t="s">
        <v>24</v>
      </c>
    </row>
    <row r="110" spans="1:9">
      <c r="A110" s="1" t="s">
        <v>135</v>
      </c>
      <c r="B110" s="1" t="s">
        <v>224</v>
      </c>
      <c r="C110" s="1" t="s">
        <v>11</v>
      </c>
      <c r="D110" s="1">
        <v>2014</v>
      </c>
      <c r="E110" s="8">
        <v>0</v>
      </c>
      <c r="H110" s="7" t="s">
        <v>136</v>
      </c>
      <c r="I110" s="1" t="s">
        <v>24</v>
      </c>
    </row>
    <row r="111" spans="1:9">
      <c r="A111" s="1" t="s">
        <v>135</v>
      </c>
      <c r="B111" s="1" t="s">
        <v>224</v>
      </c>
      <c r="C111" s="1" t="s">
        <v>11</v>
      </c>
      <c r="D111" s="1">
        <v>2015</v>
      </c>
      <c r="E111" s="8">
        <v>2</v>
      </c>
      <c r="H111" s="7" t="s">
        <v>136</v>
      </c>
      <c r="I111" s="1" t="s">
        <v>24</v>
      </c>
    </row>
    <row r="112" spans="1:9">
      <c r="A112" s="1" t="s">
        <v>135</v>
      </c>
      <c r="B112" s="1" t="s">
        <v>224</v>
      </c>
      <c r="C112" s="1" t="s">
        <v>11</v>
      </c>
      <c r="D112" s="1">
        <v>2016</v>
      </c>
      <c r="E112" s="8">
        <v>0</v>
      </c>
      <c r="H112" s="7" t="s">
        <v>136</v>
      </c>
      <c r="I112" s="1" t="s">
        <v>24</v>
      </c>
    </row>
    <row r="113" spans="1:9">
      <c r="A113" s="1" t="s">
        <v>135</v>
      </c>
      <c r="B113" s="1" t="s">
        <v>224</v>
      </c>
      <c r="C113" s="1" t="s">
        <v>11</v>
      </c>
      <c r="D113" s="1">
        <v>2017</v>
      </c>
      <c r="E113" s="8">
        <v>1</v>
      </c>
      <c r="H113" s="7" t="s">
        <v>136</v>
      </c>
      <c r="I113" s="1" t="s">
        <v>24</v>
      </c>
    </row>
    <row r="114" spans="1:9">
      <c r="A114" s="1" t="s">
        <v>135</v>
      </c>
      <c r="B114" s="1" t="s">
        <v>224</v>
      </c>
      <c r="C114" s="1" t="s">
        <v>11</v>
      </c>
      <c r="D114" s="1">
        <v>2018</v>
      </c>
      <c r="E114" s="8">
        <v>0</v>
      </c>
      <c r="H114" s="7" t="s">
        <v>136</v>
      </c>
      <c r="I114" s="1" t="s">
        <v>24</v>
      </c>
    </row>
    <row r="115" spans="1:9">
      <c r="A115" s="1" t="s">
        <v>135</v>
      </c>
      <c r="B115" s="1" t="s">
        <v>225</v>
      </c>
      <c r="C115" s="1" t="s">
        <v>11</v>
      </c>
      <c r="D115" s="1">
        <v>2014</v>
      </c>
      <c r="E115" s="8">
        <v>0</v>
      </c>
      <c r="H115" s="7" t="s">
        <v>226</v>
      </c>
      <c r="I115" s="1" t="s">
        <v>24</v>
      </c>
    </row>
    <row r="116" spans="1:9">
      <c r="A116" s="1" t="s">
        <v>135</v>
      </c>
      <c r="B116" s="1" t="s">
        <v>225</v>
      </c>
      <c r="C116" s="1" t="s">
        <v>11</v>
      </c>
      <c r="D116" s="1">
        <v>2015</v>
      </c>
      <c r="E116" s="8">
        <v>0</v>
      </c>
      <c r="H116" s="7" t="s">
        <v>226</v>
      </c>
      <c r="I116" s="1" t="s">
        <v>24</v>
      </c>
    </row>
    <row r="117" spans="1:9">
      <c r="A117" s="1" t="s">
        <v>135</v>
      </c>
      <c r="B117" s="1" t="s">
        <v>225</v>
      </c>
      <c r="C117" s="1" t="s">
        <v>11</v>
      </c>
      <c r="D117" s="1">
        <v>2016</v>
      </c>
      <c r="E117" s="8">
        <v>0</v>
      </c>
      <c r="H117" s="7" t="s">
        <v>226</v>
      </c>
      <c r="I117" s="1" t="s">
        <v>24</v>
      </c>
    </row>
    <row r="118" spans="1:9">
      <c r="A118" s="1" t="s">
        <v>135</v>
      </c>
      <c r="B118" s="1" t="s">
        <v>225</v>
      </c>
      <c r="C118" s="1" t="s">
        <v>11</v>
      </c>
      <c r="D118" s="1">
        <v>2017</v>
      </c>
      <c r="E118" s="8">
        <v>0</v>
      </c>
      <c r="H118" s="7" t="s">
        <v>226</v>
      </c>
      <c r="I118" s="1" t="s">
        <v>24</v>
      </c>
    </row>
    <row r="119" spans="1:9">
      <c r="A119" s="1" t="s">
        <v>135</v>
      </c>
      <c r="B119" s="1" t="s">
        <v>225</v>
      </c>
      <c r="C119" s="1" t="s">
        <v>11</v>
      </c>
      <c r="D119" s="1">
        <v>2018</v>
      </c>
      <c r="E119" s="8">
        <v>0</v>
      </c>
      <c r="H119" s="7" t="s">
        <v>226</v>
      </c>
      <c r="I119" s="1" t="s">
        <v>24</v>
      </c>
    </row>
    <row r="120" spans="1:9">
      <c r="A120" s="1" t="s">
        <v>121</v>
      </c>
      <c r="B120" s="1" t="s">
        <v>122</v>
      </c>
      <c r="C120" s="1" t="s">
        <v>18</v>
      </c>
      <c r="D120" s="1">
        <v>2008</v>
      </c>
      <c r="E120" s="8">
        <v>69</v>
      </c>
      <c r="F120" s="1" t="s">
        <v>123</v>
      </c>
      <c r="G120" s="14">
        <f t="shared" ref="G120:G129" si="0">E120</f>
        <v>69</v>
      </c>
      <c r="H120" s="1" t="s">
        <v>124</v>
      </c>
      <c r="I120" s="1" t="s">
        <v>125</v>
      </c>
    </row>
    <row r="121" spans="1:9">
      <c r="A121" s="1" t="s">
        <v>121</v>
      </c>
      <c r="B121" s="1" t="s">
        <v>122</v>
      </c>
      <c r="C121" s="1" t="s">
        <v>18</v>
      </c>
      <c r="D121" s="1">
        <v>2009</v>
      </c>
      <c r="E121" s="8">
        <v>61.9</v>
      </c>
      <c r="F121" s="1" t="s">
        <v>123</v>
      </c>
      <c r="G121" s="14">
        <f t="shared" si="0"/>
        <v>61.9</v>
      </c>
      <c r="H121" s="1" t="s">
        <v>124</v>
      </c>
      <c r="I121" s="1" t="s">
        <v>125</v>
      </c>
    </row>
    <row r="122" spans="1:9">
      <c r="A122" s="1" t="s">
        <v>121</v>
      </c>
      <c r="B122" s="1" t="s">
        <v>122</v>
      </c>
      <c r="C122" s="1" t="s">
        <v>18</v>
      </c>
      <c r="D122" s="1">
        <v>2010</v>
      </c>
      <c r="E122" s="8">
        <v>59.9</v>
      </c>
      <c r="F122" s="1" t="s">
        <v>123</v>
      </c>
      <c r="G122" s="14">
        <f t="shared" si="0"/>
        <v>59.9</v>
      </c>
      <c r="H122" s="1" t="s">
        <v>124</v>
      </c>
      <c r="I122" s="1" t="s">
        <v>125</v>
      </c>
    </row>
    <row r="123" spans="1:9">
      <c r="A123" s="1" t="s">
        <v>121</v>
      </c>
      <c r="B123" s="1" t="s">
        <v>122</v>
      </c>
      <c r="C123" s="1" t="s">
        <v>18</v>
      </c>
      <c r="D123" s="1">
        <v>2011</v>
      </c>
      <c r="E123" s="8">
        <v>58.1</v>
      </c>
      <c r="F123" s="1" t="s">
        <v>123</v>
      </c>
      <c r="G123" s="14">
        <f t="shared" si="0"/>
        <v>58.1</v>
      </c>
      <c r="H123" s="1" t="s">
        <v>124</v>
      </c>
      <c r="I123" s="1" t="s">
        <v>125</v>
      </c>
    </row>
    <row r="124" spans="1:9">
      <c r="A124" s="1" t="s">
        <v>121</v>
      </c>
      <c r="B124" s="1" t="s">
        <v>122</v>
      </c>
      <c r="C124" s="1" t="s">
        <v>18</v>
      </c>
      <c r="D124" s="1">
        <v>2012</v>
      </c>
      <c r="E124" s="8">
        <v>43.6</v>
      </c>
      <c r="F124" s="1" t="s">
        <v>123</v>
      </c>
      <c r="G124" s="14">
        <f t="shared" si="0"/>
        <v>43.6</v>
      </c>
      <c r="H124" s="1" t="s">
        <v>124</v>
      </c>
      <c r="I124" s="1" t="s">
        <v>125</v>
      </c>
    </row>
    <row r="125" spans="1:9">
      <c r="A125" s="1" t="s">
        <v>121</v>
      </c>
      <c r="B125" s="1" t="s">
        <v>122</v>
      </c>
      <c r="C125" s="1" t="s">
        <v>18</v>
      </c>
      <c r="D125" s="1">
        <v>2013</v>
      </c>
      <c r="E125" s="8">
        <v>42.1</v>
      </c>
      <c r="F125" s="1" t="s">
        <v>123</v>
      </c>
      <c r="G125" s="14">
        <f t="shared" si="0"/>
        <v>42.1</v>
      </c>
      <c r="H125" s="1" t="s">
        <v>124</v>
      </c>
      <c r="I125" s="1" t="s">
        <v>125</v>
      </c>
    </row>
    <row r="126" spans="1:9">
      <c r="A126" s="1" t="s">
        <v>121</v>
      </c>
      <c r="B126" s="1" t="s">
        <v>122</v>
      </c>
      <c r="C126" s="1" t="s">
        <v>18</v>
      </c>
      <c r="D126" s="1">
        <v>2014</v>
      </c>
      <c r="E126" s="8">
        <v>42.3</v>
      </c>
      <c r="F126" s="1" t="s">
        <v>123</v>
      </c>
      <c r="G126" s="14">
        <f t="shared" si="0"/>
        <v>42.3</v>
      </c>
      <c r="H126" s="1" t="s">
        <v>124</v>
      </c>
      <c r="I126" s="1" t="s">
        <v>125</v>
      </c>
    </row>
    <row r="127" spans="1:9">
      <c r="A127" s="1" t="s">
        <v>121</v>
      </c>
      <c r="B127" s="1" t="s">
        <v>122</v>
      </c>
      <c r="C127" s="1" t="s">
        <v>18</v>
      </c>
      <c r="D127" s="1">
        <v>2015</v>
      </c>
      <c r="E127" s="8">
        <v>35.200000000000003</v>
      </c>
      <c r="F127" s="1" t="s">
        <v>123</v>
      </c>
      <c r="G127" s="14">
        <f t="shared" si="0"/>
        <v>35.200000000000003</v>
      </c>
      <c r="H127" s="1" t="s">
        <v>124</v>
      </c>
      <c r="I127" s="1" t="s">
        <v>125</v>
      </c>
    </row>
    <row r="128" spans="1:9">
      <c r="A128" s="1" t="s">
        <v>121</v>
      </c>
      <c r="B128" s="1" t="s">
        <v>122</v>
      </c>
      <c r="C128" s="1" t="s">
        <v>18</v>
      </c>
      <c r="D128" s="1">
        <v>2016</v>
      </c>
      <c r="E128" s="8">
        <v>33.700000000000003</v>
      </c>
      <c r="F128" s="1" t="s">
        <v>123</v>
      </c>
      <c r="G128" s="14">
        <f t="shared" si="0"/>
        <v>33.700000000000003</v>
      </c>
      <c r="H128" s="1" t="s">
        <v>124</v>
      </c>
      <c r="I128" s="1" t="s">
        <v>125</v>
      </c>
    </row>
    <row r="129" spans="1:9">
      <c r="A129" s="1" t="s">
        <v>121</v>
      </c>
      <c r="B129" s="1" t="s">
        <v>122</v>
      </c>
      <c r="C129" s="1" t="s">
        <v>18</v>
      </c>
      <c r="D129" s="1">
        <v>2017</v>
      </c>
      <c r="E129" s="8">
        <v>33.200000000000003</v>
      </c>
      <c r="F129" s="1" t="s">
        <v>123</v>
      </c>
      <c r="G129" s="14">
        <f t="shared" si="0"/>
        <v>33.200000000000003</v>
      </c>
      <c r="H129" s="1" t="s">
        <v>124</v>
      </c>
      <c r="I129" s="1" t="s">
        <v>125</v>
      </c>
    </row>
    <row r="130" spans="1:9">
      <c r="A130" s="1" t="s">
        <v>121</v>
      </c>
      <c r="B130" s="1" t="s">
        <v>122</v>
      </c>
      <c r="C130" s="1" t="s">
        <v>18</v>
      </c>
      <c r="D130" s="1">
        <v>2018</v>
      </c>
      <c r="E130" s="8">
        <v>30.3</v>
      </c>
      <c r="F130" s="1" t="s">
        <v>123</v>
      </c>
      <c r="G130" s="14">
        <v>30.3</v>
      </c>
      <c r="H130" s="1" t="s">
        <v>124</v>
      </c>
      <c r="I130" s="1" t="s">
        <v>126</v>
      </c>
    </row>
    <row r="131" spans="1:9">
      <c r="A131" s="1" t="s">
        <v>121</v>
      </c>
      <c r="B131" s="1" t="s">
        <v>122</v>
      </c>
      <c r="C131" s="1" t="s">
        <v>11</v>
      </c>
      <c r="D131" s="1">
        <v>2008</v>
      </c>
      <c r="E131" s="8">
        <v>4.3</v>
      </c>
      <c r="F131" s="1" t="s">
        <v>123</v>
      </c>
      <c r="G131" s="14">
        <f t="shared" ref="G131:G151" si="1">E131</f>
        <v>4.3</v>
      </c>
      <c r="H131" s="1" t="s">
        <v>124</v>
      </c>
      <c r="I131" s="1" t="s">
        <v>125</v>
      </c>
    </row>
    <row r="132" spans="1:9">
      <c r="A132" s="1" t="s">
        <v>121</v>
      </c>
      <c r="B132" s="1" t="s">
        <v>122</v>
      </c>
      <c r="C132" s="1" t="s">
        <v>11</v>
      </c>
      <c r="D132" s="1">
        <v>2009</v>
      </c>
      <c r="E132" s="8">
        <v>3.9</v>
      </c>
      <c r="F132" s="1" t="s">
        <v>123</v>
      </c>
      <c r="G132" s="14">
        <f t="shared" si="1"/>
        <v>3.9</v>
      </c>
      <c r="H132" s="1" t="s">
        <v>124</v>
      </c>
      <c r="I132" s="1" t="s">
        <v>125</v>
      </c>
    </row>
    <row r="133" spans="1:9">
      <c r="A133" s="1" t="s">
        <v>121</v>
      </c>
      <c r="B133" s="1" t="s">
        <v>122</v>
      </c>
      <c r="C133" s="1" t="s">
        <v>11</v>
      </c>
      <c r="D133" s="1">
        <v>2010</v>
      </c>
      <c r="E133" s="8">
        <v>3.8</v>
      </c>
      <c r="F133" s="1" t="s">
        <v>123</v>
      </c>
      <c r="G133" s="14">
        <f t="shared" si="1"/>
        <v>3.8</v>
      </c>
      <c r="H133" s="1" t="s">
        <v>124</v>
      </c>
      <c r="I133" s="1" t="s">
        <v>125</v>
      </c>
    </row>
    <row r="134" spans="1:9">
      <c r="A134" s="1" t="s">
        <v>121</v>
      </c>
      <c r="B134" s="1" t="s">
        <v>122</v>
      </c>
      <c r="C134" s="1" t="s">
        <v>11</v>
      </c>
      <c r="D134" s="1">
        <v>2011</v>
      </c>
      <c r="E134" s="8">
        <v>3.4</v>
      </c>
      <c r="F134" s="1" t="s">
        <v>123</v>
      </c>
      <c r="G134" s="14">
        <f t="shared" si="1"/>
        <v>3.4</v>
      </c>
      <c r="H134" s="1" t="s">
        <v>124</v>
      </c>
      <c r="I134" s="1" t="s">
        <v>125</v>
      </c>
    </row>
    <row r="135" spans="1:9">
      <c r="A135" s="1" t="s">
        <v>121</v>
      </c>
      <c r="B135" s="1" t="s">
        <v>122</v>
      </c>
      <c r="C135" s="1" t="s">
        <v>11</v>
      </c>
      <c r="D135" s="1">
        <v>2012</v>
      </c>
      <c r="E135" s="8">
        <v>2.9</v>
      </c>
      <c r="F135" s="1" t="s">
        <v>123</v>
      </c>
      <c r="G135" s="14">
        <f t="shared" si="1"/>
        <v>2.9</v>
      </c>
      <c r="H135" s="1" t="s">
        <v>124</v>
      </c>
      <c r="I135" s="1" t="s">
        <v>125</v>
      </c>
    </row>
    <row r="136" spans="1:9">
      <c r="A136" s="1" t="s">
        <v>121</v>
      </c>
      <c r="B136" s="1" t="s">
        <v>122</v>
      </c>
      <c r="C136" s="1" t="s">
        <v>11</v>
      </c>
      <c r="D136" s="1">
        <v>2013</v>
      </c>
      <c r="E136" s="8">
        <v>2.9</v>
      </c>
      <c r="F136" s="1" t="s">
        <v>123</v>
      </c>
      <c r="G136" s="14">
        <f t="shared" si="1"/>
        <v>2.9</v>
      </c>
      <c r="H136" s="1" t="s">
        <v>124</v>
      </c>
      <c r="I136" s="1" t="s">
        <v>125</v>
      </c>
    </row>
    <row r="137" spans="1:9">
      <c r="A137" s="1" t="s">
        <v>121</v>
      </c>
      <c r="B137" s="1" t="s">
        <v>122</v>
      </c>
      <c r="C137" s="1" t="s">
        <v>11</v>
      </c>
      <c r="D137" s="1">
        <v>2014</v>
      </c>
      <c r="E137" s="8">
        <v>2.5</v>
      </c>
      <c r="F137" s="1" t="s">
        <v>123</v>
      </c>
      <c r="G137" s="14">
        <f t="shared" si="1"/>
        <v>2.5</v>
      </c>
      <c r="H137" s="1" t="s">
        <v>124</v>
      </c>
      <c r="I137" s="16" t="s">
        <v>24</v>
      </c>
    </row>
    <row r="138" spans="1:9">
      <c r="A138" s="1" t="s">
        <v>121</v>
      </c>
      <c r="B138" s="1" t="s">
        <v>122</v>
      </c>
      <c r="C138" s="1" t="s">
        <v>11</v>
      </c>
      <c r="D138" s="1">
        <v>2015</v>
      </c>
      <c r="E138" s="8">
        <v>2.7</v>
      </c>
      <c r="F138" s="1" t="s">
        <v>123</v>
      </c>
      <c r="G138" s="14">
        <f t="shared" si="1"/>
        <v>2.7</v>
      </c>
      <c r="H138" s="1" t="s">
        <v>124</v>
      </c>
      <c r="I138" s="16" t="s">
        <v>24</v>
      </c>
    </row>
    <row r="139" spans="1:9">
      <c r="A139" s="1" t="s">
        <v>121</v>
      </c>
      <c r="B139" s="1" t="s">
        <v>122</v>
      </c>
      <c r="C139" s="1" t="s">
        <v>11</v>
      </c>
      <c r="D139" s="1">
        <v>2016</v>
      </c>
      <c r="E139" s="8">
        <v>2.2000000000000002</v>
      </c>
      <c r="F139" s="1" t="s">
        <v>123</v>
      </c>
      <c r="G139" s="14">
        <f t="shared" si="1"/>
        <v>2.2000000000000002</v>
      </c>
      <c r="H139" s="1" t="s">
        <v>124</v>
      </c>
      <c r="I139" s="16" t="s">
        <v>24</v>
      </c>
    </row>
    <row r="140" spans="1:9">
      <c r="A140" s="1" t="s">
        <v>121</v>
      </c>
      <c r="B140" s="1" t="s">
        <v>122</v>
      </c>
      <c r="C140" s="1" t="s">
        <v>11</v>
      </c>
      <c r="D140" s="1">
        <v>2017</v>
      </c>
      <c r="E140" s="8">
        <v>2.4</v>
      </c>
      <c r="F140" s="1" t="s">
        <v>123</v>
      </c>
      <c r="G140" s="14">
        <f t="shared" si="1"/>
        <v>2.4</v>
      </c>
      <c r="H140" s="1" t="s">
        <v>124</v>
      </c>
      <c r="I140" s="16" t="s">
        <v>24</v>
      </c>
    </row>
    <row r="141" spans="1:9">
      <c r="A141" s="1" t="s">
        <v>121</v>
      </c>
      <c r="B141" s="1" t="s">
        <v>122</v>
      </c>
      <c r="C141" s="1" t="s">
        <v>11</v>
      </c>
      <c r="D141" s="1">
        <v>2018</v>
      </c>
      <c r="E141" s="8">
        <v>1.5</v>
      </c>
      <c r="F141" s="1" t="s">
        <v>123</v>
      </c>
      <c r="G141" s="14">
        <f t="shared" si="1"/>
        <v>1.5</v>
      </c>
      <c r="H141" s="1" t="s">
        <v>124</v>
      </c>
      <c r="I141" s="16" t="s">
        <v>24</v>
      </c>
    </row>
    <row r="142" spans="1:9">
      <c r="A142" s="1" t="s">
        <v>121</v>
      </c>
      <c r="B142" s="1" t="s">
        <v>122</v>
      </c>
      <c r="C142" s="1" t="s">
        <v>15</v>
      </c>
      <c r="D142" s="1">
        <v>2008</v>
      </c>
      <c r="E142" s="8">
        <v>5.2</v>
      </c>
      <c r="F142" s="1" t="s">
        <v>123</v>
      </c>
      <c r="G142" s="14">
        <f t="shared" si="1"/>
        <v>5.2</v>
      </c>
      <c r="H142" s="1" t="s">
        <v>124</v>
      </c>
      <c r="I142" s="1" t="s">
        <v>125</v>
      </c>
    </row>
    <row r="143" spans="1:9">
      <c r="A143" s="1" t="s">
        <v>121</v>
      </c>
      <c r="B143" s="1" t="s">
        <v>122</v>
      </c>
      <c r="C143" s="1" t="s">
        <v>15</v>
      </c>
      <c r="D143" s="1">
        <v>2009</v>
      </c>
      <c r="E143" s="8">
        <v>4.5999999999999996</v>
      </c>
      <c r="F143" s="1" t="s">
        <v>123</v>
      </c>
      <c r="G143" s="14">
        <f t="shared" si="1"/>
        <v>4.5999999999999996</v>
      </c>
      <c r="H143" s="1" t="s">
        <v>124</v>
      </c>
      <c r="I143" s="1" t="s">
        <v>125</v>
      </c>
    </row>
    <row r="144" spans="1:9">
      <c r="A144" s="1" t="s">
        <v>121</v>
      </c>
      <c r="B144" s="1" t="s">
        <v>122</v>
      </c>
      <c r="C144" s="1" t="s">
        <v>15</v>
      </c>
      <c r="D144" s="1">
        <v>2010</v>
      </c>
      <c r="E144" s="8">
        <v>4.8</v>
      </c>
      <c r="F144" s="1" t="s">
        <v>123</v>
      </c>
      <c r="G144" s="14">
        <f t="shared" si="1"/>
        <v>4.8</v>
      </c>
      <c r="H144" s="1" t="s">
        <v>124</v>
      </c>
      <c r="I144" s="1" t="s">
        <v>125</v>
      </c>
    </row>
    <row r="145" spans="1:9">
      <c r="A145" s="1" t="s">
        <v>121</v>
      </c>
      <c r="B145" s="1" t="s">
        <v>122</v>
      </c>
      <c r="C145" s="1" t="s">
        <v>15</v>
      </c>
      <c r="D145" s="1">
        <v>2011</v>
      </c>
      <c r="E145" s="8">
        <v>3.2</v>
      </c>
      <c r="F145" s="1" t="s">
        <v>123</v>
      </c>
      <c r="G145" s="14">
        <f t="shared" si="1"/>
        <v>3.2</v>
      </c>
      <c r="H145" s="1" t="s">
        <v>124</v>
      </c>
      <c r="I145" s="1" t="s">
        <v>125</v>
      </c>
    </row>
    <row r="146" spans="1:9">
      <c r="A146" s="1" t="s">
        <v>121</v>
      </c>
      <c r="B146" s="1" t="s">
        <v>122</v>
      </c>
      <c r="C146" s="1" t="s">
        <v>15</v>
      </c>
      <c r="D146" s="1">
        <v>2012</v>
      </c>
      <c r="E146" s="8">
        <v>4</v>
      </c>
      <c r="F146" s="1" t="s">
        <v>123</v>
      </c>
      <c r="G146" s="14">
        <f t="shared" si="1"/>
        <v>4</v>
      </c>
      <c r="H146" s="1" t="s">
        <v>124</v>
      </c>
      <c r="I146" s="1" t="s">
        <v>125</v>
      </c>
    </row>
    <row r="147" spans="1:9">
      <c r="A147" s="1" t="s">
        <v>121</v>
      </c>
      <c r="B147" s="1" t="s">
        <v>122</v>
      </c>
      <c r="C147" s="1" t="s">
        <v>15</v>
      </c>
      <c r="D147" s="1">
        <v>2013</v>
      </c>
      <c r="E147" s="8">
        <v>4.8</v>
      </c>
      <c r="F147" s="1" t="s">
        <v>123</v>
      </c>
      <c r="G147" s="14">
        <f t="shared" si="1"/>
        <v>4.8</v>
      </c>
      <c r="H147" s="1" t="s">
        <v>124</v>
      </c>
      <c r="I147" s="1" t="s">
        <v>125</v>
      </c>
    </row>
    <row r="148" spans="1:9">
      <c r="A148" s="1" t="s">
        <v>121</v>
      </c>
      <c r="B148" s="1" t="s">
        <v>122</v>
      </c>
      <c r="C148" s="1" t="s">
        <v>15</v>
      </c>
      <c r="D148" s="1">
        <v>2014</v>
      </c>
      <c r="E148" s="8">
        <v>0.1</v>
      </c>
      <c r="F148" s="1" t="s">
        <v>123</v>
      </c>
      <c r="G148" s="14">
        <f t="shared" si="1"/>
        <v>0.1</v>
      </c>
      <c r="H148" s="1" t="s">
        <v>124</v>
      </c>
      <c r="I148" s="1" t="s">
        <v>125</v>
      </c>
    </row>
    <row r="149" spans="1:9">
      <c r="A149" s="1" t="s">
        <v>121</v>
      </c>
      <c r="B149" s="1" t="s">
        <v>122</v>
      </c>
      <c r="C149" s="1" t="s">
        <v>15</v>
      </c>
      <c r="D149" s="1">
        <v>2015</v>
      </c>
      <c r="E149" s="8">
        <v>0.1</v>
      </c>
      <c r="F149" s="1" t="s">
        <v>123</v>
      </c>
      <c r="G149" s="14">
        <f t="shared" si="1"/>
        <v>0.1</v>
      </c>
      <c r="H149" s="1" t="s">
        <v>124</v>
      </c>
      <c r="I149" s="1" t="s">
        <v>125</v>
      </c>
    </row>
    <row r="150" spans="1:9">
      <c r="A150" s="1" t="s">
        <v>121</v>
      </c>
      <c r="B150" s="1" t="s">
        <v>122</v>
      </c>
      <c r="C150" s="1" t="s">
        <v>15</v>
      </c>
      <c r="D150" s="1">
        <v>2016</v>
      </c>
      <c r="E150" s="8">
        <v>0.1</v>
      </c>
      <c r="F150" s="1" t="s">
        <v>123</v>
      </c>
      <c r="G150" s="14">
        <f t="shared" si="1"/>
        <v>0.1</v>
      </c>
      <c r="H150" s="1" t="s">
        <v>124</v>
      </c>
      <c r="I150" s="1" t="s">
        <v>125</v>
      </c>
    </row>
    <row r="151" spans="1:9">
      <c r="A151" s="1" t="s">
        <v>121</v>
      </c>
      <c r="B151" s="1" t="s">
        <v>122</v>
      </c>
      <c r="C151" s="1" t="s">
        <v>15</v>
      </c>
      <c r="D151" s="1">
        <v>2017</v>
      </c>
      <c r="E151" s="8">
        <v>0</v>
      </c>
      <c r="F151" s="1" t="s">
        <v>123</v>
      </c>
      <c r="G151" s="14">
        <f t="shared" si="1"/>
        <v>0</v>
      </c>
      <c r="H151" s="1" t="s">
        <v>124</v>
      </c>
      <c r="I151" s="1" t="s">
        <v>125</v>
      </c>
    </row>
    <row r="152" spans="1:9" ht="15.75">
      <c r="A152" s="1" t="s">
        <v>121</v>
      </c>
      <c r="B152" s="1" t="s">
        <v>122</v>
      </c>
      <c r="C152" s="1" t="s">
        <v>15</v>
      </c>
      <c r="D152" s="1">
        <v>2018</v>
      </c>
      <c r="E152" s="8">
        <v>0</v>
      </c>
      <c r="F152" s="1" t="s">
        <v>123</v>
      </c>
      <c r="G152" s="7">
        <v>0</v>
      </c>
      <c r="H152" s="1" t="s">
        <v>124</v>
      </c>
      <c r="I152" s="9" t="s">
        <v>127</v>
      </c>
    </row>
    <row r="153" spans="1:9">
      <c r="A153" s="1" t="s">
        <v>121</v>
      </c>
      <c r="B153" s="1" t="s">
        <v>134</v>
      </c>
      <c r="C153" s="1" t="s">
        <v>11</v>
      </c>
      <c r="D153" s="1">
        <v>2018</v>
      </c>
      <c r="E153" s="8">
        <v>1907</v>
      </c>
      <c r="F153" s="1" t="s">
        <v>129</v>
      </c>
      <c r="I153" s="1" t="s">
        <v>24</v>
      </c>
    </row>
    <row r="154" spans="1:9">
      <c r="A154" s="1" t="s">
        <v>121</v>
      </c>
      <c r="B154" s="1" t="s">
        <v>133</v>
      </c>
      <c r="C154" s="1" t="s">
        <v>11</v>
      </c>
      <c r="D154" s="1">
        <v>2018</v>
      </c>
      <c r="E154" s="8">
        <v>9825</v>
      </c>
      <c r="F154" s="1" t="s">
        <v>129</v>
      </c>
      <c r="I154" s="1" t="s">
        <v>24</v>
      </c>
    </row>
    <row r="155" spans="1:9" s="39" customFormat="1">
      <c r="A155" s="39" t="s">
        <v>121</v>
      </c>
      <c r="B155" s="39" t="s">
        <v>128</v>
      </c>
      <c r="C155" s="39" t="s">
        <v>11</v>
      </c>
      <c r="D155" s="39">
        <v>2018</v>
      </c>
      <c r="E155" s="40">
        <v>42097424</v>
      </c>
      <c r="F155" s="39" t="s">
        <v>129</v>
      </c>
      <c r="G155" s="41"/>
      <c r="I155" s="39" t="s">
        <v>24</v>
      </c>
    </row>
    <row r="156" spans="1:9">
      <c r="A156" s="1" t="s">
        <v>121</v>
      </c>
      <c r="B156" s="1" t="s">
        <v>134</v>
      </c>
      <c r="C156" s="1" t="s">
        <v>11</v>
      </c>
      <c r="D156" s="1">
        <v>2017</v>
      </c>
      <c r="E156" s="8">
        <v>2401</v>
      </c>
      <c r="F156" s="1" t="s">
        <v>129</v>
      </c>
      <c r="I156" s="1" t="s">
        <v>131</v>
      </c>
    </row>
    <row r="157" spans="1:9">
      <c r="A157" s="1" t="s">
        <v>121</v>
      </c>
      <c r="B157" s="1" t="s">
        <v>133</v>
      </c>
      <c r="C157" s="1" t="s">
        <v>11</v>
      </c>
      <c r="D157" s="1">
        <v>2017</v>
      </c>
      <c r="E157" s="8">
        <v>12407</v>
      </c>
      <c r="F157" s="1" t="s">
        <v>129</v>
      </c>
      <c r="I157" s="1" t="s">
        <v>131</v>
      </c>
    </row>
    <row r="158" spans="1:9">
      <c r="A158" s="1" t="s">
        <v>121</v>
      </c>
      <c r="B158" s="1" t="s">
        <v>128</v>
      </c>
      <c r="C158" s="1" t="s">
        <v>11</v>
      </c>
      <c r="D158" s="1">
        <v>2017</v>
      </c>
      <c r="E158" s="8">
        <v>42194852</v>
      </c>
      <c r="F158" s="1" t="s">
        <v>129</v>
      </c>
      <c r="I158" s="1" t="s">
        <v>131</v>
      </c>
    </row>
    <row r="159" spans="1:9">
      <c r="A159" s="1" t="s">
        <v>121</v>
      </c>
      <c r="B159" s="1" t="s">
        <v>132</v>
      </c>
      <c r="C159" s="1" t="s">
        <v>11</v>
      </c>
      <c r="D159" s="1">
        <v>2017</v>
      </c>
      <c r="E159" s="8">
        <v>0.01</v>
      </c>
      <c r="F159" s="1" t="s">
        <v>129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18</v>
      </c>
      <c r="D160" s="1">
        <v>2017</v>
      </c>
      <c r="E160" s="8">
        <v>47661</v>
      </c>
      <c r="F160" s="1" t="s">
        <v>129</v>
      </c>
      <c r="I160" s="1" t="s">
        <v>131</v>
      </c>
    </row>
    <row r="161" spans="1:9">
      <c r="A161" s="1" t="s">
        <v>121</v>
      </c>
      <c r="B161" s="1" t="s">
        <v>133</v>
      </c>
      <c r="C161" s="1" t="s">
        <v>18</v>
      </c>
      <c r="D161" s="1">
        <v>2017</v>
      </c>
      <c r="E161" s="8">
        <v>61022</v>
      </c>
      <c r="F161" s="1" t="s">
        <v>129</v>
      </c>
      <c r="I161" s="1" t="s">
        <v>131</v>
      </c>
    </row>
    <row r="162" spans="1:9">
      <c r="A162" s="1" t="s">
        <v>121</v>
      </c>
      <c r="B162" s="1" t="s">
        <v>128</v>
      </c>
      <c r="C162" s="1" t="s">
        <v>18</v>
      </c>
      <c r="D162" s="1">
        <v>2017</v>
      </c>
      <c r="E162" s="8">
        <v>104619272</v>
      </c>
      <c r="F162" s="1" t="s">
        <v>129</v>
      </c>
      <c r="I162" s="1" t="s">
        <v>131</v>
      </c>
    </row>
    <row r="163" spans="1:9">
      <c r="A163" s="1" t="s">
        <v>121</v>
      </c>
      <c r="B163" s="1" t="s">
        <v>132</v>
      </c>
      <c r="C163" s="1" t="s">
        <v>18</v>
      </c>
      <c r="D163" s="1">
        <v>2017</v>
      </c>
      <c r="E163" s="8">
        <v>0.15</v>
      </c>
      <c r="F163" s="1" t="s">
        <v>129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15</v>
      </c>
      <c r="D164" s="1">
        <v>2017</v>
      </c>
      <c r="E164" s="8">
        <v>559</v>
      </c>
      <c r="F164" s="1" t="s">
        <v>129</v>
      </c>
      <c r="I164" s="1" t="s">
        <v>131</v>
      </c>
    </row>
    <row r="165" spans="1:9">
      <c r="A165" s="1" t="s">
        <v>121</v>
      </c>
      <c r="B165" s="1" t="s">
        <v>133</v>
      </c>
      <c r="C165" s="1" t="s">
        <v>15</v>
      </c>
      <c r="D165" s="1">
        <v>2017</v>
      </c>
      <c r="E165" s="8">
        <v>1823</v>
      </c>
      <c r="F165" s="1" t="s">
        <v>129</v>
      </c>
      <c r="I165" s="1" t="s">
        <v>131</v>
      </c>
    </row>
    <row r="166" spans="1:9">
      <c r="A166" s="1" t="s">
        <v>121</v>
      </c>
      <c r="B166" s="1" t="s">
        <v>128</v>
      </c>
      <c r="C166" s="1" t="s">
        <v>15</v>
      </c>
      <c r="D166" s="1">
        <v>2017</v>
      </c>
      <c r="E166" s="8">
        <v>10394551</v>
      </c>
      <c r="F166" s="1" t="s">
        <v>129</v>
      </c>
      <c r="I166" s="1" t="s">
        <v>131</v>
      </c>
    </row>
    <row r="167" spans="1:9">
      <c r="A167" s="1" t="s">
        <v>121</v>
      </c>
      <c r="B167" s="1" t="s">
        <v>132</v>
      </c>
      <c r="C167" s="1" t="s">
        <v>15</v>
      </c>
      <c r="D167" s="1">
        <v>2017</v>
      </c>
      <c r="E167" s="8">
        <v>0</v>
      </c>
      <c r="F167" s="1" t="s">
        <v>129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2016</v>
      </c>
      <c r="E168" s="8">
        <v>3682</v>
      </c>
      <c r="F168" s="1" t="s">
        <v>129</v>
      </c>
      <c r="I168" s="1" t="s">
        <v>131</v>
      </c>
    </row>
    <row r="169" spans="1:9">
      <c r="A169" s="1" t="s">
        <v>121</v>
      </c>
      <c r="B169" s="1" t="s">
        <v>133</v>
      </c>
      <c r="C169" s="1" t="s">
        <v>11</v>
      </c>
      <c r="D169" s="1">
        <v>2016</v>
      </c>
      <c r="E169" s="8">
        <v>13199</v>
      </c>
      <c r="F169" s="1" t="s">
        <v>129</v>
      </c>
      <c r="I169" s="1" t="s">
        <v>131</v>
      </c>
    </row>
    <row r="170" spans="1:9">
      <c r="A170" s="1" t="s">
        <v>121</v>
      </c>
      <c r="B170" s="1" t="s">
        <v>128</v>
      </c>
      <c r="C170" s="1" t="s">
        <v>11</v>
      </c>
      <c r="D170" s="1">
        <v>2016</v>
      </c>
      <c r="E170" s="8">
        <v>43199657</v>
      </c>
      <c r="F170" s="1" t="s">
        <v>129</v>
      </c>
      <c r="I170" s="1" t="s">
        <v>131</v>
      </c>
    </row>
    <row r="171" spans="1:9">
      <c r="A171" s="1" t="s">
        <v>121</v>
      </c>
      <c r="B171" s="1" t="s">
        <v>132</v>
      </c>
      <c r="C171" s="1" t="s">
        <v>11</v>
      </c>
      <c r="D171" s="1">
        <v>2016</v>
      </c>
      <c r="E171" s="8">
        <v>0.02</v>
      </c>
      <c r="F171" s="1" t="s">
        <v>129</v>
      </c>
      <c r="I171" s="1" t="s">
        <v>131</v>
      </c>
    </row>
    <row r="172" spans="1:9">
      <c r="A172" s="1" t="s">
        <v>121</v>
      </c>
      <c r="B172" s="1" t="s">
        <v>134</v>
      </c>
      <c r="C172" s="1" t="s">
        <v>18</v>
      </c>
      <c r="D172" s="1">
        <v>2016</v>
      </c>
      <c r="E172" s="8">
        <v>56173</v>
      </c>
      <c r="F172" s="1" t="s">
        <v>129</v>
      </c>
      <c r="I172" s="1" t="s">
        <v>131</v>
      </c>
    </row>
    <row r="173" spans="1:9">
      <c r="A173" s="1" t="s">
        <v>121</v>
      </c>
      <c r="B173" s="1" t="s">
        <v>133</v>
      </c>
      <c r="C173" s="1" t="s">
        <v>18</v>
      </c>
      <c r="D173" s="1">
        <v>2016</v>
      </c>
      <c r="E173" s="8">
        <v>72246</v>
      </c>
      <c r="F173" s="1" t="s">
        <v>129</v>
      </c>
      <c r="I173" s="1" t="s">
        <v>131</v>
      </c>
    </row>
    <row r="174" spans="1:9">
      <c r="A174" s="1" t="s">
        <v>121</v>
      </c>
      <c r="B174" s="1" t="s">
        <v>128</v>
      </c>
      <c r="C174" s="1" t="s">
        <v>18</v>
      </c>
      <c r="D174" s="1">
        <v>2016</v>
      </c>
      <c r="E174" s="8">
        <v>106376761</v>
      </c>
      <c r="F174" s="1" t="s">
        <v>129</v>
      </c>
      <c r="I174" s="1" t="s">
        <v>131</v>
      </c>
    </row>
    <row r="175" spans="1:9">
      <c r="A175" s="1" t="s">
        <v>121</v>
      </c>
      <c r="B175" s="1" t="s">
        <v>132</v>
      </c>
      <c r="C175" s="1" t="s">
        <v>18</v>
      </c>
      <c r="D175" s="1">
        <v>2016</v>
      </c>
      <c r="E175" s="8">
        <v>0.17</v>
      </c>
      <c r="F175" s="1" t="s">
        <v>129</v>
      </c>
      <c r="I175" s="1" t="s">
        <v>131</v>
      </c>
    </row>
    <row r="176" spans="1:9" ht="15.75">
      <c r="A176" s="1" t="s">
        <v>121</v>
      </c>
      <c r="B176" s="1" t="s">
        <v>134</v>
      </c>
      <c r="C176" s="1" t="s">
        <v>15</v>
      </c>
      <c r="D176" s="1">
        <v>2016</v>
      </c>
      <c r="E176" s="8">
        <v>1095</v>
      </c>
      <c r="F176" s="1" t="s">
        <v>129</v>
      </c>
      <c r="I176" s="9" t="s">
        <v>131</v>
      </c>
    </row>
    <row r="177" spans="1:9">
      <c r="A177" s="1" t="s">
        <v>121</v>
      </c>
      <c r="B177" s="1" t="s">
        <v>133</v>
      </c>
      <c r="C177" s="1" t="s">
        <v>15</v>
      </c>
      <c r="D177" s="1">
        <v>2016</v>
      </c>
      <c r="E177" s="8">
        <v>2421</v>
      </c>
      <c r="F177" s="1" t="s">
        <v>129</v>
      </c>
      <c r="I177" s="1" t="s">
        <v>131</v>
      </c>
    </row>
    <row r="178" spans="1:9">
      <c r="A178" s="1" t="s">
        <v>121</v>
      </c>
      <c r="B178" s="1" t="s">
        <v>128</v>
      </c>
      <c r="C178" s="1" t="s">
        <v>15</v>
      </c>
      <c r="D178" s="1">
        <v>2016</v>
      </c>
      <c r="E178" s="8">
        <v>9836775</v>
      </c>
      <c r="F178" s="1" t="s">
        <v>129</v>
      </c>
      <c r="I178" s="1" t="s">
        <v>131</v>
      </c>
    </row>
    <row r="179" spans="1:9">
      <c r="A179" s="1" t="s">
        <v>121</v>
      </c>
      <c r="B179" s="1" t="s">
        <v>132</v>
      </c>
      <c r="C179" s="1" t="s">
        <v>15</v>
      </c>
      <c r="D179" s="1">
        <v>2016</v>
      </c>
      <c r="E179" s="8">
        <v>0</v>
      </c>
      <c r="F179" s="1" t="s">
        <v>129</v>
      </c>
      <c r="I179" s="1" t="s">
        <v>131</v>
      </c>
    </row>
    <row r="180" spans="1:9">
      <c r="A180" s="7" t="s">
        <v>121</v>
      </c>
      <c r="B180" s="7" t="s">
        <v>134</v>
      </c>
      <c r="C180" s="7" t="s">
        <v>11</v>
      </c>
      <c r="D180" s="1">
        <v>2015</v>
      </c>
      <c r="E180" s="8">
        <v>4742</v>
      </c>
      <c r="F180" s="1" t="s">
        <v>129</v>
      </c>
      <c r="I180" s="1" t="s">
        <v>131</v>
      </c>
    </row>
    <row r="181" spans="1:9">
      <c r="A181" s="7" t="s">
        <v>121</v>
      </c>
      <c r="B181" s="7" t="s">
        <v>133</v>
      </c>
      <c r="C181" s="7" t="s">
        <v>11</v>
      </c>
      <c r="D181" s="1">
        <v>2015</v>
      </c>
      <c r="E181" s="8">
        <v>17088</v>
      </c>
      <c r="F181" s="1" t="s">
        <v>129</v>
      </c>
      <c r="I181" s="1" t="s">
        <v>131</v>
      </c>
    </row>
    <row r="182" spans="1:9">
      <c r="A182" s="7" t="s">
        <v>121</v>
      </c>
      <c r="B182" s="7" t="s">
        <v>128</v>
      </c>
      <c r="C182" s="7" t="s">
        <v>11</v>
      </c>
      <c r="D182" s="1">
        <v>2015</v>
      </c>
      <c r="E182" s="8">
        <v>52793763</v>
      </c>
      <c r="F182" s="1" t="s">
        <v>129</v>
      </c>
      <c r="I182" s="1" t="s">
        <v>131</v>
      </c>
    </row>
    <row r="183" spans="1:9">
      <c r="A183" s="7" t="s">
        <v>121</v>
      </c>
      <c r="B183" s="7" t="s">
        <v>132</v>
      </c>
      <c r="C183" s="7" t="s">
        <v>11</v>
      </c>
      <c r="D183" s="1">
        <v>2015</v>
      </c>
      <c r="E183" s="8">
        <v>0.3</v>
      </c>
      <c r="F183" s="1" t="s">
        <v>129</v>
      </c>
      <c r="I183" s="1" t="s">
        <v>131</v>
      </c>
    </row>
    <row r="184" spans="1:9">
      <c r="A184" s="7" t="s">
        <v>121</v>
      </c>
      <c r="B184" s="7" t="s">
        <v>134</v>
      </c>
      <c r="C184" s="7" t="s">
        <v>18</v>
      </c>
      <c r="D184" s="1">
        <v>2015</v>
      </c>
      <c r="E184" s="8">
        <v>101918</v>
      </c>
      <c r="F184" s="1" t="s">
        <v>129</v>
      </c>
      <c r="I184" s="1" t="s">
        <v>131</v>
      </c>
    </row>
    <row r="185" spans="1:9">
      <c r="A185" s="7" t="s">
        <v>121</v>
      </c>
      <c r="B185" s="7" t="s">
        <v>133</v>
      </c>
      <c r="C185" s="7" t="s">
        <v>18</v>
      </c>
      <c r="D185" s="1">
        <v>2015</v>
      </c>
      <c r="E185" s="8">
        <v>78257</v>
      </c>
      <c r="F185" s="1" t="s">
        <v>129</v>
      </c>
      <c r="I185" s="1" t="s">
        <v>131</v>
      </c>
    </row>
    <row r="186" spans="1:9">
      <c r="A186" s="7" t="s">
        <v>121</v>
      </c>
      <c r="B186" s="7" t="s">
        <v>128</v>
      </c>
      <c r="C186" s="7" t="s">
        <v>18</v>
      </c>
      <c r="D186" s="1">
        <v>2015</v>
      </c>
      <c r="E186" s="8">
        <v>107913913</v>
      </c>
      <c r="F186" s="1" t="s">
        <v>129</v>
      </c>
      <c r="I186" s="1" t="s">
        <v>131</v>
      </c>
    </row>
    <row r="187" spans="1:9">
      <c r="A187" s="7" t="s">
        <v>121</v>
      </c>
      <c r="B187" s="7" t="s">
        <v>132</v>
      </c>
      <c r="C187" s="7" t="s">
        <v>18</v>
      </c>
      <c r="D187" s="1">
        <v>2015</v>
      </c>
      <c r="E187" s="8">
        <v>0.31</v>
      </c>
      <c r="F187" s="1" t="s">
        <v>129</v>
      </c>
      <c r="I187" s="1" t="s">
        <v>131</v>
      </c>
    </row>
    <row r="188" spans="1:9">
      <c r="A188" s="7" t="s">
        <v>121</v>
      </c>
      <c r="B188" s="7" t="s">
        <v>134</v>
      </c>
      <c r="C188" s="7" t="s">
        <v>15</v>
      </c>
      <c r="D188" s="1">
        <v>2015</v>
      </c>
      <c r="E188" s="8">
        <v>1317</v>
      </c>
      <c r="F188" s="1" t="s">
        <v>129</v>
      </c>
      <c r="I188" s="1" t="s">
        <v>131</v>
      </c>
    </row>
    <row r="189" spans="1:9">
      <c r="A189" s="7" t="s">
        <v>121</v>
      </c>
      <c r="B189" s="7" t="s">
        <v>133</v>
      </c>
      <c r="C189" s="7" t="s">
        <v>15</v>
      </c>
      <c r="D189" s="1">
        <v>2015</v>
      </c>
      <c r="E189" s="8">
        <v>2356</v>
      </c>
      <c r="F189" s="1" t="s">
        <v>129</v>
      </c>
      <c r="I189" s="1" t="s">
        <v>131</v>
      </c>
    </row>
    <row r="190" spans="1:9">
      <c r="A190" s="7" t="s">
        <v>121</v>
      </c>
      <c r="B190" s="7" t="s">
        <v>128</v>
      </c>
      <c r="C190" s="7" t="s">
        <v>15</v>
      </c>
      <c r="D190" s="1">
        <v>2015</v>
      </c>
      <c r="E190" s="8">
        <v>7397355</v>
      </c>
      <c r="F190" s="1" t="s">
        <v>129</v>
      </c>
      <c r="I190" s="1" t="s">
        <v>131</v>
      </c>
    </row>
    <row r="191" spans="1:9">
      <c r="A191" s="7" t="s">
        <v>121</v>
      </c>
      <c r="B191" s="7" t="s">
        <v>132</v>
      </c>
      <c r="C191" s="7" t="s">
        <v>15</v>
      </c>
      <c r="D191" s="1">
        <v>2015</v>
      </c>
      <c r="E191" s="8">
        <v>0</v>
      </c>
      <c r="F191" s="1" t="s">
        <v>129</v>
      </c>
      <c r="I191" s="1" t="s">
        <v>131</v>
      </c>
    </row>
    <row r="192" spans="1:9">
      <c r="A192" s="7" t="s">
        <v>121</v>
      </c>
      <c r="B192" s="7" t="s">
        <v>134</v>
      </c>
      <c r="C192" s="7" t="s">
        <v>11</v>
      </c>
      <c r="D192" s="1">
        <v>2014</v>
      </c>
      <c r="E192" s="8">
        <v>7116</v>
      </c>
      <c r="F192" s="1" t="s">
        <v>129</v>
      </c>
      <c r="I192" s="1" t="s">
        <v>131</v>
      </c>
    </row>
    <row r="193" spans="1:9">
      <c r="A193" s="7" t="s">
        <v>121</v>
      </c>
      <c r="B193" s="7" t="s">
        <v>133</v>
      </c>
      <c r="C193" s="7" t="s">
        <v>11</v>
      </c>
      <c r="D193" s="1">
        <v>2014</v>
      </c>
      <c r="E193" s="8">
        <v>15681</v>
      </c>
      <c r="F193" s="1" t="s">
        <v>129</v>
      </c>
      <c r="I193" s="1" t="s">
        <v>131</v>
      </c>
    </row>
    <row r="194" spans="1:9">
      <c r="A194" s="7" t="s">
        <v>121</v>
      </c>
      <c r="B194" s="7" t="s">
        <v>128</v>
      </c>
      <c r="C194" s="7" t="s">
        <v>11</v>
      </c>
      <c r="D194" s="1">
        <v>2014</v>
      </c>
      <c r="E194" s="8">
        <v>48573857</v>
      </c>
      <c r="F194" s="1" t="s">
        <v>129</v>
      </c>
      <c r="I194" s="1" t="s">
        <v>131</v>
      </c>
    </row>
    <row r="195" spans="1:9">
      <c r="A195" s="7" t="s">
        <v>121</v>
      </c>
      <c r="B195" s="7" t="s">
        <v>132</v>
      </c>
      <c r="C195" s="7" t="s">
        <v>11</v>
      </c>
      <c r="D195" s="1">
        <v>2014</v>
      </c>
      <c r="E195" s="8">
        <v>0.04</v>
      </c>
      <c r="F195" s="1" t="s">
        <v>129</v>
      </c>
      <c r="I195" s="1" t="s">
        <v>131</v>
      </c>
    </row>
    <row r="196" spans="1:9">
      <c r="A196" s="7" t="s">
        <v>121</v>
      </c>
      <c r="B196" s="7" t="s">
        <v>134</v>
      </c>
      <c r="C196" s="7" t="s">
        <v>18</v>
      </c>
      <c r="D196" s="1">
        <v>2014</v>
      </c>
      <c r="E196" s="8">
        <v>164089</v>
      </c>
      <c r="F196" s="1" t="s">
        <v>129</v>
      </c>
      <c r="I196" s="1" t="s">
        <v>131</v>
      </c>
    </row>
    <row r="197" spans="1:9">
      <c r="A197" s="7" t="s">
        <v>121</v>
      </c>
      <c r="B197" s="7" t="s">
        <v>133</v>
      </c>
      <c r="C197" s="7" t="s">
        <v>18</v>
      </c>
      <c r="D197" s="1">
        <v>2014</v>
      </c>
      <c r="E197" s="8">
        <v>100852</v>
      </c>
      <c r="F197" s="1" t="s">
        <v>129</v>
      </c>
      <c r="I197" s="1" t="s">
        <v>131</v>
      </c>
    </row>
    <row r="198" spans="1:9">
      <c r="A198" s="7" t="s">
        <v>121</v>
      </c>
      <c r="B198" s="7" t="s">
        <v>128</v>
      </c>
      <c r="C198" s="7" t="s">
        <v>18</v>
      </c>
      <c r="D198" s="1">
        <v>2014</v>
      </c>
      <c r="E198" s="8">
        <v>138347641</v>
      </c>
      <c r="F198" s="1" t="s">
        <v>129</v>
      </c>
      <c r="I198" s="1" t="s">
        <v>131</v>
      </c>
    </row>
    <row r="199" spans="1:9">
      <c r="A199" s="7" t="s">
        <v>121</v>
      </c>
      <c r="B199" s="7" t="s">
        <v>132</v>
      </c>
      <c r="C199" s="7" t="s">
        <v>18</v>
      </c>
      <c r="D199" s="1">
        <v>2014</v>
      </c>
      <c r="E199" s="8">
        <v>0.5</v>
      </c>
      <c r="F199" s="1" t="s">
        <v>129</v>
      </c>
      <c r="I199" s="1" t="s">
        <v>131</v>
      </c>
    </row>
    <row r="200" spans="1:9">
      <c r="A200" s="7" t="s">
        <v>121</v>
      </c>
      <c r="B200" s="7" t="s">
        <v>134</v>
      </c>
      <c r="C200" s="7" t="s">
        <v>15</v>
      </c>
      <c r="D200" s="1">
        <v>2014</v>
      </c>
      <c r="E200" s="8">
        <v>1812</v>
      </c>
      <c r="F200" s="1" t="s">
        <v>129</v>
      </c>
      <c r="I200" s="1" t="s">
        <v>131</v>
      </c>
    </row>
    <row r="201" spans="1:9">
      <c r="A201" s="7" t="s">
        <v>121</v>
      </c>
      <c r="B201" s="7" t="s">
        <v>133</v>
      </c>
      <c r="C201" s="7" t="s">
        <v>15</v>
      </c>
      <c r="D201" s="1">
        <v>2014</v>
      </c>
      <c r="E201" s="8">
        <v>2282</v>
      </c>
      <c r="F201" s="1" t="s">
        <v>129</v>
      </c>
      <c r="I201" s="1" t="s">
        <v>131</v>
      </c>
    </row>
    <row r="202" spans="1:9">
      <c r="A202" s="7" t="s">
        <v>121</v>
      </c>
      <c r="B202" s="7" t="s">
        <v>128</v>
      </c>
      <c r="C202" s="7" t="s">
        <v>15</v>
      </c>
      <c r="D202" s="1">
        <v>2014</v>
      </c>
      <c r="E202" s="8">
        <v>7138620</v>
      </c>
      <c r="F202" s="1" t="s">
        <v>129</v>
      </c>
      <c r="I202" s="1" t="s">
        <v>131</v>
      </c>
    </row>
    <row r="203" spans="1:9">
      <c r="A203" s="7" t="s">
        <v>121</v>
      </c>
      <c r="B203" s="7" t="s">
        <v>132</v>
      </c>
      <c r="C203" s="7" t="s">
        <v>15</v>
      </c>
      <c r="D203" s="1">
        <v>2014</v>
      </c>
      <c r="E203" s="8">
        <v>0</v>
      </c>
      <c r="F203" s="1" t="s">
        <v>129</v>
      </c>
      <c r="I203" s="1" t="s">
        <v>131</v>
      </c>
    </row>
    <row r="204" spans="1:9">
      <c r="A204" s="7" t="s">
        <v>121</v>
      </c>
      <c r="B204" s="7" t="s">
        <v>134</v>
      </c>
      <c r="C204" s="7" t="s">
        <v>11</v>
      </c>
      <c r="D204" s="1">
        <v>2013</v>
      </c>
      <c r="E204" s="8">
        <v>4745</v>
      </c>
      <c r="F204" s="1" t="s">
        <v>129</v>
      </c>
      <c r="I204" s="1" t="s">
        <v>131</v>
      </c>
    </row>
    <row r="205" spans="1:9">
      <c r="A205" s="7" t="s">
        <v>121</v>
      </c>
      <c r="B205" s="7" t="s">
        <v>133</v>
      </c>
      <c r="C205" s="7" t="s">
        <v>11</v>
      </c>
      <c r="D205" s="1">
        <v>2013</v>
      </c>
      <c r="E205" s="8">
        <v>17422</v>
      </c>
      <c r="F205" s="1" t="s">
        <v>129</v>
      </c>
      <c r="I205" s="1" t="s">
        <v>131</v>
      </c>
    </row>
    <row r="206" spans="1:9">
      <c r="A206" s="7" t="s">
        <v>121</v>
      </c>
      <c r="B206" s="7" t="s">
        <v>128</v>
      </c>
      <c r="C206" s="7" t="s">
        <v>11</v>
      </c>
      <c r="D206" s="1">
        <v>2013</v>
      </c>
      <c r="E206" s="8">
        <v>48781601</v>
      </c>
      <c r="F206" s="1" t="s">
        <v>129</v>
      </c>
      <c r="I206" s="1" t="s">
        <v>131</v>
      </c>
    </row>
    <row r="207" spans="1:9">
      <c r="A207" s="7" t="s">
        <v>121</v>
      </c>
      <c r="B207" s="7" t="s">
        <v>132</v>
      </c>
      <c r="C207" s="7" t="s">
        <v>11</v>
      </c>
      <c r="D207" s="1">
        <v>2013</v>
      </c>
      <c r="E207" s="8">
        <v>7.0000000000000007E-2</v>
      </c>
      <c r="F207" s="1" t="s">
        <v>129</v>
      </c>
      <c r="I207" s="1" t="s">
        <v>131</v>
      </c>
    </row>
    <row r="208" spans="1:9">
      <c r="A208" s="7" t="s">
        <v>121</v>
      </c>
      <c r="B208" s="7" t="s">
        <v>134</v>
      </c>
      <c r="C208" s="7" t="s">
        <v>18</v>
      </c>
      <c r="D208" s="1">
        <v>2013</v>
      </c>
      <c r="E208" s="8">
        <v>203403</v>
      </c>
      <c r="F208" s="1" t="s">
        <v>129</v>
      </c>
      <c r="I208" s="1" t="s">
        <v>131</v>
      </c>
    </row>
    <row r="209" spans="1:9">
      <c r="A209" s="7" t="s">
        <v>121</v>
      </c>
      <c r="B209" s="7" t="s">
        <v>133</v>
      </c>
      <c r="C209" s="7" t="s">
        <v>18</v>
      </c>
      <c r="D209" s="1">
        <v>2013</v>
      </c>
      <c r="E209" s="8">
        <v>101866</v>
      </c>
      <c r="F209" s="1" t="s">
        <v>129</v>
      </c>
      <c r="I209" s="1" t="s">
        <v>131</v>
      </c>
    </row>
    <row r="210" spans="1:9">
      <c r="A210" s="7" t="s">
        <v>121</v>
      </c>
      <c r="B210" s="7" t="s">
        <v>128</v>
      </c>
      <c r="C210" s="7" t="s">
        <v>18</v>
      </c>
      <c r="D210" s="1">
        <v>2013</v>
      </c>
      <c r="E210" s="8">
        <v>136952436</v>
      </c>
      <c r="F210" s="1" t="s">
        <v>129</v>
      </c>
      <c r="I210" s="1" t="s">
        <v>131</v>
      </c>
    </row>
    <row r="211" spans="1:9">
      <c r="A211" s="7" t="s">
        <v>121</v>
      </c>
      <c r="B211" s="7" t="s">
        <v>132</v>
      </c>
      <c r="C211" s="7" t="s">
        <v>18</v>
      </c>
      <c r="D211" s="1">
        <v>2013</v>
      </c>
      <c r="E211" s="8">
        <v>0.68</v>
      </c>
      <c r="F211" s="1" t="s">
        <v>129</v>
      </c>
      <c r="I211" s="1" t="s">
        <v>131</v>
      </c>
    </row>
    <row r="212" spans="1:9">
      <c r="A212" s="7" t="s">
        <v>121</v>
      </c>
      <c r="B212" s="7" t="s">
        <v>134</v>
      </c>
      <c r="C212" s="7" t="s">
        <v>15</v>
      </c>
      <c r="D212" s="1">
        <v>2013</v>
      </c>
      <c r="E212" s="8">
        <v>14812</v>
      </c>
      <c r="F212" s="1" t="s">
        <v>129</v>
      </c>
      <c r="I212" s="1" t="s">
        <v>131</v>
      </c>
    </row>
    <row r="213" spans="1:9">
      <c r="A213" s="7" t="s">
        <v>121</v>
      </c>
      <c r="B213" s="7" t="s">
        <v>133</v>
      </c>
      <c r="C213" s="7" t="s">
        <v>15</v>
      </c>
      <c r="D213" s="1">
        <v>2013</v>
      </c>
      <c r="E213" s="8">
        <v>14908</v>
      </c>
      <c r="F213" s="1" t="s">
        <v>129</v>
      </c>
      <c r="I213" s="1" t="s">
        <v>131</v>
      </c>
    </row>
    <row r="214" spans="1:9">
      <c r="A214" s="7" t="s">
        <v>121</v>
      </c>
      <c r="B214" s="7" t="s">
        <v>128</v>
      </c>
      <c r="C214" s="7" t="s">
        <v>15</v>
      </c>
      <c r="D214" s="1">
        <v>2013</v>
      </c>
      <c r="E214" s="8">
        <v>19530597</v>
      </c>
      <c r="F214" s="1" t="s">
        <v>129</v>
      </c>
      <c r="I214" s="1" t="s">
        <v>131</v>
      </c>
    </row>
    <row r="215" spans="1:9">
      <c r="A215" s="7" t="s">
        <v>121</v>
      </c>
      <c r="B215" s="7" t="s">
        <v>132</v>
      </c>
      <c r="C215" s="7" t="s">
        <v>15</v>
      </c>
      <c r="D215" s="1">
        <v>2013</v>
      </c>
      <c r="E215" s="8">
        <v>0.1</v>
      </c>
      <c r="F215" s="1" t="s">
        <v>129</v>
      </c>
      <c r="I215" s="1" t="s">
        <v>131</v>
      </c>
    </row>
    <row r="216" spans="1:9">
      <c r="A216" s="7" t="s">
        <v>121</v>
      </c>
      <c r="B216" s="7" t="s">
        <v>134</v>
      </c>
      <c r="C216" s="7" t="s">
        <v>11</v>
      </c>
      <c r="D216" s="1">
        <v>2012</v>
      </c>
      <c r="E216" s="8">
        <v>10797</v>
      </c>
      <c r="F216" s="1" t="s">
        <v>129</v>
      </c>
      <c r="I216" s="1" t="s">
        <v>131</v>
      </c>
    </row>
    <row r="217" spans="1:9">
      <c r="A217" s="7" t="s">
        <v>121</v>
      </c>
      <c r="B217" s="7" t="s">
        <v>133</v>
      </c>
      <c r="C217" s="7" t="s">
        <v>11</v>
      </c>
      <c r="D217" s="1">
        <v>2012</v>
      </c>
      <c r="E217" s="8">
        <v>19255</v>
      </c>
      <c r="F217" s="1" t="s">
        <v>129</v>
      </c>
      <c r="I217" s="1" t="s">
        <v>131</v>
      </c>
    </row>
    <row r="218" spans="1:9">
      <c r="A218" s="7" t="s">
        <v>121</v>
      </c>
      <c r="B218" s="7" t="s">
        <v>128</v>
      </c>
      <c r="C218" s="7" t="s">
        <v>11</v>
      </c>
      <c r="D218" s="1">
        <v>2012</v>
      </c>
      <c r="E218" s="8">
        <v>50603271</v>
      </c>
      <c r="F218" s="1" t="s">
        <v>129</v>
      </c>
      <c r="I218" s="1" t="s">
        <v>131</v>
      </c>
    </row>
    <row r="219" spans="1:9">
      <c r="A219" s="7" t="s">
        <v>121</v>
      </c>
      <c r="B219" s="7" t="s">
        <v>132</v>
      </c>
      <c r="C219" s="7" t="s">
        <v>11</v>
      </c>
      <c r="D219" s="1">
        <v>2012</v>
      </c>
      <c r="E219" s="8">
        <v>0.04</v>
      </c>
      <c r="F219" s="1" t="s">
        <v>129</v>
      </c>
      <c r="I219" s="1" t="s">
        <v>131</v>
      </c>
    </row>
    <row r="220" spans="1:9">
      <c r="A220" s="7" t="s">
        <v>121</v>
      </c>
      <c r="B220" s="7" t="s">
        <v>134</v>
      </c>
      <c r="C220" s="7" t="s">
        <v>18</v>
      </c>
      <c r="D220" s="1">
        <v>2012</v>
      </c>
      <c r="E220" s="8">
        <v>213024</v>
      </c>
      <c r="F220" s="1" t="s">
        <v>129</v>
      </c>
      <c r="I220" s="1" t="s">
        <v>131</v>
      </c>
    </row>
    <row r="221" spans="1:9">
      <c r="A221" s="7" t="s">
        <v>121</v>
      </c>
      <c r="B221" s="7" t="s">
        <v>133</v>
      </c>
      <c r="C221" s="7" t="s">
        <v>18</v>
      </c>
      <c r="D221" s="1">
        <v>2012</v>
      </c>
      <c r="E221" s="8">
        <v>99653</v>
      </c>
      <c r="F221" s="1" t="s">
        <v>129</v>
      </c>
      <c r="I221" s="1" t="s">
        <v>131</v>
      </c>
    </row>
    <row r="222" spans="1:9">
      <c r="A222" s="7" t="s">
        <v>121</v>
      </c>
      <c r="B222" s="7" t="s">
        <v>128</v>
      </c>
      <c r="C222" s="7" t="s">
        <v>18</v>
      </c>
      <c r="D222" s="1">
        <v>2012</v>
      </c>
      <c r="E222" s="8">
        <v>134277330</v>
      </c>
      <c r="F222" s="1" t="s">
        <v>129</v>
      </c>
      <c r="I222" s="1" t="s">
        <v>131</v>
      </c>
    </row>
    <row r="223" spans="1:9">
      <c r="A223" s="7" t="s">
        <v>121</v>
      </c>
      <c r="B223" s="7" t="s">
        <v>132</v>
      </c>
      <c r="C223" s="7" t="s">
        <v>18</v>
      </c>
      <c r="D223" s="1">
        <v>2012</v>
      </c>
      <c r="E223" s="8">
        <v>0.67</v>
      </c>
      <c r="F223" s="1" t="s">
        <v>129</v>
      </c>
      <c r="I223" s="1" t="s">
        <v>131</v>
      </c>
    </row>
    <row r="224" spans="1:9">
      <c r="A224" s="7" t="s">
        <v>121</v>
      </c>
      <c r="B224" s="7" t="s">
        <v>134</v>
      </c>
      <c r="C224" s="7" t="s">
        <v>15</v>
      </c>
      <c r="D224" s="1">
        <v>2012</v>
      </c>
      <c r="E224" s="8">
        <v>15296</v>
      </c>
      <c r="F224" s="1" t="s">
        <v>129</v>
      </c>
      <c r="I224" s="1" t="s">
        <v>131</v>
      </c>
    </row>
    <row r="225" spans="1:9">
      <c r="A225" s="7" t="s">
        <v>121</v>
      </c>
      <c r="B225" s="7" t="s">
        <v>133</v>
      </c>
      <c r="C225" s="7" t="s">
        <v>15</v>
      </c>
      <c r="D225" s="1">
        <v>2012</v>
      </c>
      <c r="E225" s="8">
        <v>14791</v>
      </c>
      <c r="F225" s="1" t="s">
        <v>129</v>
      </c>
      <c r="I225" s="1" t="s">
        <v>131</v>
      </c>
    </row>
    <row r="226" spans="1:9">
      <c r="A226" s="7" t="s">
        <v>121</v>
      </c>
      <c r="B226" s="7" t="s">
        <v>128</v>
      </c>
      <c r="C226" s="7" t="s">
        <v>15</v>
      </c>
      <c r="D226" s="1">
        <v>2012</v>
      </c>
      <c r="E226" s="8">
        <v>19632361</v>
      </c>
      <c r="F226" s="1" t="s">
        <v>129</v>
      </c>
      <c r="I226" s="1" t="s">
        <v>131</v>
      </c>
    </row>
    <row r="227" spans="1:9">
      <c r="A227" s="7" t="s">
        <v>121</v>
      </c>
      <c r="B227" s="7" t="s">
        <v>132</v>
      </c>
      <c r="C227" s="7" t="s">
        <v>15</v>
      </c>
      <c r="D227" s="1">
        <v>2012</v>
      </c>
      <c r="E227" s="8">
        <v>0.09</v>
      </c>
      <c r="F227" s="1" t="s">
        <v>129</v>
      </c>
      <c r="I227" s="1" t="s">
        <v>131</v>
      </c>
    </row>
    <row r="228" spans="1:9">
      <c r="A228" s="7" t="s">
        <v>121</v>
      </c>
      <c r="B228" s="7" t="s">
        <v>134</v>
      </c>
      <c r="C228" s="7" t="s">
        <v>11</v>
      </c>
      <c r="D228" s="1">
        <v>2011</v>
      </c>
      <c r="E228" s="8">
        <v>16203</v>
      </c>
      <c r="F228" s="1" t="s">
        <v>129</v>
      </c>
      <c r="I228" s="1" t="s">
        <v>131</v>
      </c>
    </row>
    <row r="229" spans="1:9">
      <c r="A229" s="7" t="s">
        <v>121</v>
      </c>
      <c r="B229" s="7" t="s">
        <v>133</v>
      </c>
      <c r="C229" s="7" t="s">
        <v>11</v>
      </c>
      <c r="D229" s="1">
        <v>2011</v>
      </c>
      <c r="E229" s="8">
        <v>18360</v>
      </c>
      <c r="F229" s="1" t="s">
        <v>129</v>
      </c>
      <c r="I229" s="1" t="s">
        <v>131</v>
      </c>
    </row>
    <row r="230" spans="1:9">
      <c r="A230" s="7" t="s">
        <v>121</v>
      </c>
      <c r="B230" s="7" t="s">
        <v>128</v>
      </c>
      <c r="C230" s="7" t="s">
        <v>11</v>
      </c>
      <c r="D230" s="1">
        <v>2011</v>
      </c>
      <c r="E230" s="8">
        <v>48271089</v>
      </c>
      <c r="F230" s="1" t="s">
        <v>129</v>
      </c>
      <c r="I230" s="1" t="s">
        <v>131</v>
      </c>
    </row>
    <row r="231" spans="1:9">
      <c r="A231" s="7" t="s">
        <v>121</v>
      </c>
      <c r="B231" s="7" t="s">
        <v>132</v>
      </c>
      <c r="C231" s="7" t="s">
        <v>11</v>
      </c>
      <c r="D231" s="1">
        <v>2011</v>
      </c>
      <c r="E231" s="8">
        <v>0.03</v>
      </c>
      <c r="F231" s="1" t="s">
        <v>129</v>
      </c>
      <c r="I231" s="1" t="s">
        <v>131</v>
      </c>
    </row>
    <row r="232" spans="1:9">
      <c r="A232" s="7" t="s">
        <v>121</v>
      </c>
      <c r="B232" s="7" t="s">
        <v>134</v>
      </c>
      <c r="C232" s="7" t="s">
        <v>18</v>
      </c>
      <c r="D232" s="1">
        <v>2011</v>
      </c>
      <c r="E232" s="8">
        <v>231562</v>
      </c>
      <c r="F232" s="1" t="s">
        <v>129</v>
      </c>
      <c r="I232" s="1" t="s">
        <v>131</v>
      </c>
    </row>
    <row r="233" spans="1:9">
      <c r="A233" s="7" t="s">
        <v>121</v>
      </c>
      <c r="B233" s="7" t="s">
        <v>133</v>
      </c>
      <c r="C233" s="7" t="s">
        <v>18</v>
      </c>
      <c r="D233" s="1">
        <v>2011</v>
      </c>
      <c r="E233" s="8">
        <v>76307</v>
      </c>
      <c r="F233" s="1" t="s">
        <v>129</v>
      </c>
      <c r="I233" s="1" t="s">
        <v>131</v>
      </c>
    </row>
    <row r="234" spans="1:9">
      <c r="A234" s="7" t="s">
        <v>121</v>
      </c>
      <c r="B234" s="7" t="s">
        <v>128</v>
      </c>
      <c r="C234" s="7" t="s">
        <v>18</v>
      </c>
      <c r="D234" s="1">
        <v>2011</v>
      </c>
      <c r="E234" s="8">
        <v>93461832</v>
      </c>
      <c r="F234" s="1" t="s">
        <v>129</v>
      </c>
      <c r="I234" s="1" t="s">
        <v>131</v>
      </c>
    </row>
    <row r="235" spans="1:9">
      <c r="A235" s="7" t="s">
        <v>121</v>
      </c>
      <c r="B235" s="7" t="s">
        <v>132</v>
      </c>
      <c r="C235" s="7" t="s">
        <v>18</v>
      </c>
      <c r="D235" s="1">
        <v>2011</v>
      </c>
      <c r="E235" s="8">
        <v>0.57999999999999996</v>
      </c>
      <c r="F235" s="1" t="s">
        <v>129</v>
      </c>
      <c r="I235" s="1" t="s">
        <v>131</v>
      </c>
    </row>
    <row r="236" spans="1:9">
      <c r="A236" s="7" t="s">
        <v>121</v>
      </c>
      <c r="B236" s="7" t="s">
        <v>134</v>
      </c>
      <c r="C236" s="7" t="s">
        <v>15</v>
      </c>
      <c r="D236" s="1">
        <v>2011</v>
      </c>
      <c r="E236" s="8">
        <v>12346</v>
      </c>
      <c r="F236" s="1" t="s">
        <v>129</v>
      </c>
      <c r="I236" s="1" t="s">
        <v>131</v>
      </c>
    </row>
    <row r="237" spans="1:9">
      <c r="A237" s="7" t="s">
        <v>121</v>
      </c>
      <c r="B237" s="7" t="s">
        <v>133</v>
      </c>
      <c r="C237" s="7" t="s">
        <v>15</v>
      </c>
      <c r="D237" s="1">
        <v>2011</v>
      </c>
      <c r="E237" s="8">
        <v>9611</v>
      </c>
      <c r="F237" s="1" t="s">
        <v>129</v>
      </c>
      <c r="I237" s="1" t="s">
        <v>131</v>
      </c>
    </row>
    <row r="238" spans="1:9">
      <c r="A238" s="7" t="s">
        <v>121</v>
      </c>
      <c r="B238" s="7" t="s">
        <v>128</v>
      </c>
      <c r="C238" s="7" t="s">
        <v>15</v>
      </c>
      <c r="D238" s="1">
        <v>2011</v>
      </c>
      <c r="E238" s="8">
        <v>7290715</v>
      </c>
      <c r="F238" s="1" t="s">
        <v>129</v>
      </c>
      <c r="I238" s="1" t="s">
        <v>131</v>
      </c>
    </row>
    <row r="239" spans="1:9">
      <c r="A239" s="7" t="s">
        <v>121</v>
      </c>
      <c r="B239" s="7" t="s">
        <v>132</v>
      </c>
      <c r="C239" s="7" t="s">
        <v>15</v>
      </c>
      <c r="D239" s="1">
        <v>2011</v>
      </c>
      <c r="E239" s="8">
        <v>7.0000000000000007E-2</v>
      </c>
      <c r="F239" s="1" t="s">
        <v>129</v>
      </c>
      <c r="I239" s="1" t="s">
        <v>131</v>
      </c>
    </row>
    <row r="240" spans="1:9">
      <c r="A240" s="7" t="s">
        <v>121</v>
      </c>
      <c r="B240" s="7" t="s">
        <v>134</v>
      </c>
      <c r="C240" s="7" t="s">
        <v>11</v>
      </c>
      <c r="D240" s="1">
        <v>2010</v>
      </c>
      <c r="E240" s="8">
        <v>36944</v>
      </c>
      <c r="F240" s="1" t="s">
        <v>129</v>
      </c>
      <c r="I240" s="1" t="s">
        <v>131</v>
      </c>
    </row>
    <row r="241" spans="1:9">
      <c r="A241" s="7" t="s">
        <v>121</v>
      </c>
      <c r="B241" s="7" t="s">
        <v>133</v>
      </c>
      <c r="C241" s="7" t="s">
        <v>11</v>
      </c>
      <c r="D241" s="1">
        <v>2010</v>
      </c>
      <c r="E241" s="8">
        <v>25921</v>
      </c>
      <c r="F241" s="1" t="s">
        <v>129</v>
      </c>
      <c r="I241" s="1" t="s">
        <v>131</v>
      </c>
    </row>
    <row r="242" spans="1:9">
      <c r="A242" s="7" t="s">
        <v>121</v>
      </c>
      <c r="B242" s="7" t="s">
        <v>128</v>
      </c>
      <c r="C242" s="7" t="s">
        <v>11</v>
      </c>
      <c r="D242" s="1">
        <v>2010</v>
      </c>
      <c r="E242" s="8">
        <v>50743519</v>
      </c>
      <c r="F242" s="1" t="s">
        <v>129</v>
      </c>
      <c r="I242" s="1" t="s">
        <v>131</v>
      </c>
    </row>
    <row r="243" spans="1:9">
      <c r="A243" s="7" t="s">
        <v>121</v>
      </c>
      <c r="B243" s="7" t="s">
        <v>132</v>
      </c>
      <c r="C243" s="7" t="s">
        <v>11</v>
      </c>
      <c r="D243" s="1">
        <v>2010</v>
      </c>
      <c r="E243" s="8">
        <v>0.03</v>
      </c>
      <c r="F243" s="1" t="s">
        <v>129</v>
      </c>
      <c r="I243" s="1" t="s">
        <v>131</v>
      </c>
    </row>
    <row r="244" spans="1:9">
      <c r="A244" s="7" t="s">
        <v>121</v>
      </c>
      <c r="B244" s="7" t="s">
        <v>134</v>
      </c>
      <c r="C244" s="7" t="s">
        <v>18</v>
      </c>
      <c r="D244" s="1">
        <v>2010</v>
      </c>
      <c r="E244" s="8">
        <v>238181</v>
      </c>
      <c r="F244" s="1" t="s">
        <v>129</v>
      </c>
      <c r="I244" s="1" t="s">
        <v>131</v>
      </c>
    </row>
    <row r="245" spans="1:9">
      <c r="A245" s="7" t="s">
        <v>121</v>
      </c>
      <c r="B245" s="7" t="s">
        <v>133</v>
      </c>
      <c r="C245" s="7" t="s">
        <v>18</v>
      </c>
      <c r="D245" s="1">
        <v>2010</v>
      </c>
      <c r="E245" s="8">
        <v>75193</v>
      </c>
      <c r="F245" s="1" t="s">
        <v>129</v>
      </c>
      <c r="I245" s="1" t="s">
        <v>131</v>
      </c>
    </row>
    <row r="246" spans="1:9">
      <c r="A246" s="7" t="s">
        <v>121</v>
      </c>
      <c r="B246" s="7" t="s">
        <v>128</v>
      </c>
      <c r="C246" s="7" t="s">
        <v>18</v>
      </c>
      <c r="D246" s="1">
        <v>2010</v>
      </c>
      <c r="E246" s="8">
        <v>100165488</v>
      </c>
      <c r="F246" s="1" t="s">
        <v>129</v>
      </c>
      <c r="I246" s="1" t="s">
        <v>131</v>
      </c>
    </row>
    <row r="247" spans="1:9">
      <c r="A247" s="7" t="s">
        <v>121</v>
      </c>
      <c r="B247" s="7" t="s">
        <v>132</v>
      </c>
      <c r="C247" s="7" t="s">
        <v>18</v>
      </c>
      <c r="D247" s="1">
        <v>2010</v>
      </c>
      <c r="E247" s="8">
        <v>0.69</v>
      </c>
      <c r="F247" s="1" t="s">
        <v>129</v>
      </c>
      <c r="I247" s="1" t="s">
        <v>131</v>
      </c>
    </row>
    <row r="248" spans="1:9">
      <c r="A248" s="7" t="s">
        <v>121</v>
      </c>
      <c r="B248" s="7" t="s">
        <v>134</v>
      </c>
      <c r="C248" s="7" t="s">
        <v>15</v>
      </c>
      <c r="D248" s="1">
        <v>2010</v>
      </c>
      <c r="E248" s="8">
        <v>16911</v>
      </c>
      <c r="F248" s="1" t="s">
        <v>129</v>
      </c>
      <c r="I248" s="1" t="s">
        <v>131</v>
      </c>
    </row>
    <row r="249" spans="1:9">
      <c r="A249" s="7" t="s">
        <v>121</v>
      </c>
      <c r="B249" s="7" t="s">
        <v>133</v>
      </c>
      <c r="C249" s="7" t="s">
        <v>15</v>
      </c>
      <c r="D249" s="1">
        <v>2010</v>
      </c>
      <c r="E249" s="8">
        <v>10697</v>
      </c>
      <c r="F249" s="1" t="s">
        <v>129</v>
      </c>
      <c r="I249" s="1" t="s">
        <v>131</v>
      </c>
    </row>
    <row r="250" spans="1:9">
      <c r="A250" s="7" t="s">
        <v>121</v>
      </c>
      <c r="B250" s="7" t="s">
        <v>128</v>
      </c>
      <c r="C250" s="7" t="s">
        <v>15</v>
      </c>
      <c r="D250" s="1">
        <v>2010</v>
      </c>
      <c r="E250" s="8">
        <v>9520088</v>
      </c>
      <c r="F250" s="1" t="s">
        <v>129</v>
      </c>
      <c r="I250" s="1" t="s">
        <v>131</v>
      </c>
    </row>
    <row r="251" spans="1:9">
      <c r="A251" s="7" t="s">
        <v>121</v>
      </c>
      <c r="B251" s="7" t="s">
        <v>132</v>
      </c>
      <c r="C251" s="7" t="s">
        <v>15</v>
      </c>
      <c r="D251" s="1">
        <v>2010</v>
      </c>
      <c r="E251" s="8">
        <v>0.11</v>
      </c>
      <c r="F251" s="1" t="s">
        <v>129</v>
      </c>
      <c r="I251" s="1" t="s">
        <v>131</v>
      </c>
    </row>
    <row r="252" spans="1:9">
      <c r="A252" s="7" t="s">
        <v>121</v>
      </c>
      <c r="B252" s="7" t="s">
        <v>134</v>
      </c>
      <c r="C252" s="7" t="s">
        <v>11</v>
      </c>
      <c r="D252" s="1">
        <v>2008</v>
      </c>
      <c r="E252" s="8">
        <v>48974</v>
      </c>
      <c r="F252" s="1" t="s">
        <v>129</v>
      </c>
      <c r="I252" s="1" t="s">
        <v>131</v>
      </c>
    </row>
    <row r="253" spans="1:9">
      <c r="A253" s="7" t="s">
        <v>121</v>
      </c>
      <c r="B253" s="7" t="s">
        <v>133</v>
      </c>
      <c r="C253" s="7" t="s">
        <v>11</v>
      </c>
      <c r="D253" s="1">
        <v>2008</v>
      </c>
      <c r="E253" s="8">
        <v>34845</v>
      </c>
      <c r="F253" s="1" t="s">
        <v>129</v>
      </c>
      <c r="I253" s="1" t="s">
        <v>131</v>
      </c>
    </row>
    <row r="254" spans="1:9">
      <c r="A254" s="7" t="s">
        <v>121</v>
      </c>
      <c r="B254" s="7" t="s">
        <v>128</v>
      </c>
      <c r="C254" s="7" t="s">
        <v>11</v>
      </c>
      <c r="D254" s="1">
        <v>2008</v>
      </c>
      <c r="E254" s="8">
        <v>49545564</v>
      </c>
      <c r="F254" s="1" t="s">
        <v>129</v>
      </c>
      <c r="I254" s="1" t="s">
        <v>131</v>
      </c>
    </row>
    <row r="255" spans="1:9">
      <c r="A255" s="7" t="s">
        <v>121</v>
      </c>
      <c r="B255" s="7" t="s">
        <v>132</v>
      </c>
      <c r="C255" s="7" t="s">
        <v>11</v>
      </c>
      <c r="D255" s="1">
        <v>2008</v>
      </c>
      <c r="E255" s="8">
        <v>0.2</v>
      </c>
      <c r="F255" s="1" t="s">
        <v>129</v>
      </c>
      <c r="I255" s="1" t="s">
        <v>131</v>
      </c>
    </row>
    <row r="256" spans="1:9">
      <c r="A256" s="7" t="s">
        <v>121</v>
      </c>
      <c r="B256" s="7" t="s">
        <v>134</v>
      </c>
      <c r="C256" s="7" t="s">
        <v>18</v>
      </c>
      <c r="D256" s="1">
        <v>2008</v>
      </c>
      <c r="E256" s="8">
        <v>403504</v>
      </c>
      <c r="F256" s="1" t="s">
        <v>129</v>
      </c>
      <c r="I256" s="1" t="s">
        <v>131</v>
      </c>
    </row>
    <row r="257" spans="1:9">
      <c r="A257" s="7" t="s">
        <v>121</v>
      </c>
      <c r="B257" s="7" t="s">
        <v>133</v>
      </c>
      <c r="C257" s="7" t="s">
        <v>18</v>
      </c>
      <c r="D257" s="1">
        <v>2008</v>
      </c>
      <c r="E257" s="8">
        <v>125180</v>
      </c>
      <c r="F257" s="1" t="s">
        <v>129</v>
      </c>
      <c r="I257" s="1" t="s">
        <v>131</v>
      </c>
    </row>
    <row r="258" spans="1:9">
      <c r="A258" s="7" t="s">
        <v>121</v>
      </c>
      <c r="B258" s="7" t="s">
        <v>128</v>
      </c>
      <c r="C258" s="7" t="s">
        <v>18</v>
      </c>
      <c r="D258" s="1">
        <v>2008</v>
      </c>
      <c r="E258" s="8">
        <v>105512223</v>
      </c>
      <c r="F258" s="1" t="s">
        <v>129</v>
      </c>
      <c r="I258" s="1" t="s">
        <v>131</v>
      </c>
    </row>
    <row r="259" spans="1:9">
      <c r="A259" s="7" t="s">
        <v>121</v>
      </c>
      <c r="B259" s="7" t="s">
        <v>132</v>
      </c>
      <c r="C259" s="7" t="s">
        <v>18</v>
      </c>
      <c r="D259" s="1">
        <v>2008</v>
      </c>
      <c r="E259" s="8">
        <v>1.32</v>
      </c>
      <c r="F259" s="1" t="s">
        <v>129</v>
      </c>
      <c r="I259" s="1" t="s">
        <v>131</v>
      </c>
    </row>
    <row r="260" spans="1:9">
      <c r="A260" s="7" t="s">
        <v>121</v>
      </c>
      <c r="B260" s="7" t="s">
        <v>134</v>
      </c>
      <c r="C260" s="7" t="s">
        <v>15</v>
      </c>
      <c r="D260" s="1">
        <v>2008</v>
      </c>
      <c r="E260" s="8">
        <v>50072</v>
      </c>
      <c r="F260" s="1" t="s">
        <v>129</v>
      </c>
      <c r="I260" s="1" t="s">
        <v>131</v>
      </c>
    </row>
    <row r="261" spans="1:9">
      <c r="A261" s="7" t="s">
        <v>121</v>
      </c>
      <c r="B261" s="7" t="s">
        <v>133</v>
      </c>
      <c r="C261" s="7" t="s">
        <v>15</v>
      </c>
      <c r="D261" s="1">
        <v>2008</v>
      </c>
      <c r="E261" s="8">
        <v>13212</v>
      </c>
      <c r="F261" s="1" t="s">
        <v>129</v>
      </c>
      <c r="I261" s="1" t="s">
        <v>131</v>
      </c>
    </row>
    <row r="262" spans="1:9">
      <c r="A262" s="7" t="s">
        <v>121</v>
      </c>
      <c r="B262" s="7" t="s">
        <v>128</v>
      </c>
      <c r="C262" s="7" t="s">
        <v>15</v>
      </c>
      <c r="D262" s="1">
        <v>2008</v>
      </c>
      <c r="E262" s="8">
        <v>9239010</v>
      </c>
      <c r="F262" s="1" t="s">
        <v>129</v>
      </c>
      <c r="I262" s="1" t="s">
        <v>131</v>
      </c>
    </row>
    <row r="263" spans="1:9">
      <c r="A263" s="7" t="s">
        <v>121</v>
      </c>
      <c r="B263" s="7" t="s">
        <v>132</v>
      </c>
      <c r="C263" s="7" t="s">
        <v>15</v>
      </c>
      <c r="D263" s="1">
        <v>2008</v>
      </c>
      <c r="E263" s="8">
        <v>0.23</v>
      </c>
      <c r="F263" s="1" t="s">
        <v>129</v>
      </c>
      <c r="I263" s="1" t="s">
        <v>131</v>
      </c>
    </row>
    <row r="264" spans="1:9">
      <c r="A264" s="7" t="s">
        <v>121</v>
      </c>
      <c r="B264" s="7" t="s">
        <v>134</v>
      </c>
      <c r="C264" s="7" t="s">
        <v>11</v>
      </c>
      <c r="D264" s="1">
        <v>2006</v>
      </c>
      <c r="E264" s="8">
        <v>66712</v>
      </c>
      <c r="F264" s="1" t="s">
        <v>129</v>
      </c>
      <c r="I264" s="1" t="s">
        <v>131</v>
      </c>
    </row>
    <row r="265" spans="1:9">
      <c r="A265" s="7" t="s">
        <v>121</v>
      </c>
      <c r="B265" s="7" t="s">
        <v>133</v>
      </c>
      <c r="C265" s="7" t="s">
        <v>11</v>
      </c>
      <c r="D265" s="1">
        <v>2006</v>
      </c>
      <c r="E265" s="8">
        <v>43706</v>
      </c>
      <c r="F265" s="1" t="s">
        <v>129</v>
      </c>
      <c r="I265" s="1" t="s">
        <v>131</v>
      </c>
    </row>
    <row r="266" spans="1:9">
      <c r="A266" s="7" t="s">
        <v>121</v>
      </c>
      <c r="B266" s="7" t="s">
        <v>128</v>
      </c>
      <c r="C266" s="7" t="s">
        <v>11</v>
      </c>
      <c r="D266" s="1">
        <v>2006</v>
      </c>
      <c r="E266" s="8">
        <v>51793526</v>
      </c>
      <c r="F266" s="1" t="s">
        <v>129</v>
      </c>
      <c r="I266" s="1" t="s">
        <v>131</v>
      </c>
    </row>
    <row r="267" spans="1:9">
      <c r="A267" s="7" t="s">
        <v>121</v>
      </c>
      <c r="B267" s="7" t="s">
        <v>132</v>
      </c>
      <c r="C267" s="7" t="s">
        <v>11</v>
      </c>
      <c r="D267" s="1">
        <v>2006</v>
      </c>
      <c r="E267" s="8">
        <v>0.19</v>
      </c>
      <c r="F267" s="1" t="s">
        <v>129</v>
      </c>
      <c r="I267" s="1" t="s">
        <v>131</v>
      </c>
    </row>
    <row r="268" spans="1:9">
      <c r="A268" s="7" t="s">
        <v>121</v>
      </c>
      <c r="B268" s="7" t="s">
        <v>134</v>
      </c>
      <c r="C268" s="7" t="s">
        <v>18</v>
      </c>
      <c r="D268" s="1">
        <v>2006</v>
      </c>
      <c r="E268" s="8">
        <v>813342</v>
      </c>
      <c r="F268" s="1" t="s">
        <v>129</v>
      </c>
      <c r="I268" s="1" t="s">
        <v>131</v>
      </c>
    </row>
    <row r="269" spans="1:9">
      <c r="A269" s="7" t="s">
        <v>121</v>
      </c>
      <c r="B269" s="7" t="s">
        <v>133</v>
      </c>
      <c r="C269" s="7" t="s">
        <v>18</v>
      </c>
      <c r="D269" s="1">
        <v>2006</v>
      </c>
      <c r="E269" s="8">
        <v>153277</v>
      </c>
      <c r="F269" s="1" t="s">
        <v>129</v>
      </c>
      <c r="I269" s="1" t="s">
        <v>131</v>
      </c>
    </row>
    <row r="270" spans="1:9">
      <c r="A270" s="7" t="s">
        <v>121</v>
      </c>
      <c r="B270" s="7" t="s">
        <v>128</v>
      </c>
      <c r="C270" s="7" t="s">
        <v>18</v>
      </c>
      <c r="D270" s="1">
        <v>2006</v>
      </c>
      <c r="E270" s="8">
        <v>111384503</v>
      </c>
      <c r="F270" s="1" t="s">
        <v>129</v>
      </c>
      <c r="I270" s="1" t="s">
        <v>131</v>
      </c>
    </row>
    <row r="271" spans="1:9">
      <c r="A271" s="7" t="s">
        <v>121</v>
      </c>
      <c r="B271" s="7" t="s">
        <v>132</v>
      </c>
      <c r="C271" s="7" t="s">
        <v>18</v>
      </c>
      <c r="D271" s="1">
        <v>2006</v>
      </c>
      <c r="E271" s="8">
        <v>2.0299999999999998</v>
      </c>
      <c r="F271" s="1" t="s">
        <v>129</v>
      </c>
      <c r="I271" s="1" t="s">
        <v>131</v>
      </c>
    </row>
    <row r="272" spans="1:9">
      <c r="A272" s="7" t="s">
        <v>121</v>
      </c>
      <c r="B272" s="7" t="s">
        <v>134</v>
      </c>
      <c r="C272" s="7" t="s">
        <v>15</v>
      </c>
      <c r="D272" s="1">
        <v>2006</v>
      </c>
      <c r="E272" s="8">
        <v>46345</v>
      </c>
      <c r="F272" s="1" t="s">
        <v>129</v>
      </c>
      <c r="I272" s="1" t="s">
        <v>131</v>
      </c>
    </row>
    <row r="273" spans="1:9">
      <c r="A273" s="7" t="s">
        <v>121</v>
      </c>
      <c r="B273" s="7" t="s">
        <v>133</v>
      </c>
      <c r="C273" s="7" t="s">
        <v>15</v>
      </c>
      <c r="D273" s="1">
        <v>2006</v>
      </c>
      <c r="E273" s="8">
        <v>15165</v>
      </c>
      <c r="F273" s="1" t="s">
        <v>129</v>
      </c>
      <c r="I273" s="1" t="s">
        <v>131</v>
      </c>
    </row>
    <row r="274" spans="1:9">
      <c r="A274" s="7" t="s">
        <v>121</v>
      </c>
      <c r="B274" s="7" t="s">
        <v>128</v>
      </c>
      <c r="C274" s="7" t="s">
        <v>15</v>
      </c>
      <c r="D274" s="1">
        <v>2006</v>
      </c>
      <c r="E274" s="8">
        <v>11450383</v>
      </c>
      <c r="F274" s="1" t="s">
        <v>129</v>
      </c>
      <c r="I274" s="1" t="s">
        <v>131</v>
      </c>
    </row>
    <row r="275" spans="1:9">
      <c r="A275" s="7" t="s">
        <v>121</v>
      </c>
      <c r="B275" s="7" t="s">
        <v>132</v>
      </c>
      <c r="C275" s="7" t="s">
        <v>15</v>
      </c>
      <c r="D275" s="1">
        <v>2006</v>
      </c>
      <c r="E275" s="8">
        <v>0.21</v>
      </c>
      <c r="F275" s="1" t="s">
        <v>129</v>
      </c>
      <c r="I275" s="1" t="s">
        <v>131</v>
      </c>
    </row>
    <row r="276" spans="1:9">
      <c r="A276" s="7" t="s">
        <v>121</v>
      </c>
      <c r="B276" s="7" t="s">
        <v>134</v>
      </c>
      <c r="C276" s="7" t="s">
        <v>11</v>
      </c>
      <c r="D276" s="1">
        <v>2004</v>
      </c>
      <c r="E276" s="8">
        <v>129461</v>
      </c>
      <c r="F276" s="1" t="s">
        <v>129</v>
      </c>
      <c r="I276" s="1" t="s">
        <v>131</v>
      </c>
    </row>
    <row r="277" spans="1:9">
      <c r="A277" s="7" t="s">
        <v>121</v>
      </c>
      <c r="B277" s="7" t="s">
        <v>133</v>
      </c>
      <c r="C277" s="7" t="s">
        <v>11</v>
      </c>
      <c r="D277" s="1">
        <v>2004</v>
      </c>
      <c r="E277" s="8">
        <v>66700</v>
      </c>
      <c r="F277" s="1" t="s">
        <v>129</v>
      </c>
      <c r="I277" s="1" t="s">
        <v>131</v>
      </c>
    </row>
    <row r="278" spans="1:9" ht="16.5" customHeight="1">
      <c r="A278" s="7" t="s">
        <v>121</v>
      </c>
      <c r="B278" s="7" t="s">
        <v>128</v>
      </c>
      <c r="C278" s="7" t="s">
        <v>11</v>
      </c>
      <c r="D278" s="1">
        <v>2004</v>
      </c>
      <c r="E278" s="8">
        <v>54186212</v>
      </c>
      <c r="F278" s="1" t="s">
        <v>129</v>
      </c>
      <c r="I278" s="1" t="s">
        <v>131</v>
      </c>
    </row>
    <row r="279" spans="1:9">
      <c r="A279" s="7" t="s">
        <v>121</v>
      </c>
      <c r="B279" s="7" t="s">
        <v>132</v>
      </c>
      <c r="C279" s="7" t="s">
        <v>11</v>
      </c>
      <c r="D279" s="1">
        <v>2004</v>
      </c>
      <c r="E279" s="8">
        <v>0.24</v>
      </c>
      <c r="F279" s="1" t="s">
        <v>129</v>
      </c>
      <c r="I279" s="1" t="s">
        <v>131</v>
      </c>
    </row>
    <row r="280" spans="1:9">
      <c r="A280" s="7" t="s">
        <v>121</v>
      </c>
      <c r="B280" s="7" t="s">
        <v>134</v>
      </c>
      <c r="C280" s="7" t="s">
        <v>18</v>
      </c>
      <c r="D280" s="1">
        <v>2004</v>
      </c>
      <c r="E280" s="8">
        <v>286048</v>
      </c>
      <c r="F280" s="1" t="s">
        <v>129</v>
      </c>
      <c r="I280" s="1" t="s">
        <v>131</v>
      </c>
    </row>
    <row r="281" spans="1:9">
      <c r="A281" s="7" t="s">
        <v>121</v>
      </c>
      <c r="B281" s="7" t="s">
        <v>133</v>
      </c>
      <c r="C281" s="7" t="s">
        <v>18</v>
      </c>
      <c r="D281" s="1">
        <v>2004</v>
      </c>
      <c r="E281" s="8">
        <v>68995</v>
      </c>
      <c r="F281" s="1" t="s">
        <v>129</v>
      </c>
      <c r="I281" s="1" t="s">
        <v>131</v>
      </c>
    </row>
    <row r="282" spans="1:9">
      <c r="A282" s="7" t="s">
        <v>121</v>
      </c>
      <c r="B282" s="7" t="s">
        <v>128</v>
      </c>
      <c r="C282" s="7" t="s">
        <v>18</v>
      </c>
      <c r="D282" s="1">
        <v>2004</v>
      </c>
      <c r="E282" s="8">
        <v>49793724</v>
      </c>
      <c r="F282" s="1" t="s">
        <v>129</v>
      </c>
      <c r="I282" s="1" t="s">
        <v>131</v>
      </c>
    </row>
    <row r="283" spans="1:9">
      <c r="A283" s="7" t="s">
        <v>121</v>
      </c>
      <c r="B283" s="7" t="s">
        <v>132</v>
      </c>
      <c r="C283" s="7" t="s">
        <v>18</v>
      </c>
      <c r="D283" s="1">
        <v>2004</v>
      </c>
      <c r="E283" s="8">
        <v>0.76</v>
      </c>
      <c r="F283" s="1" t="s">
        <v>129</v>
      </c>
      <c r="I283" s="1" t="s">
        <v>131</v>
      </c>
    </row>
    <row r="284" spans="1:9">
      <c r="A284" s="7" t="s">
        <v>121</v>
      </c>
      <c r="B284" s="7" t="s">
        <v>134</v>
      </c>
      <c r="C284" s="7" t="s">
        <v>15</v>
      </c>
      <c r="D284" s="1">
        <v>2004</v>
      </c>
      <c r="E284" s="8">
        <v>53018</v>
      </c>
      <c r="F284" s="1" t="s">
        <v>129</v>
      </c>
      <c r="I284" s="1" t="s">
        <v>131</v>
      </c>
    </row>
    <row r="285" spans="1:9">
      <c r="A285" s="7" t="s">
        <v>121</v>
      </c>
      <c r="B285" s="7" t="s">
        <v>133</v>
      </c>
      <c r="C285" s="7" t="s">
        <v>15</v>
      </c>
      <c r="D285" s="1">
        <v>2004</v>
      </c>
      <c r="E285" s="8">
        <v>15006</v>
      </c>
      <c r="F285" s="1" t="s">
        <v>129</v>
      </c>
      <c r="I285" s="1" t="s">
        <v>131</v>
      </c>
    </row>
    <row r="286" spans="1:9">
      <c r="A286" s="7" t="s">
        <v>121</v>
      </c>
      <c r="B286" s="7" t="s">
        <v>128</v>
      </c>
      <c r="C286" s="7" t="s">
        <v>15</v>
      </c>
      <c r="D286" s="1">
        <v>2004</v>
      </c>
      <c r="E286" s="8">
        <v>11942981</v>
      </c>
      <c r="F286" s="1" t="s">
        <v>129</v>
      </c>
      <c r="I286" s="1" t="s">
        <v>131</v>
      </c>
    </row>
    <row r="287" spans="1:9">
      <c r="A287" s="7" t="s">
        <v>121</v>
      </c>
      <c r="B287" s="7" t="s">
        <v>132</v>
      </c>
      <c r="C287" s="7" t="s">
        <v>15</v>
      </c>
      <c r="D287" s="1">
        <v>2004</v>
      </c>
      <c r="E287" s="8">
        <v>0.28999999999999998</v>
      </c>
      <c r="F287" s="1" t="s">
        <v>129</v>
      </c>
      <c r="I287" s="1" t="s">
        <v>131</v>
      </c>
    </row>
  </sheetData>
  <autoFilter ref="A1:I1" xr:uid="{3614E37E-F4C3-4B0E-9466-023FE8460AE8}"/>
  <hyperlinks>
    <hyperlink ref="I141" r:id="rId1" xr:uid="{D334D086-4633-406B-A34E-B21933FEC9A2}"/>
    <hyperlink ref="I136:I140" r:id="rId2" display="http://www.nexteraenergy.com/sustainability/overview/about-this-report/by-the-numbers.html" xr:uid="{51294805-60D8-4313-A6C0-DFD28A697C7E}"/>
    <hyperlink ref="I139" r:id="rId3" xr:uid="{C13B45A2-D349-4EAE-A075-597E3B6BABD1}"/>
    <hyperlink ref="I142" r:id="rId4" display="http://www.nexteraenergy.com/sustainability/overview/about-this-report/by-the-numbers.html" xr:uid="{AE43F3BE-50D9-489E-AADB-E5BC58A6F435}"/>
    <hyperlink ref="I143:I150" r:id="rId5" display="http://www.nexteraenergy.com/sustainability/overview/about-this-report/by-the-numbers.html" xr:uid="{CFBD5B64-C8A9-4216-BF69-965AFF8992B0}"/>
    <hyperlink ref="I151" r:id="rId6" display="http://www.nexteraenergy.com/sustainability/overview/about-this-report/by-the-numbers.html" xr:uid="{2D966DC4-5652-4F1D-A63F-3F2C970EFE99}"/>
    <hyperlink ref="I37" r:id="rId7" xr:uid="{C3035570-A105-464A-9DBA-DFEA54AC528F}"/>
    <hyperlink ref="I38" r:id="rId8" xr:uid="{50E51A4F-5ECD-42D6-B4B8-10AC58140BC6}"/>
    <hyperlink ref="I40" r:id="rId9" xr:uid="{996D9E02-540D-4CB9-8662-E01144D5B537}"/>
    <hyperlink ref="I41" r:id="rId10" xr:uid="{5EF401CA-EFD8-49E9-851E-644C7332438E}"/>
    <hyperlink ref="I39" r:id="rId11" xr:uid="{D1E69BD1-A75A-4838-B840-C3ADA75D4598}"/>
    <hyperlink ref="I36" r:id="rId12" xr:uid="{EEA890DD-92D9-4C45-8B92-4861EA47CAB3}"/>
    <hyperlink ref="I32:I35" r:id="rId13" display="https://www.exeloncorp.com/sustainability/interactive-csr?year=2015&amp;page=78" xr:uid="{4C29B230-69D6-4670-AF99-CBB1F1A2E80D}"/>
    <hyperlink ref="I51" r:id="rId14" xr:uid="{CF9944D0-0F7F-42AA-986C-22A6A3B3749B}"/>
    <hyperlink ref="I47:I50" r:id="rId15" display="https://www.exeloncorp.com/sustainability/interactive-csr?year=2015&amp;page=78" xr:uid="{55D48D2F-9266-4D58-A0D4-31CCA191680F}"/>
    <hyperlink ref="I52" r:id="rId16" xr:uid="{A183C4F5-046A-4276-A70F-A44D66F33708}"/>
    <hyperlink ref="I53" r:id="rId17" xr:uid="{3C736361-D39C-4077-B4F1-1B3AC3068E0C}"/>
    <hyperlink ref="I55" r:id="rId18" xr:uid="{73B498D2-D0FA-4C44-9BE7-7BD1EB449986}"/>
    <hyperlink ref="I56" r:id="rId19" xr:uid="{1F3577BB-A5AB-4BCE-AB56-388E81CEF8CE}"/>
    <hyperlink ref="I54" r:id="rId20" xr:uid="{533CCD44-3D67-4D6D-BAA3-5AD2CAD36E02}"/>
    <hyperlink ref="I62" r:id="rId21" xr:uid="{DF12DF47-2006-4A7B-881A-942DC3158F37}"/>
    <hyperlink ref="I63" r:id="rId22" xr:uid="{C0C97FC4-3309-4C03-99B9-3C193F1078E1}"/>
    <hyperlink ref="I65" r:id="rId23" xr:uid="{EA209666-4393-4654-AED4-AB61E4A4E76A}"/>
    <hyperlink ref="I66" r:id="rId24" xr:uid="{052A78EA-81C0-4EF0-99AC-3D614021C837}"/>
    <hyperlink ref="I64" r:id="rId25" xr:uid="{752672A2-0169-4E1C-B37C-0EF1023ED5FA}"/>
    <hyperlink ref="I67" r:id="rId26" xr:uid="{A622EE38-4E57-447C-B188-0A233AF399A1}"/>
    <hyperlink ref="I68" r:id="rId27" xr:uid="{6EBD27C0-FA8F-4401-B9B7-A589CA55A59F}"/>
    <hyperlink ref="I70" r:id="rId28" xr:uid="{9E23587C-3007-4C34-9352-DE9E1719A8D2}"/>
    <hyperlink ref="I71" r:id="rId29" xr:uid="{9EBF60B5-7B32-4EB8-9C72-B9B5E34C74E2}"/>
    <hyperlink ref="I69" r:id="rId30" xr:uid="{48A03358-F75F-4DC5-B591-6CF153F4B36D}"/>
    <hyperlink ref="I176" r:id="rId31" location="overlay-context=content/benchmarking-air-emissions-past-reports" xr:uid="{5B106358-79E2-4702-BD60-0FD5E8DAC4B1}"/>
    <hyperlink ref="I152" r:id="rId32" xr:uid="{DEEC8560-BB48-4909-B1B0-D87D6B675E58}"/>
  </hyperlinks>
  <pageMargins left="0.7" right="0.7" top="0.75" bottom="0.75" header="0.3" footer="0.3"/>
  <legacy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0F0-E4D3-4BF3-98DA-D4726A2ADB09}">
  <dimension ref="A1:I244"/>
  <sheetViews>
    <sheetView topLeftCell="A124" zoomScale="75" workbookViewId="0">
      <selection activeCell="C234" sqref="C234"/>
    </sheetView>
  </sheetViews>
  <sheetFormatPr defaultColWidth="11" defaultRowHeight="15"/>
  <cols>
    <col min="1" max="1" width="11" style="1"/>
    <col min="2" max="2" width="46.375" style="1" bestFit="1" customWidth="1"/>
    <col min="3" max="3" width="9" style="1" bestFit="1" customWidth="1"/>
    <col min="4" max="4" width="10.375" style="1" bestFit="1" customWidth="1"/>
    <col min="5" max="5" width="32.625" style="8" bestFit="1" customWidth="1"/>
    <col min="6" max="6" width="25.125" style="1" bestFit="1" customWidth="1"/>
    <col min="7" max="7" width="15.875" style="1" bestFit="1" customWidth="1"/>
    <col min="8" max="8" width="15.5" style="1" bestFit="1" customWidth="1"/>
    <col min="9" max="9" width="120.12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2008</v>
      </c>
      <c r="E2" s="8">
        <v>69</v>
      </c>
      <c r="F2" s="1" t="s">
        <v>123</v>
      </c>
      <c r="G2" s="1">
        <f t="shared" ref="G2:G11" si="0">E2</f>
        <v>69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2009</v>
      </c>
      <c r="E3" s="8">
        <v>61.9</v>
      </c>
      <c r="F3" s="1" t="s">
        <v>123</v>
      </c>
      <c r="G3" s="1">
        <f t="shared" si="0"/>
        <v>61.9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2010</v>
      </c>
      <c r="E4" s="8">
        <v>59.9</v>
      </c>
      <c r="F4" s="1" t="s">
        <v>123</v>
      </c>
      <c r="G4" s="1">
        <f t="shared" si="0"/>
        <v>59.9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2011</v>
      </c>
      <c r="E5" s="8">
        <v>58.1</v>
      </c>
      <c r="F5" s="1" t="s">
        <v>123</v>
      </c>
      <c r="G5" s="1">
        <f t="shared" si="0"/>
        <v>58.1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2012</v>
      </c>
      <c r="E6" s="8">
        <v>43.6</v>
      </c>
      <c r="F6" s="1" t="s">
        <v>123</v>
      </c>
      <c r="G6" s="1">
        <f t="shared" si="0"/>
        <v>43.6</v>
      </c>
      <c r="H6" s="1" t="s">
        <v>124</v>
      </c>
      <c r="I6" s="1" t="s">
        <v>125</v>
      </c>
    </row>
    <row r="7" spans="1:9">
      <c r="A7" s="1" t="s">
        <v>121</v>
      </c>
      <c r="B7" s="1" t="s">
        <v>122</v>
      </c>
      <c r="C7" s="1" t="s">
        <v>18</v>
      </c>
      <c r="D7" s="1">
        <v>2013</v>
      </c>
      <c r="E7" s="8">
        <v>42.1</v>
      </c>
      <c r="F7" s="1" t="s">
        <v>123</v>
      </c>
      <c r="G7" s="1">
        <f t="shared" si="0"/>
        <v>42.1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18</v>
      </c>
      <c r="D8" s="1">
        <v>2014</v>
      </c>
      <c r="E8" s="8">
        <v>42.3</v>
      </c>
      <c r="F8" s="1" t="s">
        <v>123</v>
      </c>
      <c r="G8" s="1">
        <f t="shared" si="0"/>
        <v>42.3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18</v>
      </c>
      <c r="D9" s="1">
        <v>2015</v>
      </c>
      <c r="E9" s="8">
        <v>35.200000000000003</v>
      </c>
      <c r="F9" s="1" t="s">
        <v>123</v>
      </c>
      <c r="G9" s="1">
        <f t="shared" si="0"/>
        <v>35.200000000000003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18</v>
      </c>
      <c r="D10" s="1">
        <v>2016</v>
      </c>
      <c r="E10" s="8">
        <v>33.700000000000003</v>
      </c>
      <c r="F10" s="1" t="s">
        <v>123</v>
      </c>
      <c r="G10" s="1">
        <f t="shared" si="0"/>
        <v>33.700000000000003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18</v>
      </c>
      <c r="D11" s="1">
        <v>2017</v>
      </c>
      <c r="E11" s="8">
        <v>33.200000000000003</v>
      </c>
      <c r="F11" s="1" t="s">
        <v>123</v>
      </c>
      <c r="G11" s="1">
        <f t="shared" si="0"/>
        <v>33.200000000000003</v>
      </c>
      <c r="H11" s="1" t="s">
        <v>124</v>
      </c>
      <c r="I11" s="1" t="s">
        <v>125</v>
      </c>
    </row>
    <row r="12" spans="1:9">
      <c r="A12" s="1" t="s">
        <v>121</v>
      </c>
      <c r="B12" s="1" t="s">
        <v>122</v>
      </c>
      <c r="C12" s="1" t="s">
        <v>18</v>
      </c>
      <c r="D12" s="1">
        <v>2018</v>
      </c>
      <c r="E12" s="8">
        <v>30.3</v>
      </c>
      <c r="F12" s="1" t="s">
        <v>123</v>
      </c>
      <c r="G12" s="1">
        <v>30.3</v>
      </c>
      <c r="H12" s="1" t="s">
        <v>124</v>
      </c>
      <c r="I12" s="1" t="s">
        <v>126</v>
      </c>
    </row>
    <row r="13" spans="1:9">
      <c r="A13" s="1" t="s">
        <v>121</v>
      </c>
      <c r="B13" s="1" t="s">
        <v>122</v>
      </c>
      <c r="C13" s="1" t="s">
        <v>15</v>
      </c>
      <c r="D13" s="1">
        <v>2008</v>
      </c>
      <c r="E13" s="8">
        <v>5.2</v>
      </c>
      <c r="F13" s="1" t="s">
        <v>123</v>
      </c>
      <c r="G13" s="1">
        <f t="shared" ref="G13:G22" si="1">E13</f>
        <v>5.2</v>
      </c>
      <c r="H13" s="1" t="s">
        <v>124</v>
      </c>
      <c r="I13" s="1" t="s">
        <v>125</v>
      </c>
    </row>
    <row r="14" spans="1:9">
      <c r="A14" s="1" t="s">
        <v>121</v>
      </c>
      <c r="B14" s="1" t="s">
        <v>122</v>
      </c>
      <c r="C14" s="1" t="s">
        <v>15</v>
      </c>
      <c r="D14" s="1">
        <v>2009</v>
      </c>
      <c r="E14" s="8">
        <v>4.5999999999999996</v>
      </c>
      <c r="F14" s="1" t="s">
        <v>123</v>
      </c>
      <c r="G14" s="1">
        <f t="shared" si="1"/>
        <v>4.5999999999999996</v>
      </c>
      <c r="H14" s="1" t="s">
        <v>124</v>
      </c>
      <c r="I14" s="1" t="s">
        <v>125</v>
      </c>
    </row>
    <row r="15" spans="1:9">
      <c r="A15" s="1" t="s">
        <v>121</v>
      </c>
      <c r="B15" s="1" t="s">
        <v>122</v>
      </c>
      <c r="C15" s="1" t="s">
        <v>15</v>
      </c>
      <c r="D15" s="1">
        <v>2010</v>
      </c>
      <c r="E15" s="8">
        <v>4.8</v>
      </c>
      <c r="F15" s="1" t="s">
        <v>123</v>
      </c>
      <c r="G15" s="1">
        <f t="shared" si="1"/>
        <v>4.8</v>
      </c>
      <c r="H15" s="1" t="s">
        <v>124</v>
      </c>
      <c r="I15" s="1" t="s">
        <v>125</v>
      </c>
    </row>
    <row r="16" spans="1:9">
      <c r="A16" s="1" t="s">
        <v>121</v>
      </c>
      <c r="B16" s="1" t="s">
        <v>122</v>
      </c>
      <c r="C16" s="1" t="s">
        <v>15</v>
      </c>
      <c r="D16" s="1">
        <v>2011</v>
      </c>
      <c r="E16" s="8">
        <v>3.2</v>
      </c>
      <c r="F16" s="1" t="s">
        <v>123</v>
      </c>
      <c r="G16" s="1">
        <f t="shared" si="1"/>
        <v>3.2</v>
      </c>
      <c r="H16" s="1" t="s">
        <v>124</v>
      </c>
      <c r="I16" s="1" t="s">
        <v>125</v>
      </c>
    </row>
    <row r="17" spans="1:9">
      <c r="A17" s="1" t="s">
        <v>121</v>
      </c>
      <c r="B17" s="1" t="s">
        <v>122</v>
      </c>
      <c r="C17" s="1" t="s">
        <v>15</v>
      </c>
      <c r="D17" s="1">
        <v>2012</v>
      </c>
      <c r="E17" s="8">
        <v>4</v>
      </c>
      <c r="F17" s="1" t="s">
        <v>123</v>
      </c>
      <c r="G17" s="1">
        <f t="shared" si="1"/>
        <v>4</v>
      </c>
      <c r="H17" s="1" t="s">
        <v>124</v>
      </c>
      <c r="I17" s="1" t="s">
        <v>125</v>
      </c>
    </row>
    <row r="18" spans="1:9">
      <c r="A18" s="1" t="s">
        <v>121</v>
      </c>
      <c r="B18" s="1" t="s">
        <v>122</v>
      </c>
      <c r="C18" s="1" t="s">
        <v>15</v>
      </c>
      <c r="D18" s="1">
        <v>2013</v>
      </c>
      <c r="E18" s="8">
        <v>4.8</v>
      </c>
      <c r="F18" s="1" t="s">
        <v>123</v>
      </c>
      <c r="G18" s="1">
        <f t="shared" si="1"/>
        <v>4.8</v>
      </c>
      <c r="H18" s="1" t="s">
        <v>124</v>
      </c>
      <c r="I18" s="1" t="s">
        <v>125</v>
      </c>
    </row>
    <row r="19" spans="1:9">
      <c r="A19" s="1" t="s">
        <v>121</v>
      </c>
      <c r="B19" s="1" t="s">
        <v>122</v>
      </c>
      <c r="C19" s="1" t="s">
        <v>15</v>
      </c>
      <c r="D19" s="1">
        <v>2014</v>
      </c>
      <c r="E19" s="8">
        <v>0.1</v>
      </c>
      <c r="F19" s="1" t="s">
        <v>123</v>
      </c>
      <c r="G19" s="1">
        <f t="shared" si="1"/>
        <v>0.1</v>
      </c>
      <c r="H19" s="1" t="s">
        <v>124</v>
      </c>
      <c r="I19" s="1" t="s">
        <v>125</v>
      </c>
    </row>
    <row r="20" spans="1:9">
      <c r="A20" s="1" t="s">
        <v>121</v>
      </c>
      <c r="B20" s="1" t="s">
        <v>122</v>
      </c>
      <c r="C20" s="1" t="s">
        <v>15</v>
      </c>
      <c r="D20" s="1">
        <v>2015</v>
      </c>
      <c r="E20" s="8">
        <v>0.1</v>
      </c>
      <c r="F20" s="1" t="s">
        <v>123</v>
      </c>
      <c r="G20" s="1">
        <f t="shared" si="1"/>
        <v>0.1</v>
      </c>
      <c r="H20" s="1" t="s">
        <v>124</v>
      </c>
      <c r="I20" s="1" t="s">
        <v>125</v>
      </c>
    </row>
    <row r="21" spans="1:9">
      <c r="A21" s="1" t="s">
        <v>121</v>
      </c>
      <c r="B21" s="1" t="s">
        <v>122</v>
      </c>
      <c r="C21" s="1" t="s">
        <v>15</v>
      </c>
      <c r="D21" s="1">
        <v>2016</v>
      </c>
      <c r="E21" s="8">
        <v>0.1</v>
      </c>
      <c r="F21" s="1" t="s">
        <v>123</v>
      </c>
      <c r="G21" s="1">
        <f t="shared" si="1"/>
        <v>0.1</v>
      </c>
      <c r="H21" s="1" t="s">
        <v>124</v>
      </c>
      <c r="I21" s="1" t="s">
        <v>125</v>
      </c>
    </row>
    <row r="22" spans="1:9">
      <c r="A22" s="1" t="s">
        <v>121</v>
      </c>
      <c r="B22" s="1" t="s">
        <v>122</v>
      </c>
      <c r="C22" s="1" t="s">
        <v>15</v>
      </c>
      <c r="D22" s="1">
        <v>2017</v>
      </c>
      <c r="E22" s="8">
        <v>0</v>
      </c>
      <c r="F22" s="1" t="s">
        <v>123</v>
      </c>
      <c r="G22" s="1">
        <f t="shared" si="1"/>
        <v>0</v>
      </c>
      <c r="H22" s="1" t="s">
        <v>124</v>
      </c>
      <c r="I22" s="1" t="s">
        <v>125</v>
      </c>
    </row>
    <row r="23" spans="1:9">
      <c r="A23" s="1" t="s">
        <v>121</v>
      </c>
      <c r="B23" s="1" t="s">
        <v>122</v>
      </c>
      <c r="C23" s="1" t="s">
        <v>15</v>
      </c>
      <c r="D23" s="1">
        <v>2018</v>
      </c>
      <c r="E23" s="8">
        <v>0</v>
      </c>
      <c r="F23" s="1" t="s">
        <v>123</v>
      </c>
      <c r="G23" s="1">
        <v>0</v>
      </c>
      <c r="H23" s="1" t="s">
        <v>124</v>
      </c>
      <c r="I23" s="1" t="s">
        <v>127</v>
      </c>
    </row>
    <row r="24" spans="1:9">
      <c r="A24" s="1" t="s">
        <v>121</v>
      </c>
      <c r="B24" s="1" t="s">
        <v>122</v>
      </c>
      <c r="C24" s="1" t="s">
        <v>11</v>
      </c>
      <c r="D24" s="1">
        <v>2008</v>
      </c>
      <c r="E24" s="8">
        <v>4.3</v>
      </c>
      <c r="F24" s="1" t="s">
        <v>123</v>
      </c>
      <c r="G24" s="1">
        <f t="shared" ref="G24:G34" si="2">E24</f>
        <v>4.3</v>
      </c>
      <c r="H24" s="1" t="s">
        <v>124</v>
      </c>
      <c r="I24" s="1" t="s">
        <v>125</v>
      </c>
    </row>
    <row r="25" spans="1:9">
      <c r="A25" s="1" t="s">
        <v>121</v>
      </c>
      <c r="B25" s="1" t="s">
        <v>122</v>
      </c>
      <c r="C25" s="1" t="s">
        <v>11</v>
      </c>
      <c r="D25" s="1">
        <v>2009</v>
      </c>
      <c r="E25" s="8">
        <v>3.9</v>
      </c>
      <c r="F25" s="1" t="s">
        <v>123</v>
      </c>
      <c r="G25" s="1">
        <f t="shared" si="2"/>
        <v>3.9</v>
      </c>
      <c r="H25" s="1" t="s">
        <v>124</v>
      </c>
      <c r="I25" s="1" t="s">
        <v>125</v>
      </c>
    </row>
    <row r="26" spans="1:9">
      <c r="A26" s="1" t="s">
        <v>121</v>
      </c>
      <c r="B26" s="1" t="s">
        <v>122</v>
      </c>
      <c r="C26" s="1" t="s">
        <v>11</v>
      </c>
      <c r="D26" s="1">
        <v>2010</v>
      </c>
      <c r="E26" s="8">
        <v>3.8</v>
      </c>
      <c r="F26" s="1" t="s">
        <v>123</v>
      </c>
      <c r="G26" s="1">
        <f t="shared" si="2"/>
        <v>3.8</v>
      </c>
      <c r="H26" s="1" t="s">
        <v>124</v>
      </c>
      <c r="I26" s="1" t="s">
        <v>125</v>
      </c>
    </row>
    <row r="27" spans="1:9">
      <c r="A27" s="1" t="s">
        <v>121</v>
      </c>
      <c r="B27" s="1" t="s">
        <v>122</v>
      </c>
      <c r="C27" s="1" t="s">
        <v>11</v>
      </c>
      <c r="D27" s="1">
        <v>2011</v>
      </c>
      <c r="E27" s="8">
        <v>3.4</v>
      </c>
      <c r="F27" s="1" t="s">
        <v>123</v>
      </c>
      <c r="G27" s="1">
        <f t="shared" si="2"/>
        <v>3.4</v>
      </c>
      <c r="H27" s="1" t="s">
        <v>124</v>
      </c>
      <c r="I27" s="1" t="s">
        <v>125</v>
      </c>
    </row>
    <row r="28" spans="1:9">
      <c r="A28" s="1" t="s">
        <v>121</v>
      </c>
      <c r="B28" s="1" t="s">
        <v>122</v>
      </c>
      <c r="C28" s="1" t="s">
        <v>11</v>
      </c>
      <c r="D28" s="1">
        <v>2012</v>
      </c>
      <c r="E28" s="8">
        <v>2.9</v>
      </c>
      <c r="F28" s="1" t="s">
        <v>123</v>
      </c>
      <c r="G28" s="1">
        <f t="shared" si="2"/>
        <v>2.9</v>
      </c>
      <c r="H28" s="1" t="s">
        <v>124</v>
      </c>
      <c r="I28" s="1" t="s">
        <v>125</v>
      </c>
    </row>
    <row r="29" spans="1:9">
      <c r="A29" s="1" t="s">
        <v>121</v>
      </c>
      <c r="B29" s="1" t="s">
        <v>122</v>
      </c>
      <c r="C29" s="1" t="s">
        <v>11</v>
      </c>
      <c r="D29" s="1">
        <v>2013</v>
      </c>
      <c r="E29" s="8">
        <v>2.9</v>
      </c>
      <c r="F29" s="1" t="s">
        <v>123</v>
      </c>
      <c r="G29" s="1">
        <f t="shared" si="2"/>
        <v>2.9</v>
      </c>
      <c r="H29" s="1" t="s">
        <v>124</v>
      </c>
      <c r="I29" s="1" t="s">
        <v>125</v>
      </c>
    </row>
    <row r="30" spans="1:9">
      <c r="A30" s="1" t="s">
        <v>121</v>
      </c>
      <c r="B30" s="1" t="s">
        <v>122</v>
      </c>
      <c r="C30" s="1" t="s">
        <v>11</v>
      </c>
      <c r="D30" s="1">
        <v>2014</v>
      </c>
      <c r="E30" s="8">
        <v>2.5</v>
      </c>
      <c r="F30" s="1" t="s">
        <v>123</v>
      </c>
      <c r="G30" s="1">
        <f t="shared" si="2"/>
        <v>2.5</v>
      </c>
      <c r="H30" s="1" t="s">
        <v>124</v>
      </c>
      <c r="I30" s="1" t="s">
        <v>24</v>
      </c>
    </row>
    <row r="31" spans="1:9">
      <c r="A31" s="1" t="s">
        <v>121</v>
      </c>
      <c r="B31" s="1" t="s">
        <v>122</v>
      </c>
      <c r="C31" s="1" t="s">
        <v>11</v>
      </c>
      <c r="D31" s="1">
        <v>2015</v>
      </c>
      <c r="E31" s="8">
        <v>2.7</v>
      </c>
      <c r="F31" s="1" t="s">
        <v>123</v>
      </c>
      <c r="G31" s="1">
        <f t="shared" si="2"/>
        <v>2.7</v>
      </c>
      <c r="H31" s="1" t="s">
        <v>124</v>
      </c>
      <c r="I31" s="1" t="s">
        <v>24</v>
      </c>
    </row>
    <row r="32" spans="1:9">
      <c r="A32" s="1" t="s">
        <v>121</v>
      </c>
      <c r="B32" s="1" t="s">
        <v>122</v>
      </c>
      <c r="C32" s="1" t="s">
        <v>11</v>
      </c>
      <c r="D32" s="1">
        <v>2016</v>
      </c>
      <c r="E32" s="8">
        <v>2.2000000000000002</v>
      </c>
      <c r="F32" s="1" t="s">
        <v>123</v>
      </c>
      <c r="G32" s="1">
        <f t="shared" si="2"/>
        <v>2.2000000000000002</v>
      </c>
      <c r="H32" s="1" t="s">
        <v>124</v>
      </c>
      <c r="I32" s="1" t="s">
        <v>24</v>
      </c>
    </row>
    <row r="33" spans="1:9">
      <c r="A33" s="1" t="s">
        <v>121</v>
      </c>
      <c r="B33" s="1" t="s">
        <v>122</v>
      </c>
      <c r="C33" s="1" t="s">
        <v>11</v>
      </c>
      <c r="D33" s="1">
        <v>2017</v>
      </c>
      <c r="E33" s="8">
        <v>2.4</v>
      </c>
      <c r="F33" s="1" t="s">
        <v>123</v>
      </c>
      <c r="G33" s="1">
        <f t="shared" si="2"/>
        <v>2.4</v>
      </c>
      <c r="H33" s="1" t="s">
        <v>124</v>
      </c>
      <c r="I33" s="1" t="s">
        <v>24</v>
      </c>
    </row>
    <row r="34" spans="1:9">
      <c r="A34" s="1" t="s">
        <v>121</v>
      </c>
      <c r="B34" s="1" t="s">
        <v>122</v>
      </c>
      <c r="C34" s="1" t="s">
        <v>11</v>
      </c>
      <c r="D34" s="1">
        <v>2018</v>
      </c>
      <c r="E34" s="8">
        <v>1.5</v>
      </c>
      <c r="F34" s="1" t="s">
        <v>123</v>
      </c>
      <c r="G34" s="1">
        <f t="shared" si="2"/>
        <v>1.5</v>
      </c>
      <c r="H34" s="1" t="s">
        <v>124</v>
      </c>
      <c r="I34" s="1" t="s">
        <v>24</v>
      </c>
    </row>
    <row r="35" spans="1:9">
      <c r="A35" s="1" t="s">
        <v>121</v>
      </c>
      <c r="B35" s="1" t="s">
        <v>128</v>
      </c>
      <c r="C35" s="1" t="s">
        <v>18</v>
      </c>
      <c r="D35" s="1">
        <v>2017</v>
      </c>
      <c r="E35" s="8">
        <v>104619272</v>
      </c>
      <c r="F35" s="1" t="s">
        <v>129</v>
      </c>
      <c r="G35" s="1" cm="1">
        <f t="array" ref="G35">E35/VLOOKUP(D35,net_generation!$A:$D,MATCH(C35,net_generation!$1:$1,FALSE),FALSE)</f>
        <v>0.46031614285651429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128</v>
      </c>
      <c r="C36" s="1" t="s">
        <v>18</v>
      </c>
      <c r="D36" s="1">
        <v>2016</v>
      </c>
      <c r="E36" s="8">
        <v>106376761</v>
      </c>
      <c r="F36" s="1" t="s">
        <v>129</v>
      </c>
      <c r="G36" s="1" cm="1">
        <f t="array" ref="G36">E36/VLOOKUP(D36,net_generation!$A:$D,MATCH(C36,net_generation!$1:$1,FALSE),FALSE)</f>
        <v>0.48510733064277084</v>
      </c>
      <c r="H36" s="1" t="s">
        <v>130</v>
      </c>
      <c r="I36" s="1" t="s">
        <v>131</v>
      </c>
    </row>
    <row r="37" spans="1:9">
      <c r="A37" s="1" t="s">
        <v>121</v>
      </c>
      <c r="B37" s="1" t="s">
        <v>128</v>
      </c>
      <c r="C37" s="1" t="s">
        <v>18</v>
      </c>
      <c r="D37" s="1">
        <v>2015</v>
      </c>
      <c r="E37" s="8">
        <v>107913913</v>
      </c>
      <c r="F37" s="1" t="s">
        <v>129</v>
      </c>
      <c r="G37" s="1" cm="1">
        <f t="array" ref="G37">E37/VLOOKUP(D37,net_generation!$A:$D,MATCH(C37,net_generation!$1:$1,FALSE),FALSE)</f>
        <v>0.49339066564861761</v>
      </c>
      <c r="H37" s="1" t="s">
        <v>130</v>
      </c>
      <c r="I37" s="1" t="s">
        <v>131</v>
      </c>
    </row>
    <row r="38" spans="1:9">
      <c r="A38" s="1" t="s">
        <v>121</v>
      </c>
      <c r="B38" s="1" t="s">
        <v>128</v>
      </c>
      <c r="C38" s="1" t="s">
        <v>18</v>
      </c>
      <c r="D38" s="1">
        <v>2014</v>
      </c>
      <c r="E38" s="8">
        <v>138347641</v>
      </c>
      <c r="F38" s="1" t="s">
        <v>129</v>
      </c>
      <c r="G38" s="1" cm="1">
        <f t="array" ref="G38">E38/VLOOKUP(D38,net_generation!$A:$D,MATCH(C38,net_generation!$1:$1,FALSE),FALSE)</f>
        <v>0.5659154037150208</v>
      </c>
      <c r="H38" s="1" t="s">
        <v>130</v>
      </c>
      <c r="I38" s="1" t="s">
        <v>131</v>
      </c>
    </row>
    <row r="39" spans="1:9">
      <c r="A39" s="1" t="s">
        <v>121</v>
      </c>
      <c r="B39" s="1" t="s">
        <v>128</v>
      </c>
      <c r="C39" s="1" t="s">
        <v>18</v>
      </c>
      <c r="D39" s="1">
        <v>2013</v>
      </c>
      <c r="E39" s="8">
        <v>136952436</v>
      </c>
      <c r="F39" s="1" t="s">
        <v>129</v>
      </c>
      <c r="G39" s="1" t="e" cm="1">
        <f t="array" ref="G39">E39/VLOOKUP(D39,net_generation!$A:$D,MATCH(C39,net_generation!$1:$1,FALSE),FALSE)</f>
        <v>#N/A</v>
      </c>
      <c r="H39" s="1" t="s">
        <v>130</v>
      </c>
      <c r="I39" s="1" t="s">
        <v>131</v>
      </c>
    </row>
    <row r="40" spans="1:9">
      <c r="A40" s="1" t="s">
        <v>121</v>
      </c>
      <c r="B40" s="1" t="s">
        <v>128</v>
      </c>
      <c r="C40" s="1" t="s">
        <v>18</v>
      </c>
      <c r="D40" s="1">
        <v>2012</v>
      </c>
      <c r="E40" s="8">
        <v>134277330</v>
      </c>
      <c r="F40" s="1" t="s">
        <v>129</v>
      </c>
      <c r="G40" s="1" t="e" cm="1">
        <f t="array" ref="G40">E40/VLOOKUP(D40,net_generation!$A:$D,MATCH(C40,net_generation!$1:$1,FALSE),FALSE)</f>
        <v>#N/A</v>
      </c>
      <c r="H40" s="1" t="s">
        <v>130</v>
      </c>
      <c r="I40" s="1" t="s">
        <v>131</v>
      </c>
    </row>
    <row r="41" spans="1:9">
      <c r="A41" s="1" t="s">
        <v>121</v>
      </c>
      <c r="B41" s="1" t="s">
        <v>128</v>
      </c>
      <c r="C41" s="1" t="s">
        <v>18</v>
      </c>
      <c r="D41" s="1">
        <v>2011</v>
      </c>
      <c r="E41" s="8">
        <v>93461832</v>
      </c>
      <c r="F41" s="1" t="s">
        <v>129</v>
      </c>
      <c r="G41" s="1" t="e" cm="1">
        <f t="array" ref="G41">E41/VLOOKUP(D41,net_generation!$A:$D,MATCH(C41,net_generation!$1:$1,FALSE),FALSE)</f>
        <v>#N/A</v>
      </c>
      <c r="H41" s="1" t="s">
        <v>130</v>
      </c>
      <c r="I41" s="1" t="s">
        <v>131</v>
      </c>
    </row>
    <row r="42" spans="1:9">
      <c r="A42" s="1" t="s">
        <v>121</v>
      </c>
      <c r="B42" s="1" t="s">
        <v>128</v>
      </c>
      <c r="C42" s="1" t="s">
        <v>18</v>
      </c>
      <c r="D42" s="1">
        <v>2010</v>
      </c>
      <c r="E42" s="8">
        <v>100165488</v>
      </c>
      <c r="F42" s="1" t="s">
        <v>129</v>
      </c>
      <c r="G42" s="1" t="e" cm="1">
        <f t="array" ref="G42">E42/VLOOKUP(D42,net_generation!$A:$D,MATCH(C42,net_generation!$1:$1,FALSE),FALSE)</f>
        <v>#N/A</v>
      </c>
      <c r="H42" s="1" t="s">
        <v>130</v>
      </c>
      <c r="I42" s="1" t="s">
        <v>131</v>
      </c>
    </row>
    <row r="43" spans="1:9">
      <c r="A43" s="1" t="s">
        <v>121</v>
      </c>
      <c r="B43" s="1" t="s">
        <v>128</v>
      </c>
      <c r="C43" s="1" t="s">
        <v>18</v>
      </c>
      <c r="D43" s="1">
        <v>2008</v>
      </c>
      <c r="E43" s="8">
        <v>105512223</v>
      </c>
      <c r="F43" s="1" t="s">
        <v>129</v>
      </c>
      <c r="G43" s="1" t="e" cm="1">
        <f t="array" ref="G43">E43/VLOOKUP(D43,net_generation!$A:$D,MATCH(C43,net_generation!$1:$1,FALSE),FALSE)</f>
        <v>#N/A</v>
      </c>
      <c r="H43" s="1" t="s">
        <v>130</v>
      </c>
      <c r="I43" s="1" t="s">
        <v>131</v>
      </c>
    </row>
    <row r="44" spans="1:9">
      <c r="A44" s="1" t="s">
        <v>121</v>
      </c>
      <c r="B44" s="1" t="s">
        <v>128</v>
      </c>
      <c r="C44" s="1" t="s">
        <v>18</v>
      </c>
      <c r="D44" s="1">
        <v>2006</v>
      </c>
      <c r="E44" s="8">
        <v>111384503</v>
      </c>
      <c r="F44" s="1" t="s">
        <v>129</v>
      </c>
      <c r="G44" s="1" t="e" cm="1">
        <f t="array" ref="G44">E44/VLOOKUP(D44,net_generation!$A:$D,MATCH(C44,net_generation!$1:$1,FALSE),FALSE)</f>
        <v>#N/A</v>
      </c>
      <c r="H44" s="1" t="s">
        <v>130</v>
      </c>
      <c r="I44" s="1" t="s">
        <v>131</v>
      </c>
    </row>
    <row r="45" spans="1:9">
      <c r="A45" s="1" t="s">
        <v>121</v>
      </c>
      <c r="B45" s="1" t="s">
        <v>128</v>
      </c>
      <c r="C45" s="1" t="s">
        <v>18</v>
      </c>
      <c r="D45" s="1">
        <v>2004</v>
      </c>
      <c r="E45" s="8">
        <v>49793724</v>
      </c>
      <c r="F45" s="1" t="s">
        <v>129</v>
      </c>
      <c r="G45" s="1" t="e" cm="1">
        <f t="array" ref="G45">E45/VLOOKUP(D45,net_generation!$A:$D,MATCH(C45,net_generation!$1:$1,FALSE),FALSE)</f>
        <v>#N/A</v>
      </c>
      <c r="H45" s="1" t="s">
        <v>130</v>
      </c>
      <c r="I45" s="1" t="s">
        <v>131</v>
      </c>
    </row>
    <row r="46" spans="1:9">
      <c r="A46" s="1" t="s">
        <v>121</v>
      </c>
      <c r="B46" s="1" t="s">
        <v>128</v>
      </c>
      <c r="C46" s="1" t="s">
        <v>15</v>
      </c>
      <c r="D46" s="1">
        <v>2017</v>
      </c>
      <c r="E46" s="8">
        <v>10394551</v>
      </c>
      <c r="F46" s="1" t="s">
        <v>129</v>
      </c>
      <c r="G46" s="1" cm="1">
        <f t="array" ref="G46">E46/VLOOKUP(D46,net_generation!$A:$D,MATCH(C46,net_generation!$1:$1,FALSE),FALSE)</f>
        <v>5.3379599215083957E-2</v>
      </c>
      <c r="H46" s="1" t="s">
        <v>130</v>
      </c>
      <c r="I46" s="1" t="s">
        <v>131</v>
      </c>
    </row>
    <row r="47" spans="1:9">
      <c r="A47" s="1" t="s">
        <v>121</v>
      </c>
      <c r="B47" s="1" t="s">
        <v>128</v>
      </c>
      <c r="C47" s="1" t="s">
        <v>15</v>
      </c>
      <c r="D47" s="1">
        <v>2016</v>
      </c>
      <c r="E47" s="8">
        <v>9836775</v>
      </c>
      <c r="F47" s="1" t="s">
        <v>129</v>
      </c>
      <c r="G47" s="1" cm="1">
        <f t="array" ref="G47">E47/VLOOKUP(D47,net_generation!$A:$D,MATCH(C47,net_generation!$1:$1,FALSE),FALSE)</f>
        <v>5.2643731945379545E-2</v>
      </c>
      <c r="H47" s="1" t="s">
        <v>130</v>
      </c>
      <c r="I47" s="1" t="s">
        <v>131</v>
      </c>
    </row>
    <row r="48" spans="1:9">
      <c r="A48" s="1" t="s">
        <v>121</v>
      </c>
      <c r="B48" s="1" t="s">
        <v>128</v>
      </c>
      <c r="C48" s="1" t="s">
        <v>15</v>
      </c>
      <c r="D48" s="1">
        <v>2015</v>
      </c>
      <c r="E48" s="8">
        <v>7397355</v>
      </c>
      <c r="F48" s="1" t="s">
        <v>129</v>
      </c>
      <c r="G48" s="1" cm="1">
        <f t="array" ref="G48">E48/VLOOKUP(D48,net_generation!$A:$D,MATCH(C48,net_generation!$1:$1,FALSE),FALSE)</f>
        <v>4.1088898163858717E-2</v>
      </c>
      <c r="H48" s="1" t="s">
        <v>130</v>
      </c>
      <c r="I48" s="1" t="s">
        <v>131</v>
      </c>
    </row>
    <row r="49" spans="1:9">
      <c r="A49" s="1" t="s">
        <v>121</v>
      </c>
      <c r="B49" s="1" t="s">
        <v>128</v>
      </c>
      <c r="C49" s="1" t="s">
        <v>15</v>
      </c>
      <c r="D49" s="1">
        <v>2014</v>
      </c>
      <c r="E49" s="8">
        <v>7138620</v>
      </c>
      <c r="F49" s="1" t="s">
        <v>129</v>
      </c>
      <c r="G49" s="1" cm="1">
        <f t="array" ref="G49">E49/VLOOKUP(D49,net_generation!$A:$D,MATCH(C49,net_generation!$1:$1,FALSE),FALSE)</f>
        <v>4.0111155370209629E-2</v>
      </c>
      <c r="H49" s="1" t="s">
        <v>130</v>
      </c>
      <c r="I49" s="1" t="s">
        <v>131</v>
      </c>
    </row>
    <row r="50" spans="1:9">
      <c r="A50" s="1" t="s">
        <v>121</v>
      </c>
      <c r="B50" s="1" t="s">
        <v>128</v>
      </c>
      <c r="C50" s="1" t="s">
        <v>15</v>
      </c>
      <c r="D50" s="1">
        <v>2013</v>
      </c>
      <c r="E50" s="8">
        <v>19530597</v>
      </c>
      <c r="F50" s="1" t="s">
        <v>129</v>
      </c>
      <c r="G50" s="1" t="e" cm="1">
        <f t="array" ref="G50">E50/VLOOKUP(D50,net_generation!$A:$D,MATCH(C50,net_generation!$1:$1,FALSE),FALSE)</f>
        <v>#N/A</v>
      </c>
      <c r="H50" s="1" t="s">
        <v>130</v>
      </c>
      <c r="I50" s="1" t="s">
        <v>131</v>
      </c>
    </row>
    <row r="51" spans="1:9">
      <c r="A51" s="1" t="s">
        <v>121</v>
      </c>
      <c r="B51" s="1" t="s">
        <v>128</v>
      </c>
      <c r="C51" s="1" t="s">
        <v>15</v>
      </c>
      <c r="D51" s="1">
        <v>2012</v>
      </c>
      <c r="E51" s="8">
        <v>19632361</v>
      </c>
      <c r="F51" s="1" t="s">
        <v>129</v>
      </c>
      <c r="G51" s="1" t="e" cm="1">
        <f t="array" ref="G51">E51/VLOOKUP(D51,net_generation!$A:$D,MATCH(C51,net_generation!$1:$1,FALSE),FALSE)</f>
        <v>#N/A</v>
      </c>
      <c r="H51" s="1" t="s">
        <v>130</v>
      </c>
      <c r="I51" s="1" t="s">
        <v>131</v>
      </c>
    </row>
    <row r="52" spans="1:9">
      <c r="A52" s="1" t="s">
        <v>121</v>
      </c>
      <c r="B52" s="1" t="s">
        <v>128</v>
      </c>
      <c r="C52" s="1" t="s">
        <v>15</v>
      </c>
      <c r="D52" s="1">
        <v>2011</v>
      </c>
      <c r="E52" s="8">
        <v>7290715</v>
      </c>
      <c r="F52" s="1" t="s">
        <v>129</v>
      </c>
      <c r="G52" s="1" t="e" cm="1">
        <f t="array" ref="G52">E52/VLOOKUP(D52,net_generation!$A:$D,MATCH(C52,net_generation!$1:$1,FALSE),FALSE)</f>
        <v>#N/A</v>
      </c>
      <c r="H52" s="1" t="s">
        <v>130</v>
      </c>
      <c r="I52" s="1" t="s">
        <v>131</v>
      </c>
    </row>
    <row r="53" spans="1:9">
      <c r="A53" s="1" t="s">
        <v>121</v>
      </c>
      <c r="B53" s="1" t="s">
        <v>128</v>
      </c>
      <c r="C53" s="1" t="s">
        <v>15</v>
      </c>
      <c r="D53" s="1">
        <v>2010</v>
      </c>
      <c r="E53" s="8">
        <v>9520088</v>
      </c>
      <c r="F53" s="1" t="s">
        <v>129</v>
      </c>
      <c r="G53" s="1" t="e" cm="1">
        <f t="array" ref="G53">E53/VLOOKUP(D53,net_generation!$A:$D,MATCH(C53,net_generation!$1:$1,FALSE),FALSE)</f>
        <v>#N/A</v>
      </c>
      <c r="H53" s="1" t="s">
        <v>130</v>
      </c>
      <c r="I53" s="1" t="s">
        <v>131</v>
      </c>
    </row>
    <row r="54" spans="1:9">
      <c r="A54" s="1" t="s">
        <v>121</v>
      </c>
      <c r="B54" s="1" t="s">
        <v>128</v>
      </c>
      <c r="C54" s="1" t="s">
        <v>15</v>
      </c>
      <c r="D54" s="1">
        <v>2008</v>
      </c>
      <c r="E54" s="8">
        <v>9239010</v>
      </c>
      <c r="F54" s="1" t="s">
        <v>129</v>
      </c>
      <c r="G54" s="1" t="e" cm="1">
        <f t="array" ref="G54">E54/VLOOKUP(D54,net_generation!$A:$D,MATCH(C54,net_generation!$1:$1,FALSE),FALSE)</f>
        <v>#N/A</v>
      </c>
      <c r="H54" s="1" t="s">
        <v>130</v>
      </c>
      <c r="I54" s="1" t="s">
        <v>131</v>
      </c>
    </row>
    <row r="55" spans="1:9">
      <c r="A55" s="1" t="s">
        <v>121</v>
      </c>
      <c r="B55" s="1" t="s">
        <v>128</v>
      </c>
      <c r="C55" s="1" t="s">
        <v>15</v>
      </c>
      <c r="D55" s="1">
        <v>2006</v>
      </c>
      <c r="E55" s="8">
        <v>11450383</v>
      </c>
      <c r="F55" s="1" t="s">
        <v>129</v>
      </c>
      <c r="G55" s="1" t="e" cm="1">
        <f t="array" ref="G55">E55/VLOOKUP(D55,net_generation!$A:$D,MATCH(C55,net_generation!$1:$1,FALSE),FALSE)</f>
        <v>#N/A</v>
      </c>
      <c r="H55" s="1" t="s">
        <v>130</v>
      </c>
      <c r="I55" s="1" t="s">
        <v>131</v>
      </c>
    </row>
    <row r="56" spans="1:9">
      <c r="A56" s="1" t="s">
        <v>121</v>
      </c>
      <c r="B56" s="1" t="s">
        <v>128</v>
      </c>
      <c r="C56" s="1" t="s">
        <v>15</v>
      </c>
      <c r="D56" s="1">
        <v>2004</v>
      </c>
      <c r="E56" s="8">
        <v>11942981</v>
      </c>
      <c r="F56" s="1" t="s">
        <v>129</v>
      </c>
      <c r="G56" s="1" t="e" cm="1">
        <f t="array" ref="G56">E56/VLOOKUP(D56,net_generation!$A:$D,MATCH(C56,net_generation!$1:$1,FALSE),FALSE)</f>
        <v>#N/A</v>
      </c>
      <c r="H56" s="1" t="s">
        <v>130</v>
      </c>
      <c r="I56" s="1" t="s">
        <v>131</v>
      </c>
    </row>
    <row r="57" spans="1:9">
      <c r="A57" s="1" t="s">
        <v>121</v>
      </c>
      <c r="B57" s="1" t="s">
        <v>128</v>
      </c>
      <c r="C57" s="1" t="s">
        <v>11</v>
      </c>
      <c r="D57" s="1">
        <v>2018</v>
      </c>
      <c r="E57" s="8">
        <v>42097424</v>
      </c>
      <c r="F57" s="1" t="s">
        <v>129</v>
      </c>
      <c r="G57" s="1" cm="1">
        <f t="array" ref="G57">E57/VLOOKUP(D57,net_generation!$A:$D,MATCH(C57,net_generation!$1:$1,FALSE),FALSE)</f>
        <v>0.21802396199923654</v>
      </c>
      <c r="H57" s="1" t="s">
        <v>130</v>
      </c>
      <c r="I57" s="1" t="s">
        <v>24</v>
      </c>
    </row>
    <row r="58" spans="1:9">
      <c r="A58" s="1" t="s">
        <v>121</v>
      </c>
      <c r="B58" s="1" t="s">
        <v>128</v>
      </c>
      <c r="C58" s="1" t="s">
        <v>11</v>
      </c>
      <c r="D58" s="1">
        <v>2017</v>
      </c>
      <c r="E58" s="8">
        <v>42194852</v>
      </c>
      <c r="F58" s="1" t="s">
        <v>129</v>
      </c>
      <c r="G58" s="1" cm="1">
        <f t="array" ref="G58">E58/VLOOKUP(D58,net_generation!$A:$D,MATCH(C58,net_generation!$1:$1,FALSE),FALSE)</f>
        <v>0.22306434646297132</v>
      </c>
      <c r="H58" s="1" t="s">
        <v>130</v>
      </c>
      <c r="I58" s="1" t="s">
        <v>131</v>
      </c>
    </row>
    <row r="59" spans="1:9">
      <c r="A59" s="1" t="s">
        <v>121</v>
      </c>
      <c r="B59" s="1" t="s">
        <v>128</v>
      </c>
      <c r="C59" s="1" t="s">
        <v>11</v>
      </c>
      <c r="D59" s="1">
        <v>2016</v>
      </c>
      <c r="E59" s="8">
        <v>43199657</v>
      </c>
      <c r="F59" s="1" t="s">
        <v>129</v>
      </c>
      <c r="G59" s="1" cm="1">
        <f t="array" ref="G59">E59/VLOOKUP(D59,net_generation!$A:$D,MATCH(C59,net_generation!$1:$1,FALSE),FALSE)</f>
        <v>0.22305106948131606</v>
      </c>
      <c r="H59" s="1" t="s">
        <v>130</v>
      </c>
      <c r="I59" s="1" t="s">
        <v>131</v>
      </c>
    </row>
    <row r="60" spans="1:9">
      <c r="A60" s="1" t="s">
        <v>121</v>
      </c>
      <c r="B60" s="1" t="s">
        <v>128</v>
      </c>
      <c r="C60" s="1" t="s">
        <v>11</v>
      </c>
      <c r="D60" s="1">
        <v>2015</v>
      </c>
      <c r="E60" s="8">
        <v>52793763</v>
      </c>
      <c r="F60" s="1" t="s">
        <v>129</v>
      </c>
      <c r="G60" s="1" cm="1">
        <f t="array" ref="G60">E60/VLOOKUP(D60,net_generation!$A:$D,MATCH(C60,net_generation!$1:$1,FALSE),FALSE)</f>
        <v>0.26566694081735337</v>
      </c>
      <c r="H60" s="1" t="s">
        <v>130</v>
      </c>
      <c r="I60" s="1" t="s">
        <v>131</v>
      </c>
    </row>
    <row r="61" spans="1:9">
      <c r="A61" s="1" t="s">
        <v>121</v>
      </c>
      <c r="B61" s="1" t="s">
        <v>128</v>
      </c>
      <c r="C61" s="1" t="s">
        <v>11</v>
      </c>
      <c r="D61" s="1">
        <v>2014</v>
      </c>
      <c r="E61" s="8">
        <v>48573857</v>
      </c>
      <c r="F61" s="1" t="s">
        <v>129</v>
      </c>
      <c r="G61" s="1" cm="1">
        <f t="array" ref="G61">E61/VLOOKUP(D61,net_generation!$A:$D,MATCH(C61,net_generation!$1:$1,FALSE),FALSE)</f>
        <v>0.26069887329655578</v>
      </c>
      <c r="H61" s="1" t="s">
        <v>130</v>
      </c>
      <c r="I61" s="1" t="s">
        <v>131</v>
      </c>
    </row>
    <row r="62" spans="1:9">
      <c r="A62" s="1" t="s">
        <v>121</v>
      </c>
      <c r="B62" s="1" t="s">
        <v>128</v>
      </c>
      <c r="C62" s="1" t="s">
        <v>11</v>
      </c>
      <c r="D62" s="1">
        <v>2013</v>
      </c>
      <c r="E62" s="8">
        <v>48781601</v>
      </c>
      <c r="F62" s="1" t="s">
        <v>129</v>
      </c>
      <c r="G62" s="1" t="e" cm="1">
        <f t="array" ref="G62">E62/VLOOKUP(D62,net_generation!$A:$D,MATCH(C62,net_generation!$1:$1,FALSE),FALSE)</f>
        <v>#N/A</v>
      </c>
      <c r="H62" s="1" t="s">
        <v>130</v>
      </c>
      <c r="I62" s="1" t="s">
        <v>131</v>
      </c>
    </row>
    <row r="63" spans="1:9">
      <c r="A63" s="1" t="s">
        <v>121</v>
      </c>
      <c r="B63" s="1" t="s">
        <v>128</v>
      </c>
      <c r="C63" s="1" t="s">
        <v>11</v>
      </c>
      <c r="D63" s="1">
        <v>2012</v>
      </c>
      <c r="E63" s="8">
        <v>50603271</v>
      </c>
      <c r="F63" s="1" t="s">
        <v>129</v>
      </c>
      <c r="G63" s="1" t="e" cm="1">
        <f t="array" ref="G63">E63/VLOOKUP(D63,net_generation!$A:$D,MATCH(C63,net_generation!$1:$1,FALSE),FALSE)</f>
        <v>#N/A</v>
      </c>
      <c r="H63" s="1" t="s">
        <v>130</v>
      </c>
      <c r="I63" s="1" t="s">
        <v>131</v>
      </c>
    </row>
    <row r="64" spans="1:9">
      <c r="A64" s="1" t="s">
        <v>121</v>
      </c>
      <c r="B64" s="1" t="s">
        <v>128</v>
      </c>
      <c r="C64" s="1" t="s">
        <v>11</v>
      </c>
      <c r="D64" s="1">
        <v>2011</v>
      </c>
      <c r="E64" s="8">
        <v>48271089</v>
      </c>
      <c r="F64" s="1" t="s">
        <v>129</v>
      </c>
      <c r="G64" s="1" t="e" cm="1">
        <f t="array" ref="G64">E64/VLOOKUP(D64,net_generation!$A:$D,MATCH(C64,net_generation!$1:$1,FALSE),FALSE)</f>
        <v>#N/A</v>
      </c>
      <c r="H64" s="1" t="s">
        <v>130</v>
      </c>
      <c r="I64" s="1" t="s">
        <v>131</v>
      </c>
    </row>
    <row r="65" spans="1:9">
      <c r="A65" s="1" t="s">
        <v>121</v>
      </c>
      <c r="B65" s="1" t="s">
        <v>128</v>
      </c>
      <c r="C65" s="1" t="s">
        <v>11</v>
      </c>
      <c r="D65" s="1">
        <v>2010</v>
      </c>
      <c r="E65" s="8">
        <v>50743519</v>
      </c>
      <c r="F65" s="1" t="s">
        <v>129</v>
      </c>
      <c r="G65" s="1" t="e" cm="1">
        <f t="array" ref="G65">E65/VLOOKUP(D65,net_generation!$A:$D,MATCH(C65,net_generation!$1:$1,FALSE),FALSE)</f>
        <v>#N/A</v>
      </c>
      <c r="H65" s="1" t="s">
        <v>130</v>
      </c>
      <c r="I65" s="1" t="s">
        <v>131</v>
      </c>
    </row>
    <row r="66" spans="1:9">
      <c r="A66" s="1" t="s">
        <v>121</v>
      </c>
      <c r="B66" s="1" t="s">
        <v>128</v>
      </c>
      <c r="C66" s="1" t="s">
        <v>11</v>
      </c>
      <c r="D66" s="1">
        <v>2008</v>
      </c>
      <c r="E66" s="8">
        <v>49545564</v>
      </c>
      <c r="F66" s="1" t="s">
        <v>129</v>
      </c>
      <c r="G66" s="1" t="e" cm="1">
        <f t="array" ref="G66">E66/VLOOKUP(D66,net_generation!$A:$D,MATCH(C66,net_generation!$1:$1,FALSE),FALSE)</f>
        <v>#N/A</v>
      </c>
      <c r="H66" s="1" t="s">
        <v>130</v>
      </c>
      <c r="I66" s="1" t="s">
        <v>131</v>
      </c>
    </row>
    <row r="67" spans="1:9">
      <c r="A67" s="1" t="s">
        <v>121</v>
      </c>
      <c r="B67" s="1" t="s">
        <v>128</v>
      </c>
      <c r="C67" s="1" t="s">
        <v>11</v>
      </c>
      <c r="D67" s="1">
        <v>2006</v>
      </c>
      <c r="E67" s="8">
        <v>51793526</v>
      </c>
      <c r="F67" s="1" t="s">
        <v>129</v>
      </c>
      <c r="G67" s="1" t="e" cm="1">
        <f t="array" ref="G67">E67/VLOOKUP(D67,net_generation!$A:$D,MATCH(C67,net_generation!$1:$1,FALSE),FALSE)</f>
        <v>#N/A</v>
      </c>
      <c r="H67" s="1" t="s">
        <v>130</v>
      </c>
      <c r="I67" s="1" t="s">
        <v>131</v>
      </c>
    </row>
    <row r="68" spans="1:9">
      <c r="A68" s="1" t="s">
        <v>121</v>
      </c>
      <c r="B68" s="1" t="s">
        <v>128</v>
      </c>
      <c r="C68" s="1" t="s">
        <v>11</v>
      </c>
      <c r="D68" s="1">
        <v>2004</v>
      </c>
      <c r="E68" s="8">
        <v>54186212</v>
      </c>
      <c r="F68" s="1" t="s">
        <v>129</v>
      </c>
      <c r="G68" s="1" t="e" cm="1">
        <f t="array" ref="G68">E68/VLOOKUP(D68,net_generation!$A:$D,MATCH(C68,net_generation!$1:$1,FALSE),FALSE)</f>
        <v>#N/A</v>
      </c>
      <c r="H68" s="1" t="s">
        <v>130</v>
      </c>
      <c r="I68" s="1" t="s">
        <v>131</v>
      </c>
    </row>
    <row r="69" spans="1:9">
      <c r="A69" s="1" t="s">
        <v>121</v>
      </c>
      <c r="B69" s="1" t="s">
        <v>132</v>
      </c>
      <c r="C69" s="1" t="s">
        <v>18</v>
      </c>
      <c r="D69" s="1">
        <v>2017</v>
      </c>
      <c r="E69" s="8">
        <v>0.15</v>
      </c>
      <c r="F69" s="1" t="s">
        <v>129</v>
      </c>
      <c r="H69" s="1" t="s">
        <v>130</v>
      </c>
      <c r="I69" s="1" t="s">
        <v>131</v>
      </c>
    </row>
    <row r="70" spans="1:9">
      <c r="A70" s="1" t="s">
        <v>121</v>
      </c>
      <c r="B70" s="1" t="s">
        <v>132</v>
      </c>
      <c r="C70" s="1" t="s">
        <v>18</v>
      </c>
      <c r="D70" s="1">
        <v>2016</v>
      </c>
      <c r="E70" s="8">
        <v>0.17</v>
      </c>
      <c r="F70" s="1" t="s">
        <v>129</v>
      </c>
      <c r="H70" s="1" t="s">
        <v>130</v>
      </c>
      <c r="I70" s="1" t="s">
        <v>131</v>
      </c>
    </row>
    <row r="71" spans="1:9">
      <c r="A71" s="1" t="s">
        <v>121</v>
      </c>
      <c r="B71" s="1" t="s">
        <v>132</v>
      </c>
      <c r="C71" s="1" t="s">
        <v>18</v>
      </c>
      <c r="D71" s="1">
        <v>2015</v>
      </c>
      <c r="E71" s="8">
        <v>0.31</v>
      </c>
      <c r="F71" s="1" t="s">
        <v>129</v>
      </c>
      <c r="H71" s="1" t="s">
        <v>130</v>
      </c>
      <c r="I71" s="1" t="s">
        <v>131</v>
      </c>
    </row>
    <row r="72" spans="1:9">
      <c r="A72" s="1" t="s">
        <v>121</v>
      </c>
      <c r="B72" s="1" t="s">
        <v>132</v>
      </c>
      <c r="C72" s="1" t="s">
        <v>18</v>
      </c>
      <c r="D72" s="1">
        <v>2014</v>
      </c>
      <c r="E72" s="8">
        <v>0.5</v>
      </c>
      <c r="F72" s="1" t="s">
        <v>129</v>
      </c>
      <c r="H72" s="1" t="s">
        <v>130</v>
      </c>
      <c r="I72" s="1" t="s">
        <v>131</v>
      </c>
    </row>
    <row r="73" spans="1:9">
      <c r="A73" s="1" t="s">
        <v>121</v>
      </c>
      <c r="B73" s="1" t="s">
        <v>132</v>
      </c>
      <c r="C73" s="1" t="s">
        <v>18</v>
      </c>
      <c r="D73" s="1">
        <v>2013</v>
      </c>
      <c r="E73" s="8">
        <v>0.68</v>
      </c>
      <c r="F73" s="1" t="s">
        <v>129</v>
      </c>
      <c r="H73" s="1" t="s">
        <v>130</v>
      </c>
      <c r="I73" s="1" t="s">
        <v>131</v>
      </c>
    </row>
    <row r="74" spans="1:9">
      <c r="A74" s="1" t="s">
        <v>121</v>
      </c>
      <c r="B74" s="1" t="s">
        <v>132</v>
      </c>
      <c r="C74" s="1" t="s">
        <v>18</v>
      </c>
      <c r="D74" s="1">
        <v>2012</v>
      </c>
      <c r="E74" s="8">
        <v>0.67</v>
      </c>
      <c r="F74" s="1" t="s">
        <v>129</v>
      </c>
      <c r="H74" s="1" t="s">
        <v>130</v>
      </c>
      <c r="I74" s="1" t="s">
        <v>131</v>
      </c>
    </row>
    <row r="75" spans="1:9">
      <c r="A75" s="1" t="s">
        <v>121</v>
      </c>
      <c r="B75" s="1" t="s">
        <v>132</v>
      </c>
      <c r="C75" s="1" t="s">
        <v>18</v>
      </c>
      <c r="D75" s="1">
        <v>2011</v>
      </c>
      <c r="E75" s="8">
        <v>0.57999999999999996</v>
      </c>
      <c r="F75" s="1" t="s">
        <v>129</v>
      </c>
      <c r="H75" s="1" t="s">
        <v>130</v>
      </c>
      <c r="I75" s="1" t="s">
        <v>131</v>
      </c>
    </row>
    <row r="76" spans="1:9">
      <c r="A76" s="1" t="s">
        <v>121</v>
      </c>
      <c r="B76" s="1" t="s">
        <v>132</v>
      </c>
      <c r="C76" s="1" t="s">
        <v>18</v>
      </c>
      <c r="D76" s="1">
        <v>2010</v>
      </c>
      <c r="E76" s="8">
        <v>0.69</v>
      </c>
      <c r="F76" s="1" t="s">
        <v>129</v>
      </c>
      <c r="H76" s="1" t="s">
        <v>130</v>
      </c>
      <c r="I76" s="1" t="s">
        <v>131</v>
      </c>
    </row>
    <row r="77" spans="1:9">
      <c r="A77" s="1" t="s">
        <v>121</v>
      </c>
      <c r="B77" s="1" t="s">
        <v>132</v>
      </c>
      <c r="C77" s="1" t="s">
        <v>18</v>
      </c>
      <c r="D77" s="1">
        <v>2008</v>
      </c>
      <c r="E77" s="8">
        <v>1.32</v>
      </c>
      <c r="F77" s="1" t="s">
        <v>129</v>
      </c>
      <c r="H77" s="1" t="s">
        <v>130</v>
      </c>
      <c r="I77" s="1" t="s">
        <v>131</v>
      </c>
    </row>
    <row r="78" spans="1:9">
      <c r="A78" s="1" t="s">
        <v>121</v>
      </c>
      <c r="B78" s="1" t="s">
        <v>132</v>
      </c>
      <c r="C78" s="1" t="s">
        <v>18</v>
      </c>
      <c r="D78" s="1">
        <v>2006</v>
      </c>
      <c r="E78" s="8">
        <v>2.0299999999999998</v>
      </c>
      <c r="F78" s="1" t="s">
        <v>129</v>
      </c>
      <c r="H78" s="1" t="s">
        <v>130</v>
      </c>
      <c r="I78" s="1" t="s">
        <v>131</v>
      </c>
    </row>
    <row r="79" spans="1:9">
      <c r="A79" s="1" t="s">
        <v>121</v>
      </c>
      <c r="B79" s="1" t="s">
        <v>132</v>
      </c>
      <c r="C79" s="1" t="s">
        <v>18</v>
      </c>
      <c r="D79" s="1">
        <v>2004</v>
      </c>
      <c r="E79" s="8">
        <v>0.76</v>
      </c>
      <c r="F79" s="1" t="s">
        <v>129</v>
      </c>
      <c r="H79" s="1" t="s">
        <v>130</v>
      </c>
      <c r="I79" s="1" t="s">
        <v>131</v>
      </c>
    </row>
    <row r="80" spans="1:9">
      <c r="A80" s="1" t="s">
        <v>121</v>
      </c>
      <c r="B80" s="1" t="s">
        <v>132</v>
      </c>
      <c r="C80" s="1" t="s">
        <v>15</v>
      </c>
      <c r="D80" s="1">
        <v>2017</v>
      </c>
      <c r="E80" s="8">
        <v>0</v>
      </c>
      <c r="F80" s="1" t="s">
        <v>129</v>
      </c>
      <c r="H80" s="1" t="s">
        <v>130</v>
      </c>
      <c r="I80" s="1" t="s">
        <v>131</v>
      </c>
    </row>
    <row r="81" spans="1:9">
      <c r="A81" s="1" t="s">
        <v>121</v>
      </c>
      <c r="B81" s="1" t="s">
        <v>132</v>
      </c>
      <c r="C81" s="1" t="s">
        <v>15</v>
      </c>
      <c r="D81" s="1">
        <v>2016</v>
      </c>
      <c r="E81" s="8">
        <v>0</v>
      </c>
      <c r="F81" s="1" t="s">
        <v>129</v>
      </c>
      <c r="H81" s="1" t="s">
        <v>130</v>
      </c>
      <c r="I81" s="1" t="s">
        <v>131</v>
      </c>
    </row>
    <row r="82" spans="1:9">
      <c r="A82" s="1" t="s">
        <v>121</v>
      </c>
      <c r="B82" s="1" t="s">
        <v>132</v>
      </c>
      <c r="C82" s="1" t="s">
        <v>15</v>
      </c>
      <c r="D82" s="1">
        <v>2015</v>
      </c>
      <c r="E82" s="8">
        <v>0</v>
      </c>
      <c r="F82" s="1" t="s">
        <v>129</v>
      </c>
      <c r="H82" s="1" t="s">
        <v>130</v>
      </c>
      <c r="I82" s="1" t="s">
        <v>131</v>
      </c>
    </row>
    <row r="83" spans="1:9">
      <c r="A83" s="1" t="s">
        <v>121</v>
      </c>
      <c r="B83" s="1" t="s">
        <v>132</v>
      </c>
      <c r="C83" s="1" t="s">
        <v>15</v>
      </c>
      <c r="D83" s="1">
        <v>2014</v>
      </c>
      <c r="E83" s="8">
        <v>0</v>
      </c>
      <c r="F83" s="1" t="s">
        <v>129</v>
      </c>
      <c r="H83" s="1" t="s">
        <v>130</v>
      </c>
      <c r="I83" s="1" t="s">
        <v>131</v>
      </c>
    </row>
    <row r="84" spans="1:9">
      <c r="A84" s="1" t="s">
        <v>121</v>
      </c>
      <c r="B84" s="1" t="s">
        <v>132</v>
      </c>
      <c r="C84" s="1" t="s">
        <v>15</v>
      </c>
      <c r="D84" s="1">
        <v>2013</v>
      </c>
      <c r="E84" s="8">
        <v>0.1</v>
      </c>
      <c r="F84" s="1" t="s">
        <v>129</v>
      </c>
      <c r="H84" s="1" t="s">
        <v>130</v>
      </c>
      <c r="I84" s="1" t="s">
        <v>131</v>
      </c>
    </row>
    <row r="85" spans="1:9">
      <c r="A85" s="1" t="s">
        <v>121</v>
      </c>
      <c r="B85" s="1" t="s">
        <v>132</v>
      </c>
      <c r="C85" s="1" t="s">
        <v>15</v>
      </c>
      <c r="D85" s="1">
        <v>2012</v>
      </c>
      <c r="E85" s="8">
        <v>0.09</v>
      </c>
      <c r="F85" s="1" t="s">
        <v>129</v>
      </c>
      <c r="H85" s="1" t="s">
        <v>130</v>
      </c>
      <c r="I85" s="1" t="s">
        <v>131</v>
      </c>
    </row>
    <row r="86" spans="1:9">
      <c r="A86" s="1" t="s">
        <v>121</v>
      </c>
      <c r="B86" s="1" t="s">
        <v>132</v>
      </c>
      <c r="C86" s="1" t="s">
        <v>15</v>
      </c>
      <c r="D86" s="1">
        <v>2011</v>
      </c>
      <c r="E86" s="8">
        <v>7.0000000000000007E-2</v>
      </c>
      <c r="F86" s="1" t="s">
        <v>129</v>
      </c>
      <c r="H86" s="1" t="s">
        <v>130</v>
      </c>
      <c r="I86" s="1" t="s">
        <v>131</v>
      </c>
    </row>
    <row r="87" spans="1:9">
      <c r="A87" s="1" t="s">
        <v>121</v>
      </c>
      <c r="B87" s="1" t="s">
        <v>132</v>
      </c>
      <c r="C87" s="1" t="s">
        <v>15</v>
      </c>
      <c r="D87" s="1">
        <v>2010</v>
      </c>
      <c r="E87" s="8">
        <v>0.11</v>
      </c>
      <c r="F87" s="1" t="s">
        <v>129</v>
      </c>
      <c r="H87" s="1" t="s">
        <v>130</v>
      </c>
      <c r="I87" s="1" t="s">
        <v>131</v>
      </c>
    </row>
    <row r="88" spans="1:9">
      <c r="A88" s="1" t="s">
        <v>121</v>
      </c>
      <c r="B88" s="1" t="s">
        <v>132</v>
      </c>
      <c r="C88" s="1" t="s">
        <v>15</v>
      </c>
      <c r="D88" s="1">
        <v>2008</v>
      </c>
      <c r="E88" s="8">
        <v>0.23</v>
      </c>
      <c r="F88" s="1" t="s">
        <v>129</v>
      </c>
      <c r="H88" s="1" t="s">
        <v>130</v>
      </c>
      <c r="I88" s="1" t="s">
        <v>131</v>
      </c>
    </row>
    <row r="89" spans="1:9">
      <c r="A89" s="1" t="s">
        <v>121</v>
      </c>
      <c r="B89" s="1" t="s">
        <v>132</v>
      </c>
      <c r="C89" s="1" t="s">
        <v>15</v>
      </c>
      <c r="D89" s="1">
        <v>2006</v>
      </c>
      <c r="E89" s="8">
        <v>0.21</v>
      </c>
      <c r="F89" s="1" t="s">
        <v>129</v>
      </c>
      <c r="H89" s="1" t="s">
        <v>130</v>
      </c>
      <c r="I89" s="1" t="s">
        <v>131</v>
      </c>
    </row>
    <row r="90" spans="1:9">
      <c r="A90" s="1" t="s">
        <v>121</v>
      </c>
      <c r="B90" s="1" t="s">
        <v>132</v>
      </c>
      <c r="C90" s="1" t="s">
        <v>15</v>
      </c>
      <c r="D90" s="1">
        <v>2004</v>
      </c>
      <c r="E90" s="8">
        <v>0.28999999999999998</v>
      </c>
      <c r="F90" s="1" t="s">
        <v>129</v>
      </c>
      <c r="H90" s="1" t="s">
        <v>130</v>
      </c>
      <c r="I90" s="1" t="s">
        <v>131</v>
      </c>
    </row>
    <row r="91" spans="1:9">
      <c r="A91" s="1" t="s">
        <v>121</v>
      </c>
      <c r="B91" s="1" t="s">
        <v>132</v>
      </c>
      <c r="C91" s="1" t="s">
        <v>11</v>
      </c>
      <c r="D91" s="1">
        <v>2017</v>
      </c>
      <c r="E91" s="8">
        <v>0.01</v>
      </c>
      <c r="F91" s="1" t="s">
        <v>129</v>
      </c>
      <c r="H91" s="1" t="s">
        <v>130</v>
      </c>
      <c r="I91" s="1" t="s">
        <v>131</v>
      </c>
    </row>
    <row r="92" spans="1:9">
      <c r="A92" s="1" t="s">
        <v>121</v>
      </c>
      <c r="B92" s="1" t="s">
        <v>132</v>
      </c>
      <c r="C92" s="1" t="s">
        <v>11</v>
      </c>
      <c r="D92" s="1">
        <v>2016</v>
      </c>
      <c r="E92" s="8">
        <v>0.02</v>
      </c>
      <c r="F92" s="1" t="s">
        <v>129</v>
      </c>
      <c r="H92" s="1" t="s">
        <v>130</v>
      </c>
      <c r="I92" s="1" t="s">
        <v>131</v>
      </c>
    </row>
    <row r="93" spans="1:9">
      <c r="A93" s="1" t="s">
        <v>121</v>
      </c>
      <c r="B93" s="1" t="s">
        <v>132</v>
      </c>
      <c r="C93" s="1" t="s">
        <v>11</v>
      </c>
      <c r="D93" s="1">
        <v>2015</v>
      </c>
      <c r="E93" s="8">
        <v>0.3</v>
      </c>
      <c r="F93" s="1" t="s">
        <v>129</v>
      </c>
      <c r="H93" s="1" t="s">
        <v>130</v>
      </c>
      <c r="I93" s="1" t="s">
        <v>131</v>
      </c>
    </row>
    <row r="94" spans="1:9">
      <c r="A94" s="1" t="s">
        <v>121</v>
      </c>
      <c r="B94" s="1" t="s">
        <v>132</v>
      </c>
      <c r="C94" s="1" t="s">
        <v>11</v>
      </c>
      <c r="D94" s="1">
        <v>2014</v>
      </c>
      <c r="E94" s="8">
        <v>0.04</v>
      </c>
      <c r="F94" s="1" t="s">
        <v>129</v>
      </c>
      <c r="H94" s="1" t="s">
        <v>130</v>
      </c>
      <c r="I94" s="1" t="s">
        <v>131</v>
      </c>
    </row>
    <row r="95" spans="1:9">
      <c r="A95" s="1" t="s">
        <v>121</v>
      </c>
      <c r="B95" s="1" t="s">
        <v>132</v>
      </c>
      <c r="C95" s="1" t="s">
        <v>11</v>
      </c>
      <c r="D95" s="1">
        <v>2013</v>
      </c>
      <c r="E95" s="8">
        <v>7.0000000000000007E-2</v>
      </c>
      <c r="F95" s="1" t="s">
        <v>129</v>
      </c>
      <c r="H95" s="1" t="s">
        <v>130</v>
      </c>
      <c r="I95" s="1" t="s">
        <v>131</v>
      </c>
    </row>
    <row r="96" spans="1:9">
      <c r="A96" s="1" t="s">
        <v>121</v>
      </c>
      <c r="B96" s="1" t="s">
        <v>132</v>
      </c>
      <c r="C96" s="1" t="s">
        <v>11</v>
      </c>
      <c r="D96" s="1">
        <v>2012</v>
      </c>
      <c r="E96" s="8">
        <v>0.04</v>
      </c>
      <c r="F96" s="1" t="s">
        <v>129</v>
      </c>
      <c r="H96" s="1" t="s">
        <v>130</v>
      </c>
      <c r="I96" s="1" t="s">
        <v>131</v>
      </c>
    </row>
    <row r="97" spans="1:9">
      <c r="A97" s="1" t="s">
        <v>121</v>
      </c>
      <c r="B97" s="1" t="s">
        <v>132</v>
      </c>
      <c r="C97" s="1" t="s">
        <v>11</v>
      </c>
      <c r="D97" s="1">
        <v>2011</v>
      </c>
      <c r="E97" s="8">
        <v>0.03</v>
      </c>
      <c r="F97" s="1" t="s">
        <v>129</v>
      </c>
      <c r="H97" s="1" t="s">
        <v>130</v>
      </c>
      <c r="I97" s="1" t="s">
        <v>131</v>
      </c>
    </row>
    <row r="98" spans="1:9">
      <c r="A98" s="1" t="s">
        <v>121</v>
      </c>
      <c r="B98" s="1" t="s">
        <v>132</v>
      </c>
      <c r="C98" s="1" t="s">
        <v>11</v>
      </c>
      <c r="D98" s="1">
        <v>2010</v>
      </c>
      <c r="E98" s="8">
        <v>0.03</v>
      </c>
      <c r="F98" s="1" t="s">
        <v>129</v>
      </c>
      <c r="H98" s="1" t="s">
        <v>130</v>
      </c>
      <c r="I98" s="1" t="s">
        <v>131</v>
      </c>
    </row>
    <row r="99" spans="1:9">
      <c r="A99" s="1" t="s">
        <v>121</v>
      </c>
      <c r="B99" s="1" t="s">
        <v>132</v>
      </c>
      <c r="C99" s="1" t="s">
        <v>11</v>
      </c>
      <c r="D99" s="1">
        <v>2008</v>
      </c>
      <c r="E99" s="8">
        <v>0.2</v>
      </c>
      <c r="F99" s="1" t="s">
        <v>129</v>
      </c>
      <c r="H99" s="1" t="s">
        <v>130</v>
      </c>
      <c r="I99" s="1" t="s">
        <v>131</v>
      </c>
    </row>
    <row r="100" spans="1:9">
      <c r="A100" s="1" t="s">
        <v>121</v>
      </c>
      <c r="B100" s="1" t="s">
        <v>132</v>
      </c>
      <c r="C100" s="1" t="s">
        <v>11</v>
      </c>
      <c r="D100" s="1">
        <v>2006</v>
      </c>
      <c r="E100" s="8">
        <v>0.19</v>
      </c>
      <c r="F100" s="1" t="s">
        <v>129</v>
      </c>
      <c r="H100" s="1" t="s">
        <v>130</v>
      </c>
      <c r="I100" s="1" t="s">
        <v>131</v>
      </c>
    </row>
    <row r="101" spans="1:9">
      <c r="A101" s="1" t="s">
        <v>121</v>
      </c>
      <c r="B101" s="1" t="s">
        <v>132</v>
      </c>
      <c r="C101" s="1" t="s">
        <v>11</v>
      </c>
      <c r="D101" s="1">
        <v>2004</v>
      </c>
      <c r="E101" s="8">
        <v>0.24</v>
      </c>
      <c r="F101" s="1" t="s">
        <v>129</v>
      </c>
      <c r="H101" s="1" t="s">
        <v>130</v>
      </c>
      <c r="I101" s="1" t="s">
        <v>131</v>
      </c>
    </row>
    <row r="102" spans="1:9">
      <c r="A102" s="1" t="s">
        <v>121</v>
      </c>
      <c r="B102" s="1" t="s">
        <v>133</v>
      </c>
      <c r="C102" s="1" t="s">
        <v>18</v>
      </c>
      <c r="D102" s="1">
        <v>2017</v>
      </c>
      <c r="E102" s="8">
        <v>61022</v>
      </c>
      <c r="F102" s="1" t="s">
        <v>129</v>
      </c>
      <c r="H102" s="1" t="s">
        <v>130</v>
      </c>
      <c r="I102" s="1" t="s">
        <v>131</v>
      </c>
    </row>
    <row r="103" spans="1:9">
      <c r="A103" s="1" t="s">
        <v>121</v>
      </c>
      <c r="B103" s="1" t="s">
        <v>133</v>
      </c>
      <c r="C103" s="1" t="s">
        <v>18</v>
      </c>
      <c r="D103" s="1">
        <v>2016</v>
      </c>
      <c r="E103" s="8">
        <v>72246</v>
      </c>
      <c r="F103" s="1" t="s">
        <v>129</v>
      </c>
      <c r="H103" s="1" t="s">
        <v>130</v>
      </c>
      <c r="I103" s="1" t="s">
        <v>131</v>
      </c>
    </row>
    <row r="104" spans="1:9">
      <c r="A104" s="1" t="s">
        <v>121</v>
      </c>
      <c r="B104" s="1" t="s">
        <v>133</v>
      </c>
      <c r="C104" s="1" t="s">
        <v>18</v>
      </c>
      <c r="D104" s="1">
        <v>2015</v>
      </c>
      <c r="E104" s="8">
        <v>78257</v>
      </c>
      <c r="F104" s="1" t="s">
        <v>129</v>
      </c>
      <c r="H104" s="1" t="s">
        <v>130</v>
      </c>
      <c r="I104" s="1" t="s">
        <v>131</v>
      </c>
    </row>
    <row r="105" spans="1:9">
      <c r="A105" s="1" t="s">
        <v>121</v>
      </c>
      <c r="B105" s="1" t="s">
        <v>133</v>
      </c>
      <c r="C105" s="1" t="s">
        <v>18</v>
      </c>
      <c r="D105" s="1">
        <v>2014</v>
      </c>
      <c r="E105" s="8">
        <v>100852</v>
      </c>
      <c r="F105" s="1" t="s">
        <v>129</v>
      </c>
      <c r="H105" s="1" t="s">
        <v>130</v>
      </c>
      <c r="I105" s="1" t="s">
        <v>131</v>
      </c>
    </row>
    <row r="106" spans="1:9">
      <c r="A106" s="1" t="s">
        <v>121</v>
      </c>
      <c r="B106" s="1" t="s">
        <v>133</v>
      </c>
      <c r="C106" s="1" t="s">
        <v>18</v>
      </c>
      <c r="D106" s="1">
        <v>2013</v>
      </c>
      <c r="E106" s="8">
        <v>101866</v>
      </c>
      <c r="F106" s="1" t="s">
        <v>129</v>
      </c>
      <c r="H106" s="1" t="s">
        <v>130</v>
      </c>
      <c r="I106" s="1" t="s">
        <v>131</v>
      </c>
    </row>
    <row r="107" spans="1:9">
      <c r="A107" s="1" t="s">
        <v>121</v>
      </c>
      <c r="B107" s="1" t="s">
        <v>133</v>
      </c>
      <c r="C107" s="1" t="s">
        <v>18</v>
      </c>
      <c r="D107" s="1">
        <v>2012</v>
      </c>
      <c r="E107" s="8">
        <v>99653</v>
      </c>
      <c r="F107" s="1" t="s">
        <v>129</v>
      </c>
      <c r="H107" s="1" t="s">
        <v>130</v>
      </c>
      <c r="I107" s="1" t="s">
        <v>131</v>
      </c>
    </row>
    <row r="108" spans="1:9">
      <c r="A108" s="1" t="s">
        <v>121</v>
      </c>
      <c r="B108" s="1" t="s">
        <v>133</v>
      </c>
      <c r="C108" s="1" t="s">
        <v>18</v>
      </c>
      <c r="D108" s="1">
        <v>2011</v>
      </c>
      <c r="E108" s="8">
        <v>76307</v>
      </c>
      <c r="F108" s="1" t="s">
        <v>129</v>
      </c>
      <c r="H108" s="1" t="s">
        <v>130</v>
      </c>
      <c r="I108" s="1" t="s">
        <v>131</v>
      </c>
    </row>
    <row r="109" spans="1:9">
      <c r="A109" s="1" t="s">
        <v>121</v>
      </c>
      <c r="B109" s="1" t="s">
        <v>133</v>
      </c>
      <c r="C109" s="1" t="s">
        <v>18</v>
      </c>
      <c r="D109" s="1">
        <v>2010</v>
      </c>
      <c r="E109" s="8">
        <v>75193</v>
      </c>
      <c r="F109" s="1" t="s">
        <v>129</v>
      </c>
      <c r="H109" s="1" t="s">
        <v>130</v>
      </c>
      <c r="I109" s="1" t="s">
        <v>131</v>
      </c>
    </row>
    <row r="110" spans="1:9">
      <c r="A110" s="1" t="s">
        <v>121</v>
      </c>
      <c r="B110" s="1" t="s">
        <v>133</v>
      </c>
      <c r="C110" s="1" t="s">
        <v>18</v>
      </c>
      <c r="D110" s="1">
        <v>2008</v>
      </c>
      <c r="E110" s="8">
        <v>125180</v>
      </c>
      <c r="F110" s="1" t="s">
        <v>129</v>
      </c>
      <c r="H110" s="1" t="s">
        <v>130</v>
      </c>
      <c r="I110" s="1" t="s">
        <v>131</v>
      </c>
    </row>
    <row r="111" spans="1:9">
      <c r="A111" s="1" t="s">
        <v>121</v>
      </c>
      <c r="B111" s="1" t="s">
        <v>133</v>
      </c>
      <c r="C111" s="1" t="s">
        <v>18</v>
      </c>
      <c r="D111" s="1">
        <v>2006</v>
      </c>
      <c r="E111" s="8">
        <v>153277</v>
      </c>
      <c r="F111" s="1" t="s">
        <v>129</v>
      </c>
      <c r="H111" s="1" t="s">
        <v>130</v>
      </c>
      <c r="I111" s="1" t="s">
        <v>131</v>
      </c>
    </row>
    <row r="112" spans="1:9">
      <c r="A112" s="1" t="s">
        <v>121</v>
      </c>
      <c r="B112" s="1" t="s">
        <v>133</v>
      </c>
      <c r="C112" s="1" t="s">
        <v>18</v>
      </c>
      <c r="D112" s="1">
        <v>2004</v>
      </c>
      <c r="E112" s="8">
        <v>68995</v>
      </c>
      <c r="F112" s="1" t="s">
        <v>129</v>
      </c>
      <c r="H112" s="1" t="s">
        <v>130</v>
      </c>
      <c r="I112" s="1" t="s">
        <v>131</v>
      </c>
    </row>
    <row r="113" spans="1:9">
      <c r="A113" s="1" t="s">
        <v>121</v>
      </c>
      <c r="B113" s="1" t="s">
        <v>133</v>
      </c>
      <c r="C113" s="1" t="s">
        <v>15</v>
      </c>
      <c r="D113" s="1">
        <v>2017</v>
      </c>
      <c r="E113" s="8">
        <v>1823</v>
      </c>
      <c r="F113" s="1" t="s">
        <v>129</v>
      </c>
      <c r="H113" s="1" t="s">
        <v>130</v>
      </c>
      <c r="I113" s="1" t="s">
        <v>131</v>
      </c>
    </row>
    <row r="114" spans="1:9">
      <c r="A114" s="1" t="s">
        <v>121</v>
      </c>
      <c r="B114" s="1" t="s">
        <v>133</v>
      </c>
      <c r="C114" s="1" t="s">
        <v>15</v>
      </c>
      <c r="D114" s="1">
        <v>2016</v>
      </c>
      <c r="E114" s="8">
        <v>2421</v>
      </c>
      <c r="F114" s="1" t="s">
        <v>129</v>
      </c>
      <c r="H114" s="1" t="s">
        <v>130</v>
      </c>
      <c r="I114" s="1" t="s">
        <v>131</v>
      </c>
    </row>
    <row r="115" spans="1:9">
      <c r="A115" s="1" t="s">
        <v>121</v>
      </c>
      <c r="B115" s="1" t="s">
        <v>133</v>
      </c>
      <c r="C115" s="1" t="s">
        <v>15</v>
      </c>
      <c r="D115" s="1">
        <v>2015</v>
      </c>
      <c r="E115" s="8">
        <v>2356</v>
      </c>
      <c r="F115" s="1" t="s">
        <v>129</v>
      </c>
      <c r="H115" s="1" t="s">
        <v>130</v>
      </c>
      <c r="I115" s="1" t="s">
        <v>131</v>
      </c>
    </row>
    <row r="116" spans="1:9">
      <c r="A116" s="1" t="s">
        <v>121</v>
      </c>
      <c r="B116" s="1" t="s">
        <v>133</v>
      </c>
      <c r="C116" s="1" t="s">
        <v>15</v>
      </c>
      <c r="D116" s="1">
        <v>2014</v>
      </c>
      <c r="E116" s="8">
        <v>2282</v>
      </c>
      <c r="F116" s="1" t="s">
        <v>129</v>
      </c>
      <c r="H116" s="1" t="s">
        <v>130</v>
      </c>
      <c r="I116" s="1" t="s">
        <v>131</v>
      </c>
    </row>
    <row r="117" spans="1:9">
      <c r="A117" s="1" t="s">
        <v>121</v>
      </c>
      <c r="B117" s="1" t="s">
        <v>133</v>
      </c>
      <c r="C117" s="1" t="s">
        <v>15</v>
      </c>
      <c r="D117" s="1">
        <v>2013</v>
      </c>
      <c r="E117" s="8">
        <v>14908</v>
      </c>
      <c r="F117" s="1" t="s">
        <v>129</v>
      </c>
      <c r="H117" s="1" t="s">
        <v>130</v>
      </c>
      <c r="I117" s="1" t="s">
        <v>131</v>
      </c>
    </row>
    <row r="118" spans="1:9">
      <c r="A118" s="1" t="s">
        <v>121</v>
      </c>
      <c r="B118" s="1" t="s">
        <v>133</v>
      </c>
      <c r="C118" s="1" t="s">
        <v>15</v>
      </c>
      <c r="D118" s="1">
        <v>2012</v>
      </c>
      <c r="E118" s="8">
        <v>14791</v>
      </c>
      <c r="F118" s="1" t="s">
        <v>129</v>
      </c>
      <c r="H118" s="1" t="s">
        <v>130</v>
      </c>
      <c r="I118" s="1" t="s">
        <v>131</v>
      </c>
    </row>
    <row r="119" spans="1:9">
      <c r="A119" s="1" t="s">
        <v>121</v>
      </c>
      <c r="B119" s="1" t="s">
        <v>133</v>
      </c>
      <c r="C119" s="1" t="s">
        <v>15</v>
      </c>
      <c r="D119" s="1">
        <v>2011</v>
      </c>
      <c r="E119" s="8">
        <v>9611</v>
      </c>
      <c r="F119" s="1" t="s">
        <v>129</v>
      </c>
      <c r="H119" s="1" t="s">
        <v>130</v>
      </c>
      <c r="I119" s="1" t="s">
        <v>131</v>
      </c>
    </row>
    <row r="120" spans="1:9">
      <c r="A120" s="1" t="s">
        <v>121</v>
      </c>
      <c r="B120" s="1" t="s">
        <v>133</v>
      </c>
      <c r="C120" s="1" t="s">
        <v>15</v>
      </c>
      <c r="D120" s="1">
        <v>2010</v>
      </c>
      <c r="E120" s="8">
        <v>10697</v>
      </c>
      <c r="F120" s="1" t="s">
        <v>129</v>
      </c>
      <c r="H120" s="1" t="s">
        <v>130</v>
      </c>
      <c r="I120" s="1" t="s">
        <v>131</v>
      </c>
    </row>
    <row r="121" spans="1:9">
      <c r="A121" s="1" t="s">
        <v>121</v>
      </c>
      <c r="B121" s="1" t="s">
        <v>133</v>
      </c>
      <c r="C121" s="1" t="s">
        <v>15</v>
      </c>
      <c r="D121" s="1">
        <v>2008</v>
      </c>
      <c r="E121" s="8">
        <v>13212</v>
      </c>
      <c r="F121" s="1" t="s">
        <v>129</v>
      </c>
      <c r="H121" s="1" t="s">
        <v>130</v>
      </c>
      <c r="I121" s="1" t="s">
        <v>131</v>
      </c>
    </row>
    <row r="122" spans="1:9">
      <c r="A122" s="1" t="s">
        <v>121</v>
      </c>
      <c r="B122" s="1" t="s">
        <v>133</v>
      </c>
      <c r="C122" s="1" t="s">
        <v>15</v>
      </c>
      <c r="D122" s="1">
        <v>2006</v>
      </c>
      <c r="E122" s="8">
        <v>15165</v>
      </c>
      <c r="F122" s="1" t="s">
        <v>129</v>
      </c>
      <c r="H122" s="1" t="s">
        <v>130</v>
      </c>
      <c r="I122" s="1" t="s">
        <v>131</v>
      </c>
    </row>
    <row r="123" spans="1:9">
      <c r="A123" s="1" t="s">
        <v>121</v>
      </c>
      <c r="B123" s="1" t="s">
        <v>133</v>
      </c>
      <c r="C123" s="1" t="s">
        <v>15</v>
      </c>
      <c r="D123" s="1">
        <v>2004</v>
      </c>
      <c r="E123" s="8">
        <v>15006</v>
      </c>
      <c r="F123" s="1" t="s">
        <v>129</v>
      </c>
      <c r="H123" s="1" t="s">
        <v>130</v>
      </c>
      <c r="I123" s="1" t="s">
        <v>131</v>
      </c>
    </row>
    <row r="124" spans="1:9">
      <c r="A124" s="1" t="s">
        <v>121</v>
      </c>
      <c r="B124" s="1" t="s">
        <v>133</v>
      </c>
      <c r="C124" s="1" t="s">
        <v>11</v>
      </c>
      <c r="D124" s="1">
        <v>2018</v>
      </c>
      <c r="E124" s="8">
        <v>9825</v>
      </c>
      <c r="F124" s="1" t="s">
        <v>129</v>
      </c>
      <c r="H124" s="1" t="s">
        <v>130</v>
      </c>
      <c r="I124" s="1" t="s">
        <v>24</v>
      </c>
    </row>
    <row r="125" spans="1:9">
      <c r="A125" s="1" t="s">
        <v>121</v>
      </c>
      <c r="B125" s="1" t="s">
        <v>133</v>
      </c>
      <c r="C125" s="1" t="s">
        <v>11</v>
      </c>
      <c r="D125" s="1">
        <v>2017</v>
      </c>
      <c r="E125" s="8">
        <v>12407</v>
      </c>
      <c r="F125" s="1" t="s">
        <v>129</v>
      </c>
      <c r="H125" s="1" t="s">
        <v>130</v>
      </c>
      <c r="I125" s="1" t="s">
        <v>131</v>
      </c>
    </row>
    <row r="126" spans="1:9">
      <c r="A126" s="1" t="s">
        <v>121</v>
      </c>
      <c r="B126" s="1" t="s">
        <v>133</v>
      </c>
      <c r="C126" s="1" t="s">
        <v>11</v>
      </c>
      <c r="D126" s="1">
        <v>2016</v>
      </c>
      <c r="E126" s="8">
        <v>13199</v>
      </c>
      <c r="F126" s="1" t="s">
        <v>129</v>
      </c>
      <c r="H126" s="1" t="s">
        <v>130</v>
      </c>
      <c r="I126" s="1" t="s">
        <v>131</v>
      </c>
    </row>
    <row r="127" spans="1:9">
      <c r="A127" s="1" t="s">
        <v>121</v>
      </c>
      <c r="B127" s="1" t="s">
        <v>133</v>
      </c>
      <c r="C127" s="1" t="s">
        <v>11</v>
      </c>
      <c r="D127" s="1">
        <v>2015</v>
      </c>
      <c r="E127" s="8">
        <v>17088</v>
      </c>
      <c r="F127" s="1" t="s">
        <v>129</v>
      </c>
      <c r="H127" s="1" t="s">
        <v>130</v>
      </c>
      <c r="I127" s="1" t="s">
        <v>131</v>
      </c>
    </row>
    <row r="128" spans="1:9">
      <c r="A128" s="1" t="s">
        <v>121</v>
      </c>
      <c r="B128" s="1" t="s">
        <v>133</v>
      </c>
      <c r="C128" s="1" t="s">
        <v>11</v>
      </c>
      <c r="D128" s="1">
        <v>2014</v>
      </c>
      <c r="E128" s="8">
        <v>15681</v>
      </c>
      <c r="F128" s="1" t="s">
        <v>129</v>
      </c>
      <c r="H128" s="1" t="s">
        <v>130</v>
      </c>
      <c r="I128" s="1" t="s">
        <v>131</v>
      </c>
    </row>
    <row r="129" spans="1:9">
      <c r="A129" s="1" t="s">
        <v>121</v>
      </c>
      <c r="B129" s="1" t="s">
        <v>133</v>
      </c>
      <c r="C129" s="1" t="s">
        <v>11</v>
      </c>
      <c r="D129" s="1">
        <v>2013</v>
      </c>
      <c r="E129" s="8">
        <v>17422</v>
      </c>
      <c r="F129" s="1" t="s">
        <v>129</v>
      </c>
      <c r="H129" s="1" t="s">
        <v>130</v>
      </c>
      <c r="I129" s="1" t="s">
        <v>131</v>
      </c>
    </row>
    <row r="130" spans="1:9">
      <c r="A130" s="1" t="s">
        <v>121</v>
      </c>
      <c r="B130" s="1" t="s">
        <v>133</v>
      </c>
      <c r="C130" s="1" t="s">
        <v>11</v>
      </c>
      <c r="D130" s="1">
        <v>2012</v>
      </c>
      <c r="E130" s="8">
        <v>19255</v>
      </c>
      <c r="F130" s="1" t="s">
        <v>129</v>
      </c>
      <c r="H130" s="1" t="s">
        <v>130</v>
      </c>
      <c r="I130" s="1" t="s">
        <v>131</v>
      </c>
    </row>
    <row r="131" spans="1:9">
      <c r="A131" s="1" t="s">
        <v>121</v>
      </c>
      <c r="B131" s="1" t="s">
        <v>133</v>
      </c>
      <c r="C131" s="1" t="s">
        <v>11</v>
      </c>
      <c r="D131" s="1">
        <v>2011</v>
      </c>
      <c r="E131" s="8">
        <v>18360</v>
      </c>
      <c r="F131" s="1" t="s">
        <v>129</v>
      </c>
      <c r="H131" s="1" t="s">
        <v>130</v>
      </c>
      <c r="I131" s="1" t="s">
        <v>131</v>
      </c>
    </row>
    <row r="132" spans="1:9">
      <c r="A132" s="1" t="s">
        <v>121</v>
      </c>
      <c r="B132" s="1" t="s">
        <v>133</v>
      </c>
      <c r="C132" s="1" t="s">
        <v>11</v>
      </c>
      <c r="D132" s="1">
        <v>2010</v>
      </c>
      <c r="E132" s="8">
        <v>25921</v>
      </c>
      <c r="F132" s="1" t="s">
        <v>129</v>
      </c>
      <c r="H132" s="1" t="s">
        <v>130</v>
      </c>
      <c r="I132" s="1" t="s">
        <v>131</v>
      </c>
    </row>
    <row r="133" spans="1:9">
      <c r="A133" s="1" t="s">
        <v>121</v>
      </c>
      <c r="B133" s="1" t="s">
        <v>133</v>
      </c>
      <c r="C133" s="1" t="s">
        <v>11</v>
      </c>
      <c r="D133" s="1">
        <v>2008</v>
      </c>
      <c r="E133" s="8">
        <v>34845</v>
      </c>
      <c r="F133" s="1" t="s">
        <v>129</v>
      </c>
      <c r="H133" s="1" t="s">
        <v>130</v>
      </c>
      <c r="I133" s="1" t="s">
        <v>131</v>
      </c>
    </row>
    <row r="134" spans="1:9">
      <c r="A134" s="1" t="s">
        <v>121</v>
      </c>
      <c r="B134" s="1" t="s">
        <v>133</v>
      </c>
      <c r="C134" s="1" t="s">
        <v>11</v>
      </c>
      <c r="D134" s="1">
        <v>2006</v>
      </c>
      <c r="E134" s="8">
        <v>43706</v>
      </c>
      <c r="F134" s="1" t="s">
        <v>129</v>
      </c>
      <c r="H134" s="1" t="s">
        <v>130</v>
      </c>
      <c r="I134" s="1" t="s">
        <v>131</v>
      </c>
    </row>
    <row r="135" spans="1:9">
      <c r="A135" s="1" t="s">
        <v>121</v>
      </c>
      <c r="B135" s="1" t="s">
        <v>133</v>
      </c>
      <c r="C135" s="1" t="s">
        <v>11</v>
      </c>
      <c r="D135" s="1">
        <v>2004</v>
      </c>
      <c r="E135" s="8">
        <v>66700</v>
      </c>
      <c r="F135" s="1" t="s">
        <v>129</v>
      </c>
      <c r="H135" s="1" t="s">
        <v>130</v>
      </c>
      <c r="I135" s="1" t="s">
        <v>131</v>
      </c>
    </row>
    <row r="136" spans="1:9">
      <c r="A136" s="1" t="s">
        <v>121</v>
      </c>
      <c r="B136" s="1" t="s">
        <v>134</v>
      </c>
      <c r="C136" s="1" t="s">
        <v>18</v>
      </c>
      <c r="D136" s="1">
        <v>2017</v>
      </c>
      <c r="E136" s="8">
        <v>47661</v>
      </c>
      <c r="F136" s="1" t="s">
        <v>129</v>
      </c>
      <c r="H136" s="1" t="s">
        <v>130</v>
      </c>
      <c r="I136" s="1" t="s">
        <v>131</v>
      </c>
    </row>
    <row r="137" spans="1:9">
      <c r="A137" s="1" t="s">
        <v>121</v>
      </c>
      <c r="B137" s="1" t="s">
        <v>134</v>
      </c>
      <c r="C137" s="1" t="s">
        <v>18</v>
      </c>
      <c r="D137" s="1">
        <v>2016</v>
      </c>
      <c r="E137" s="8">
        <v>56173</v>
      </c>
      <c r="F137" s="1" t="s">
        <v>129</v>
      </c>
      <c r="H137" s="1" t="s">
        <v>130</v>
      </c>
      <c r="I137" s="1" t="s">
        <v>131</v>
      </c>
    </row>
    <row r="138" spans="1:9">
      <c r="A138" s="1" t="s">
        <v>121</v>
      </c>
      <c r="B138" s="1" t="s">
        <v>134</v>
      </c>
      <c r="C138" s="1" t="s">
        <v>18</v>
      </c>
      <c r="D138" s="1">
        <v>2015</v>
      </c>
      <c r="E138" s="8">
        <v>101918</v>
      </c>
      <c r="F138" s="1" t="s">
        <v>129</v>
      </c>
      <c r="H138" s="1" t="s">
        <v>130</v>
      </c>
      <c r="I138" s="1" t="s">
        <v>131</v>
      </c>
    </row>
    <row r="139" spans="1:9">
      <c r="A139" s="1" t="s">
        <v>121</v>
      </c>
      <c r="B139" s="1" t="s">
        <v>134</v>
      </c>
      <c r="C139" s="1" t="s">
        <v>18</v>
      </c>
      <c r="D139" s="1">
        <v>2014</v>
      </c>
      <c r="E139" s="8">
        <v>164089</v>
      </c>
      <c r="F139" s="1" t="s">
        <v>129</v>
      </c>
      <c r="H139" s="1" t="s">
        <v>130</v>
      </c>
      <c r="I139" s="1" t="s">
        <v>131</v>
      </c>
    </row>
    <row r="140" spans="1:9">
      <c r="A140" s="1" t="s">
        <v>121</v>
      </c>
      <c r="B140" s="1" t="s">
        <v>134</v>
      </c>
      <c r="C140" s="1" t="s">
        <v>18</v>
      </c>
      <c r="D140" s="1">
        <v>2013</v>
      </c>
      <c r="E140" s="8">
        <v>203403</v>
      </c>
      <c r="F140" s="1" t="s">
        <v>129</v>
      </c>
      <c r="H140" s="1" t="s">
        <v>130</v>
      </c>
      <c r="I140" s="1" t="s">
        <v>131</v>
      </c>
    </row>
    <row r="141" spans="1:9">
      <c r="A141" s="1" t="s">
        <v>121</v>
      </c>
      <c r="B141" s="1" t="s">
        <v>134</v>
      </c>
      <c r="C141" s="1" t="s">
        <v>18</v>
      </c>
      <c r="D141" s="1">
        <v>2012</v>
      </c>
      <c r="E141" s="8">
        <v>213024</v>
      </c>
      <c r="F141" s="1" t="s">
        <v>129</v>
      </c>
      <c r="H141" s="1" t="s">
        <v>130</v>
      </c>
      <c r="I141" s="1" t="s">
        <v>131</v>
      </c>
    </row>
    <row r="142" spans="1:9">
      <c r="A142" s="1" t="s">
        <v>121</v>
      </c>
      <c r="B142" s="1" t="s">
        <v>134</v>
      </c>
      <c r="C142" s="1" t="s">
        <v>18</v>
      </c>
      <c r="D142" s="1">
        <v>2011</v>
      </c>
      <c r="E142" s="8">
        <v>231562</v>
      </c>
      <c r="F142" s="1" t="s">
        <v>129</v>
      </c>
      <c r="H142" s="1" t="s">
        <v>130</v>
      </c>
      <c r="I142" s="1" t="s">
        <v>131</v>
      </c>
    </row>
    <row r="143" spans="1:9">
      <c r="A143" s="1" t="s">
        <v>121</v>
      </c>
      <c r="B143" s="1" t="s">
        <v>134</v>
      </c>
      <c r="C143" s="1" t="s">
        <v>18</v>
      </c>
      <c r="D143" s="1">
        <v>2010</v>
      </c>
      <c r="E143" s="8">
        <v>238181</v>
      </c>
      <c r="F143" s="1" t="s">
        <v>129</v>
      </c>
      <c r="H143" s="1" t="s">
        <v>130</v>
      </c>
      <c r="I143" s="1" t="s">
        <v>131</v>
      </c>
    </row>
    <row r="144" spans="1:9">
      <c r="A144" s="1" t="s">
        <v>121</v>
      </c>
      <c r="B144" s="1" t="s">
        <v>134</v>
      </c>
      <c r="C144" s="1" t="s">
        <v>18</v>
      </c>
      <c r="D144" s="1">
        <v>2008</v>
      </c>
      <c r="E144" s="8">
        <v>403504</v>
      </c>
      <c r="F144" s="1" t="s">
        <v>129</v>
      </c>
      <c r="H144" s="1" t="s">
        <v>130</v>
      </c>
      <c r="I144" s="1" t="s">
        <v>131</v>
      </c>
    </row>
    <row r="145" spans="1:9">
      <c r="A145" s="1" t="s">
        <v>121</v>
      </c>
      <c r="B145" s="1" t="s">
        <v>134</v>
      </c>
      <c r="C145" s="1" t="s">
        <v>18</v>
      </c>
      <c r="D145" s="1">
        <v>2006</v>
      </c>
      <c r="E145" s="8">
        <v>813342</v>
      </c>
      <c r="F145" s="1" t="s">
        <v>129</v>
      </c>
      <c r="H145" s="1" t="s">
        <v>130</v>
      </c>
      <c r="I145" s="1" t="s">
        <v>131</v>
      </c>
    </row>
    <row r="146" spans="1:9">
      <c r="A146" s="1" t="s">
        <v>121</v>
      </c>
      <c r="B146" s="1" t="s">
        <v>134</v>
      </c>
      <c r="C146" s="1" t="s">
        <v>18</v>
      </c>
      <c r="D146" s="1">
        <v>2004</v>
      </c>
      <c r="E146" s="8">
        <v>286048</v>
      </c>
      <c r="F146" s="1" t="s">
        <v>129</v>
      </c>
      <c r="H146" s="1" t="s">
        <v>130</v>
      </c>
      <c r="I146" s="1" t="s">
        <v>131</v>
      </c>
    </row>
    <row r="147" spans="1:9">
      <c r="A147" s="1" t="s">
        <v>121</v>
      </c>
      <c r="B147" s="1" t="s">
        <v>134</v>
      </c>
      <c r="C147" s="1" t="s">
        <v>15</v>
      </c>
      <c r="D147" s="1">
        <v>2017</v>
      </c>
      <c r="E147" s="8">
        <v>559</v>
      </c>
      <c r="F147" s="1" t="s">
        <v>129</v>
      </c>
      <c r="H147" s="1" t="s">
        <v>130</v>
      </c>
      <c r="I147" s="1" t="s">
        <v>131</v>
      </c>
    </row>
    <row r="148" spans="1:9">
      <c r="A148" s="1" t="s">
        <v>121</v>
      </c>
      <c r="B148" s="1" t="s">
        <v>134</v>
      </c>
      <c r="C148" s="1" t="s">
        <v>15</v>
      </c>
      <c r="D148" s="1">
        <v>2016</v>
      </c>
      <c r="E148" s="8">
        <v>1095</v>
      </c>
      <c r="F148" s="1" t="s">
        <v>129</v>
      </c>
      <c r="H148" s="1" t="s">
        <v>130</v>
      </c>
      <c r="I148" s="1" t="s">
        <v>131</v>
      </c>
    </row>
    <row r="149" spans="1:9">
      <c r="A149" s="1" t="s">
        <v>121</v>
      </c>
      <c r="B149" s="1" t="s">
        <v>134</v>
      </c>
      <c r="C149" s="1" t="s">
        <v>15</v>
      </c>
      <c r="D149" s="1">
        <v>2015</v>
      </c>
      <c r="E149" s="8">
        <v>1317</v>
      </c>
      <c r="F149" s="1" t="s">
        <v>129</v>
      </c>
      <c r="H149" s="1" t="s">
        <v>130</v>
      </c>
      <c r="I149" s="1" t="s">
        <v>131</v>
      </c>
    </row>
    <row r="150" spans="1:9">
      <c r="A150" s="1" t="s">
        <v>121</v>
      </c>
      <c r="B150" s="1" t="s">
        <v>134</v>
      </c>
      <c r="C150" s="1" t="s">
        <v>15</v>
      </c>
      <c r="D150" s="1">
        <v>2014</v>
      </c>
      <c r="E150" s="8">
        <v>1812</v>
      </c>
      <c r="F150" s="1" t="s">
        <v>129</v>
      </c>
      <c r="H150" s="1" t="s">
        <v>130</v>
      </c>
      <c r="I150" s="1" t="s">
        <v>131</v>
      </c>
    </row>
    <row r="151" spans="1:9">
      <c r="A151" s="1" t="s">
        <v>121</v>
      </c>
      <c r="B151" s="1" t="s">
        <v>134</v>
      </c>
      <c r="C151" s="1" t="s">
        <v>15</v>
      </c>
      <c r="D151" s="1">
        <v>2013</v>
      </c>
      <c r="E151" s="8">
        <v>14812</v>
      </c>
      <c r="F151" s="1" t="s">
        <v>129</v>
      </c>
      <c r="H151" s="1" t="s">
        <v>130</v>
      </c>
      <c r="I151" s="1" t="s">
        <v>131</v>
      </c>
    </row>
    <row r="152" spans="1:9">
      <c r="A152" s="1" t="s">
        <v>121</v>
      </c>
      <c r="B152" s="1" t="s">
        <v>134</v>
      </c>
      <c r="C152" s="1" t="s">
        <v>15</v>
      </c>
      <c r="D152" s="1">
        <v>2012</v>
      </c>
      <c r="E152" s="8">
        <v>15296</v>
      </c>
      <c r="F152" s="1" t="s">
        <v>129</v>
      </c>
      <c r="H152" s="1" t="s">
        <v>130</v>
      </c>
      <c r="I152" s="1" t="s">
        <v>131</v>
      </c>
    </row>
    <row r="153" spans="1:9">
      <c r="A153" s="1" t="s">
        <v>121</v>
      </c>
      <c r="B153" s="1" t="s">
        <v>134</v>
      </c>
      <c r="C153" s="1" t="s">
        <v>15</v>
      </c>
      <c r="D153" s="1">
        <v>2011</v>
      </c>
      <c r="E153" s="8">
        <v>12346</v>
      </c>
      <c r="F153" s="1" t="s">
        <v>129</v>
      </c>
      <c r="H153" s="1" t="s">
        <v>130</v>
      </c>
      <c r="I153" s="1" t="s">
        <v>131</v>
      </c>
    </row>
    <row r="154" spans="1:9">
      <c r="A154" s="1" t="s">
        <v>121</v>
      </c>
      <c r="B154" s="1" t="s">
        <v>134</v>
      </c>
      <c r="C154" s="1" t="s">
        <v>15</v>
      </c>
      <c r="D154" s="1">
        <v>2010</v>
      </c>
      <c r="E154" s="8">
        <v>16911</v>
      </c>
      <c r="F154" s="1" t="s">
        <v>129</v>
      </c>
      <c r="H154" s="1" t="s">
        <v>130</v>
      </c>
      <c r="I154" s="1" t="s">
        <v>131</v>
      </c>
    </row>
    <row r="155" spans="1:9">
      <c r="A155" s="1" t="s">
        <v>121</v>
      </c>
      <c r="B155" s="1" t="s">
        <v>134</v>
      </c>
      <c r="C155" s="1" t="s">
        <v>15</v>
      </c>
      <c r="D155" s="1">
        <v>2008</v>
      </c>
      <c r="E155" s="8">
        <v>50072</v>
      </c>
      <c r="F155" s="1" t="s">
        <v>129</v>
      </c>
      <c r="H155" s="1" t="s">
        <v>130</v>
      </c>
      <c r="I155" s="1" t="s">
        <v>131</v>
      </c>
    </row>
    <row r="156" spans="1:9">
      <c r="A156" s="1" t="s">
        <v>121</v>
      </c>
      <c r="B156" s="1" t="s">
        <v>134</v>
      </c>
      <c r="C156" s="1" t="s">
        <v>15</v>
      </c>
      <c r="D156" s="1">
        <v>2006</v>
      </c>
      <c r="E156" s="8">
        <v>46345</v>
      </c>
      <c r="F156" s="1" t="s">
        <v>129</v>
      </c>
      <c r="H156" s="1" t="s">
        <v>130</v>
      </c>
      <c r="I156" s="1" t="s">
        <v>131</v>
      </c>
    </row>
    <row r="157" spans="1:9">
      <c r="A157" s="1" t="s">
        <v>121</v>
      </c>
      <c r="B157" s="1" t="s">
        <v>134</v>
      </c>
      <c r="C157" s="1" t="s">
        <v>15</v>
      </c>
      <c r="D157" s="1">
        <v>2004</v>
      </c>
      <c r="E157" s="8">
        <v>53018</v>
      </c>
      <c r="F157" s="1" t="s">
        <v>129</v>
      </c>
      <c r="H157" s="1" t="s">
        <v>130</v>
      </c>
      <c r="I157" s="1" t="s">
        <v>131</v>
      </c>
    </row>
    <row r="158" spans="1:9">
      <c r="A158" s="1" t="s">
        <v>121</v>
      </c>
      <c r="B158" s="1" t="s">
        <v>134</v>
      </c>
      <c r="C158" s="1" t="s">
        <v>11</v>
      </c>
      <c r="D158" s="1">
        <v>2018</v>
      </c>
      <c r="E158" s="8">
        <v>1907</v>
      </c>
      <c r="F158" s="1" t="s">
        <v>129</v>
      </c>
      <c r="H158" s="1" t="s">
        <v>130</v>
      </c>
      <c r="I158" s="1" t="s">
        <v>24</v>
      </c>
    </row>
    <row r="159" spans="1:9">
      <c r="A159" s="1" t="s">
        <v>121</v>
      </c>
      <c r="B159" s="1" t="s">
        <v>134</v>
      </c>
      <c r="C159" s="1" t="s">
        <v>11</v>
      </c>
      <c r="D159" s="1">
        <v>2017</v>
      </c>
      <c r="E159" s="8">
        <v>2401</v>
      </c>
      <c r="F159" s="1" t="s">
        <v>129</v>
      </c>
      <c r="H159" s="1" t="s">
        <v>130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11</v>
      </c>
      <c r="D160" s="1">
        <v>2016</v>
      </c>
      <c r="E160" s="8">
        <v>3682</v>
      </c>
      <c r="F160" s="1" t="s">
        <v>129</v>
      </c>
      <c r="H160" s="1" t="s">
        <v>130</v>
      </c>
      <c r="I160" s="1" t="s">
        <v>131</v>
      </c>
    </row>
    <row r="161" spans="1:9">
      <c r="A161" s="1" t="s">
        <v>121</v>
      </c>
      <c r="B161" s="1" t="s">
        <v>134</v>
      </c>
      <c r="C161" s="1" t="s">
        <v>11</v>
      </c>
      <c r="D161" s="1">
        <v>2015</v>
      </c>
      <c r="E161" s="8">
        <v>4742</v>
      </c>
      <c r="F161" s="1" t="s">
        <v>129</v>
      </c>
      <c r="H161" s="1" t="s">
        <v>130</v>
      </c>
      <c r="I161" s="1" t="s">
        <v>131</v>
      </c>
    </row>
    <row r="162" spans="1:9">
      <c r="A162" s="1" t="s">
        <v>121</v>
      </c>
      <c r="B162" s="1" t="s">
        <v>134</v>
      </c>
      <c r="C162" s="1" t="s">
        <v>11</v>
      </c>
      <c r="D162" s="1">
        <v>2014</v>
      </c>
      <c r="E162" s="8">
        <v>7116</v>
      </c>
      <c r="F162" s="1" t="s">
        <v>129</v>
      </c>
      <c r="H162" s="1" t="s">
        <v>130</v>
      </c>
      <c r="I162" s="1" t="s">
        <v>131</v>
      </c>
    </row>
    <row r="163" spans="1:9">
      <c r="A163" s="1" t="s">
        <v>121</v>
      </c>
      <c r="B163" s="1" t="s">
        <v>134</v>
      </c>
      <c r="C163" s="1" t="s">
        <v>11</v>
      </c>
      <c r="D163" s="1">
        <v>2013</v>
      </c>
      <c r="E163" s="8">
        <v>4745</v>
      </c>
      <c r="F163" s="1" t="s">
        <v>129</v>
      </c>
      <c r="H163" s="1" t="s">
        <v>130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11</v>
      </c>
      <c r="D164" s="1">
        <v>2012</v>
      </c>
      <c r="E164" s="8">
        <v>10797</v>
      </c>
      <c r="F164" s="1" t="s">
        <v>129</v>
      </c>
      <c r="H164" s="1" t="s">
        <v>130</v>
      </c>
      <c r="I164" s="1" t="s">
        <v>131</v>
      </c>
    </row>
    <row r="165" spans="1:9">
      <c r="A165" s="1" t="s">
        <v>121</v>
      </c>
      <c r="B165" s="1" t="s">
        <v>134</v>
      </c>
      <c r="C165" s="1" t="s">
        <v>11</v>
      </c>
      <c r="D165" s="1">
        <v>2011</v>
      </c>
      <c r="E165" s="8">
        <v>16203</v>
      </c>
      <c r="F165" s="1" t="s">
        <v>129</v>
      </c>
      <c r="H165" s="1" t="s">
        <v>130</v>
      </c>
      <c r="I165" s="1" t="s">
        <v>131</v>
      </c>
    </row>
    <row r="166" spans="1:9">
      <c r="A166" s="1" t="s">
        <v>121</v>
      </c>
      <c r="B166" s="1" t="s">
        <v>134</v>
      </c>
      <c r="C166" s="1" t="s">
        <v>11</v>
      </c>
      <c r="D166" s="1">
        <v>2010</v>
      </c>
      <c r="E166" s="8">
        <v>36944</v>
      </c>
      <c r="F166" s="1" t="s">
        <v>129</v>
      </c>
      <c r="H166" s="1" t="s">
        <v>130</v>
      </c>
      <c r="I166" s="1" t="s">
        <v>131</v>
      </c>
    </row>
    <row r="167" spans="1:9">
      <c r="A167" s="1" t="s">
        <v>121</v>
      </c>
      <c r="B167" s="1" t="s">
        <v>134</v>
      </c>
      <c r="C167" s="1" t="s">
        <v>11</v>
      </c>
      <c r="D167" s="1">
        <v>2008</v>
      </c>
      <c r="E167" s="8">
        <v>48974</v>
      </c>
      <c r="F167" s="1" t="s">
        <v>129</v>
      </c>
      <c r="H167" s="1" t="s">
        <v>130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2006</v>
      </c>
      <c r="E168" s="8">
        <v>66712</v>
      </c>
      <c r="F168" s="1" t="s">
        <v>129</v>
      </c>
      <c r="H168" s="1" t="s">
        <v>130</v>
      </c>
      <c r="I168" s="1" t="s">
        <v>131</v>
      </c>
    </row>
    <row r="169" spans="1:9">
      <c r="A169" s="1" t="s">
        <v>121</v>
      </c>
      <c r="B169" s="1" t="s">
        <v>134</v>
      </c>
      <c r="C169" s="1" t="s">
        <v>11</v>
      </c>
      <c r="D169" s="1">
        <v>2004</v>
      </c>
      <c r="E169" s="8">
        <v>129461</v>
      </c>
      <c r="F169" s="1" t="s">
        <v>129</v>
      </c>
      <c r="H169" s="1" t="s">
        <v>130</v>
      </c>
      <c r="I169" s="1" t="s">
        <v>131</v>
      </c>
    </row>
    <row r="170" spans="1:9">
      <c r="A170" s="1" t="s">
        <v>135</v>
      </c>
      <c r="B170" s="1" t="s">
        <v>136</v>
      </c>
      <c r="C170" s="1" t="s">
        <v>11</v>
      </c>
      <c r="D170" s="1">
        <v>2014</v>
      </c>
      <c r="E170" s="8">
        <v>0</v>
      </c>
      <c r="F170" s="1" t="s">
        <v>137</v>
      </c>
      <c r="G170" s="1" cm="1">
        <f t="array" ref="G170">E170/VLOOKUP(D170,net_generation!$A:$D,MATCH(C170,net_generation!$1:$1,FALSE),FALSE)</f>
        <v>0</v>
      </c>
      <c r="H170" s="1" t="s">
        <v>138</v>
      </c>
      <c r="I170" s="1" t="s">
        <v>24</v>
      </c>
    </row>
    <row r="171" spans="1:9">
      <c r="A171" s="1" t="s">
        <v>135</v>
      </c>
      <c r="B171" s="1" t="s">
        <v>136</v>
      </c>
      <c r="C171" s="1" t="s">
        <v>11</v>
      </c>
      <c r="D171" s="1">
        <v>2015</v>
      </c>
      <c r="E171" s="8">
        <v>2</v>
      </c>
      <c r="F171" s="1" t="s">
        <v>137</v>
      </c>
      <c r="G171" s="1" cm="1">
        <f t="array" ref="G171">E171/VLOOKUP(D171,net_generation!$A:$D,MATCH(C171,net_generation!$1:$1,FALSE),FALSE)</f>
        <v>1.0064330546672847E-8</v>
      </c>
      <c r="H171" s="1" t="s">
        <v>138</v>
      </c>
      <c r="I171" s="1" t="s">
        <v>24</v>
      </c>
    </row>
    <row r="172" spans="1:9">
      <c r="A172" s="1" t="s">
        <v>135</v>
      </c>
      <c r="B172" s="1" t="s">
        <v>136</v>
      </c>
      <c r="C172" s="1" t="s">
        <v>11</v>
      </c>
      <c r="D172" s="1">
        <v>2016</v>
      </c>
      <c r="E172" s="8">
        <v>0</v>
      </c>
      <c r="F172" s="1" t="s">
        <v>137</v>
      </c>
      <c r="G172" s="1" cm="1">
        <f t="array" ref="G172">E172/VLOOKUP(D172,net_generation!$A:$D,MATCH(C172,net_generation!$1:$1,FALSE),FALSE)</f>
        <v>0</v>
      </c>
      <c r="H172" s="1" t="s">
        <v>138</v>
      </c>
      <c r="I172" s="1" t="s">
        <v>24</v>
      </c>
    </row>
    <row r="173" spans="1:9">
      <c r="A173" s="1" t="s">
        <v>135</v>
      </c>
      <c r="B173" s="1" t="s">
        <v>136</v>
      </c>
      <c r="C173" s="1" t="s">
        <v>11</v>
      </c>
      <c r="D173" s="1">
        <v>2017</v>
      </c>
      <c r="E173" s="8">
        <v>1</v>
      </c>
      <c r="F173" s="1" t="s">
        <v>137</v>
      </c>
      <c r="G173" s="1" cm="1">
        <f t="array" ref="G173">E173/VLOOKUP(D173,net_generation!$A:$D,MATCH(C173,net_generation!$1:$1,FALSE),FALSE)</f>
        <v>5.2865298938119589E-9</v>
      </c>
      <c r="H173" s="1" t="s">
        <v>138</v>
      </c>
      <c r="I173" s="1" t="s">
        <v>24</v>
      </c>
    </row>
    <row r="174" spans="1:9">
      <c r="A174" s="1" t="s">
        <v>135</v>
      </c>
      <c r="B174" s="1" t="s">
        <v>136</v>
      </c>
      <c r="C174" s="1" t="s">
        <v>11</v>
      </c>
      <c r="D174" s="1">
        <v>2018</v>
      </c>
      <c r="E174" s="8">
        <v>0</v>
      </c>
      <c r="F174" s="1" t="s">
        <v>137</v>
      </c>
      <c r="G174" s="1" cm="1">
        <f t="array" ref="G174">E174/VLOOKUP(D174,net_generation!$A:$D,MATCH(C174,net_generation!$1:$1,FALSE),FALSE)</f>
        <v>0</v>
      </c>
      <c r="H174" s="1" t="s">
        <v>138</v>
      </c>
      <c r="I174" s="1" t="s">
        <v>24</v>
      </c>
    </row>
    <row r="175" spans="1:9">
      <c r="A175" s="1" t="s">
        <v>135</v>
      </c>
      <c r="B175" s="1" t="s">
        <v>136</v>
      </c>
      <c r="C175" s="1" t="s">
        <v>15</v>
      </c>
      <c r="D175" s="1">
        <v>2014</v>
      </c>
      <c r="E175" s="8">
        <v>592</v>
      </c>
      <c r="F175" s="1" t="s">
        <v>137</v>
      </c>
      <c r="G175" s="1" cm="1">
        <f t="array" ref="G175">E175/VLOOKUP(D175,net_generation!$A:$D,MATCH(C175,net_generation!$1:$1,FALSE),FALSE)</f>
        <v>3.3263857691212167E-6</v>
      </c>
      <c r="H175" s="1" t="s">
        <v>138</v>
      </c>
      <c r="I175" s="1" t="s">
        <v>17</v>
      </c>
    </row>
    <row r="176" spans="1:9">
      <c r="A176" s="1" t="s">
        <v>135</v>
      </c>
      <c r="B176" s="1" t="s">
        <v>136</v>
      </c>
      <c r="C176" s="1" t="s">
        <v>15</v>
      </c>
      <c r="D176" s="1">
        <v>2015</v>
      </c>
      <c r="E176" s="8">
        <v>726</v>
      </c>
      <c r="F176" s="1" t="s">
        <v>137</v>
      </c>
      <c r="G176" s="1" cm="1">
        <f t="array" ref="G176">E176/VLOOKUP(D176,net_generation!$A:$D,MATCH(C176,net_generation!$1:$1,FALSE),FALSE)</f>
        <v>4.0325954435012824E-6</v>
      </c>
      <c r="H176" s="1" t="s">
        <v>138</v>
      </c>
      <c r="I176" s="1" t="s">
        <v>17</v>
      </c>
    </row>
    <row r="177" spans="1:9">
      <c r="A177" s="1" t="s">
        <v>135</v>
      </c>
      <c r="B177" s="1" t="s">
        <v>136</v>
      </c>
      <c r="C177" s="1" t="s">
        <v>15</v>
      </c>
      <c r="D177" s="1">
        <v>2016</v>
      </c>
      <c r="E177" s="8">
        <v>777</v>
      </c>
      <c r="F177" s="1" t="s">
        <v>137</v>
      </c>
      <c r="G177" s="1" cm="1">
        <f t="array" ref="G177">E177/VLOOKUP(D177,net_generation!$A:$D,MATCH(C177,net_generation!$1:$1,FALSE),FALSE)</f>
        <v>4.1582916882372429E-6</v>
      </c>
      <c r="H177" s="1" t="s">
        <v>138</v>
      </c>
      <c r="I177" s="1" t="s">
        <v>17</v>
      </c>
    </row>
    <row r="178" spans="1:9">
      <c r="A178" s="1" t="s">
        <v>135</v>
      </c>
      <c r="B178" s="1" t="s">
        <v>136</v>
      </c>
      <c r="C178" s="1" t="s">
        <v>15</v>
      </c>
      <c r="D178" s="1">
        <v>2017</v>
      </c>
      <c r="E178" s="8">
        <v>746</v>
      </c>
      <c r="F178" s="1" t="s">
        <v>137</v>
      </c>
      <c r="G178" s="1" cm="1">
        <f t="array" ref="G178">E178/VLOOKUP(D178,net_generation!$A:$D,MATCH(C178,net_generation!$1:$1,FALSE),FALSE)</f>
        <v>3.8309669185761492E-6</v>
      </c>
      <c r="H178" s="1" t="s">
        <v>138</v>
      </c>
      <c r="I178" s="1" t="s">
        <v>17</v>
      </c>
    </row>
    <row r="179" spans="1:9">
      <c r="A179" s="1" t="s">
        <v>135</v>
      </c>
      <c r="B179" s="1" t="s">
        <v>136</v>
      </c>
      <c r="C179" s="1" t="s">
        <v>15</v>
      </c>
      <c r="D179" s="1">
        <v>2018</v>
      </c>
      <c r="E179" s="8">
        <v>805</v>
      </c>
      <c r="F179" s="1" t="s">
        <v>137</v>
      </c>
      <c r="G179" s="1" cm="1">
        <f t="array" ref="G179">E179/VLOOKUP(D179,net_generation!$A:$D,MATCH(C179,net_generation!$1:$1,FALSE),FALSE)</f>
        <v>4.1446989043578551E-6</v>
      </c>
      <c r="H179" s="1" t="s">
        <v>138</v>
      </c>
      <c r="I179" s="1" t="s">
        <v>17</v>
      </c>
    </row>
    <row r="180" spans="1:9">
      <c r="A180" s="1" t="s">
        <v>135</v>
      </c>
      <c r="B180" s="1" t="s">
        <v>136</v>
      </c>
      <c r="C180" s="1" t="s">
        <v>18</v>
      </c>
      <c r="D180" s="1">
        <v>2014</v>
      </c>
      <c r="E180" s="8">
        <v>26</v>
      </c>
      <c r="F180" s="1" t="s">
        <v>137</v>
      </c>
      <c r="G180" s="1" cm="1">
        <f t="array" ref="G180">E180/VLOOKUP(D180,net_generation!$A:$D,MATCH(C180,net_generation!$1:$1,FALSE),FALSE)</f>
        <v>1.0635382280635014E-7</v>
      </c>
      <c r="H180" s="1" t="s">
        <v>138</v>
      </c>
      <c r="I180" s="1" t="s">
        <v>139</v>
      </c>
    </row>
    <row r="181" spans="1:9">
      <c r="A181" s="1" t="s">
        <v>135</v>
      </c>
      <c r="B181" s="1" t="s">
        <v>136</v>
      </c>
      <c r="C181" s="1" t="s">
        <v>18</v>
      </c>
      <c r="D181" s="1">
        <v>2015</v>
      </c>
      <c r="E181" s="8">
        <v>23</v>
      </c>
      <c r="F181" s="1" t="s">
        <v>137</v>
      </c>
      <c r="G181" s="1" cm="1">
        <f t="array" ref="G181">E181/VLOOKUP(D181,net_generation!$A:$D,MATCH(C181,net_generation!$1:$1,FALSE),FALSE)</f>
        <v>1.0515775949963195E-7</v>
      </c>
      <c r="H181" s="1" t="s">
        <v>138</v>
      </c>
      <c r="I181" s="1" t="s">
        <v>140</v>
      </c>
    </row>
    <row r="182" spans="1:9">
      <c r="A182" s="1" t="s">
        <v>135</v>
      </c>
      <c r="B182" s="1" t="s">
        <v>136</v>
      </c>
      <c r="C182" s="1" t="s">
        <v>18</v>
      </c>
      <c r="D182" s="1">
        <v>2016</v>
      </c>
      <c r="E182" s="8">
        <v>23</v>
      </c>
      <c r="F182" s="1" t="s">
        <v>137</v>
      </c>
      <c r="G182" s="1" cm="1">
        <f t="array" ref="G182">E182/VLOOKUP(D182,net_generation!$A:$D,MATCH(C182,net_generation!$1:$1,FALSE),FALSE)</f>
        <v>1.0488633513464214E-7</v>
      </c>
      <c r="H182" s="1" t="s">
        <v>138</v>
      </c>
      <c r="I182" s="1" t="s">
        <v>141</v>
      </c>
    </row>
    <row r="183" spans="1:9">
      <c r="A183" s="1" t="s">
        <v>135</v>
      </c>
      <c r="B183" s="1" t="s">
        <v>136</v>
      </c>
      <c r="C183" s="1" t="s">
        <v>18</v>
      </c>
      <c r="D183" s="1">
        <v>2017</v>
      </c>
      <c r="E183" s="8">
        <v>18</v>
      </c>
      <c r="F183" s="1" t="s">
        <v>137</v>
      </c>
      <c r="G183" s="1" cm="1">
        <f t="array" ref="G183">E183/VLOOKUP(D183,net_generation!$A:$D,MATCH(C183,net_generation!$1:$1,FALSE),FALSE)</f>
        <v>7.9198511067991923E-8</v>
      </c>
      <c r="H183" s="1" t="s">
        <v>138</v>
      </c>
      <c r="I183" s="1" t="s">
        <v>142</v>
      </c>
    </row>
    <row r="184" spans="1:9">
      <c r="A184" s="1" t="s">
        <v>135</v>
      </c>
      <c r="B184" s="1" t="s">
        <v>136</v>
      </c>
      <c r="C184" s="1" t="s">
        <v>18</v>
      </c>
      <c r="D184" s="1">
        <v>2018</v>
      </c>
      <c r="E184" s="8">
        <v>28</v>
      </c>
      <c r="F184" s="1" t="s">
        <v>137</v>
      </c>
      <c r="G184" s="1" cm="1">
        <f t="array" ref="G184">E184/VLOOKUP(D184,net_generation!$A:$D,MATCH(C184,net_generation!$1:$1,FALSE),FALSE)</f>
        <v>1.2010569300984867E-7</v>
      </c>
      <c r="H184" s="1" t="s">
        <v>138</v>
      </c>
      <c r="I184" s="1" t="s">
        <v>19</v>
      </c>
    </row>
    <row r="185" spans="1:9">
      <c r="A185" s="1" t="s">
        <v>135</v>
      </c>
      <c r="B185" s="1" t="s">
        <v>143</v>
      </c>
      <c r="C185" s="1" t="s">
        <v>11</v>
      </c>
      <c r="D185" s="1">
        <v>2014</v>
      </c>
      <c r="F185" s="1" t="s">
        <v>129</v>
      </c>
      <c r="G185" s="1" cm="1">
        <f t="array" ref="G185">E185/VLOOKUP(D185,net_generation!$A:$D,MATCH(C185,net_generation!$1:$1,FALSE),FALSE)</f>
        <v>0</v>
      </c>
      <c r="H185" s="1" t="s">
        <v>130</v>
      </c>
    </row>
    <row r="186" spans="1:9">
      <c r="A186" s="1" t="s">
        <v>135</v>
      </c>
      <c r="B186" s="1" t="s">
        <v>143</v>
      </c>
      <c r="C186" s="1" t="s">
        <v>11</v>
      </c>
      <c r="D186" s="1">
        <v>2015</v>
      </c>
      <c r="F186" s="1" t="s">
        <v>129</v>
      </c>
      <c r="G186" s="1" cm="1">
        <f t="array" ref="G186">E186/VLOOKUP(D186,net_generation!$A:$D,MATCH(C186,net_generation!$1:$1,FALSE),FALSE)</f>
        <v>0</v>
      </c>
      <c r="H186" s="1" t="s">
        <v>130</v>
      </c>
    </row>
    <row r="187" spans="1:9">
      <c r="A187" s="1" t="s">
        <v>135</v>
      </c>
      <c r="B187" s="1" t="s">
        <v>143</v>
      </c>
      <c r="C187" s="1" t="s">
        <v>11</v>
      </c>
      <c r="D187" s="1">
        <v>2016</v>
      </c>
      <c r="F187" s="1" t="s">
        <v>129</v>
      </c>
      <c r="G187" s="1" cm="1">
        <f t="array" ref="G187">E187/VLOOKUP(D187,net_generation!$A:$D,MATCH(C187,net_generation!$1:$1,FALSE),FALSE)</f>
        <v>0</v>
      </c>
      <c r="H187" s="1" t="s">
        <v>130</v>
      </c>
    </row>
    <row r="188" spans="1:9">
      <c r="A188" s="1" t="s">
        <v>135</v>
      </c>
      <c r="B188" s="1" t="s">
        <v>143</v>
      </c>
      <c r="C188" s="1" t="s">
        <v>11</v>
      </c>
      <c r="D188" s="1">
        <v>2017</v>
      </c>
      <c r="E188" s="8">
        <v>37207.5</v>
      </c>
      <c r="F188" s="1" t="s">
        <v>129</v>
      </c>
      <c r="G188" s="1" cm="1">
        <f t="array" ref="G188">E188/VLOOKUP(D188,net_generation!$A:$D,MATCH(C188,net_generation!$1:$1,FALSE),FALSE)</f>
        <v>1.9669856102400845E-4</v>
      </c>
      <c r="H188" s="1" t="s">
        <v>130</v>
      </c>
      <c r="I188" s="1" t="s">
        <v>24</v>
      </c>
    </row>
    <row r="189" spans="1:9">
      <c r="A189" s="1" t="s">
        <v>135</v>
      </c>
      <c r="B189" s="1" t="s">
        <v>143</v>
      </c>
      <c r="C189" s="1" t="s">
        <v>11</v>
      </c>
      <c r="D189" s="1">
        <v>2018</v>
      </c>
      <c r="E189" s="8">
        <v>147153.20000000001</v>
      </c>
      <c r="F189" s="1" t="s">
        <v>129</v>
      </c>
      <c r="G189" s="1" cm="1">
        <f t="array" ref="G189">E189/VLOOKUP(D189,net_generation!$A:$D,MATCH(C189,net_generation!$1:$1,FALSE),FALSE)</f>
        <v>7.6211132740250473E-4</v>
      </c>
      <c r="H189" s="1" t="s">
        <v>130</v>
      </c>
      <c r="I189" s="1" t="s">
        <v>24</v>
      </c>
    </row>
    <row r="190" spans="1:9">
      <c r="A190" s="1" t="s">
        <v>135</v>
      </c>
      <c r="B190" s="1" t="s">
        <v>143</v>
      </c>
      <c r="C190" s="1" t="s">
        <v>18</v>
      </c>
      <c r="D190" s="1">
        <v>2014</v>
      </c>
      <c r="F190" s="1" t="s">
        <v>129</v>
      </c>
      <c r="G190" s="1" cm="1">
        <f t="array" ref="G190">E190/VLOOKUP(D190,net_generation!$A:$D,MATCH(C190,net_generation!$1:$1,FALSE),FALSE)</f>
        <v>0</v>
      </c>
      <c r="H190" s="1" t="s">
        <v>130</v>
      </c>
    </row>
    <row r="191" spans="1:9">
      <c r="A191" s="1" t="s">
        <v>135</v>
      </c>
      <c r="B191" s="1" t="s">
        <v>143</v>
      </c>
      <c r="C191" s="1" t="s">
        <v>18</v>
      </c>
      <c r="D191" s="1">
        <v>2015</v>
      </c>
      <c r="E191" s="8">
        <v>88000</v>
      </c>
      <c r="F191" s="1" t="s">
        <v>129</v>
      </c>
      <c r="G191" s="1" cm="1">
        <f t="array" ref="G191">E191/VLOOKUP(D191,net_generation!$A:$D,MATCH(C191,net_generation!$1:$1,FALSE),FALSE)</f>
        <v>4.0234273199859182E-4</v>
      </c>
      <c r="H191" s="1" t="s">
        <v>130</v>
      </c>
      <c r="I191" s="1" t="s">
        <v>144</v>
      </c>
    </row>
    <row r="192" spans="1:9">
      <c r="A192" s="1" t="s">
        <v>135</v>
      </c>
      <c r="B192" s="1" t="s">
        <v>143</v>
      </c>
      <c r="C192" s="1" t="s">
        <v>18</v>
      </c>
      <c r="D192" s="1">
        <v>2016</v>
      </c>
      <c r="E192" s="8">
        <v>102000</v>
      </c>
      <c r="F192" s="1" t="s">
        <v>129</v>
      </c>
      <c r="G192" s="1" cm="1">
        <f t="array" ref="G192">E192/VLOOKUP(D192,net_generation!$A:$D,MATCH(C192,net_generation!$1:$1,FALSE),FALSE)</f>
        <v>4.651480949449347E-4</v>
      </c>
      <c r="H192" s="1" t="s">
        <v>130</v>
      </c>
      <c r="I192" s="1" t="s">
        <v>144</v>
      </c>
    </row>
    <row r="193" spans="1:9">
      <c r="A193" s="1" t="s">
        <v>135</v>
      </c>
      <c r="B193" s="1" t="s">
        <v>143</v>
      </c>
      <c r="C193" s="1" t="s">
        <v>18</v>
      </c>
      <c r="D193" s="1">
        <v>2017</v>
      </c>
      <c r="E193" s="8">
        <v>109000</v>
      </c>
      <c r="F193" s="1" t="s">
        <v>129</v>
      </c>
      <c r="G193" s="1" cm="1">
        <f t="array" ref="G193">E193/VLOOKUP(D193,net_generation!$A:$D,MATCH(C193,net_generation!$1:$1,FALSE),FALSE)</f>
        <v>4.7959098368950665E-4</v>
      </c>
      <c r="H193" s="1" t="s">
        <v>130</v>
      </c>
      <c r="I193" s="1" t="s">
        <v>144</v>
      </c>
    </row>
    <row r="194" spans="1:9">
      <c r="A194" s="1" t="s">
        <v>135</v>
      </c>
      <c r="B194" s="1" t="s">
        <v>143</v>
      </c>
      <c r="C194" s="1" t="s">
        <v>18</v>
      </c>
      <c r="D194" s="1">
        <v>2018</v>
      </c>
      <c r="E194" s="8">
        <v>104000</v>
      </c>
      <c r="F194" s="1" t="s">
        <v>129</v>
      </c>
      <c r="G194" s="1" cm="1">
        <f t="array" ref="G194">E194/VLOOKUP(D194,net_generation!$A:$D,MATCH(C194,net_generation!$1:$1,FALSE),FALSE)</f>
        <v>4.4610685975086646E-4</v>
      </c>
      <c r="H194" s="1" t="s">
        <v>130</v>
      </c>
      <c r="I194" s="1" t="s">
        <v>144</v>
      </c>
    </row>
    <row r="195" spans="1:9">
      <c r="A195" s="1" t="s">
        <v>135</v>
      </c>
      <c r="B195" s="1" t="s">
        <v>143</v>
      </c>
      <c r="C195" s="1" t="s">
        <v>15</v>
      </c>
      <c r="D195" s="1">
        <v>2014</v>
      </c>
      <c r="F195" s="1" t="s">
        <v>129</v>
      </c>
      <c r="G195" s="1" cm="1">
        <f t="array" ref="G195">E195/VLOOKUP(D195,net_generation!$A:$D,MATCH(C195,net_generation!$1:$1,FALSE),FALSE)</f>
        <v>0</v>
      </c>
      <c r="H195" s="1" t="s">
        <v>130</v>
      </c>
    </row>
    <row r="196" spans="1:9">
      <c r="A196" s="1" t="s">
        <v>135</v>
      </c>
      <c r="B196" s="1" t="s">
        <v>143</v>
      </c>
      <c r="C196" s="1" t="s">
        <v>15</v>
      </c>
      <c r="D196" s="1">
        <v>2015</v>
      </c>
      <c r="F196" s="1" t="s">
        <v>129</v>
      </c>
      <c r="G196" s="1" cm="1">
        <f t="array" ref="G196">E196/VLOOKUP(D196,net_generation!$A:$D,MATCH(C196,net_generation!$1:$1,FALSE),FALSE)</f>
        <v>0</v>
      </c>
      <c r="H196" s="1" t="s">
        <v>130</v>
      </c>
    </row>
    <row r="197" spans="1:9">
      <c r="A197" s="1" t="s">
        <v>135</v>
      </c>
      <c r="B197" s="1" t="s">
        <v>143</v>
      </c>
      <c r="C197" s="1" t="s">
        <v>15</v>
      </c>
      <c r="D197" s="1">
        <v>2016</v>
      </c>
      <c r="F197" s="1" t="s">
        <v>129</v>
      </c>
      <c r="G197" s="1" cm="1">
        <f t="array" ref="G197">E197/VLOOKUP(D197,net_generation!$A:$D,MATCH(C197,net_generation!$1:$1,FALSE),FALSE)</f>
        <v>0</v>
      </c>
      <c r="H197" s="1" t="s">
        <v>130</v>
      </c>
    </row>
    <row r="198" spans="1:9">
      <c r="A198" s="1" t="s">
        <v>135</v>
      </c>
      <c r="B198" s="1" t="s">
        <v>143</v>
      </c>
      <c r="C198" s="1" t="s">
        <v>15</v>
      </c>
      <c r="D198" s="1">
        <v>2017</v>
      </c>
      <c r="F198" s="1" t="s">
        <v>129</v>
      </c>
      <c r="G198" s="1" cm="1">
        <f t="array" ref="G198">E198/VLOOKUP(D198,net_generation!$A:$D,MATCH(C198,net_generation!$1:$1,FALSE),FALSE)</f>
        <v>0</v>
      </c>
      <c r="H198" s="1" t="s">
        <v>130</v>
      </c>
    </row>
    <row r="199" spans="1:9">
      <c r="A199" s="1" t="s">
        <v>135</v>
      </c>
      <c r="B199" s="1" t="s">
        <v>143</v>
      </c>
      <c r="C199" s="1" t="s">
        <v>15</v>
      </c>
      <c r="D199" s="1">
        <v>2018</v>
      </c>
      <c r="F199" s="1" t="s">
        <v>129</v>
      </c>
      <c r="G199" s="1" cm="1">
        <f t="array" ref="G199">E199/VLOOKUP(D199,net_generation!$A:$D,MATCH(C199,net_generation!$1:$1,FALSE),FALSE)</f>
        <v>0</v>
      </c>
      <c r="H199" s="1" t="s">
        <v>130</v>
      </c>
    </row>
    <row r="200" spans="1:9">
      <c r="A200" s="1" t="s">
        <v>135</v>
      </c>
      <c r="B200" s="1" t="s">
        <v>145</v>
      </c>
      <c r="C200" s="1" t="s">
        <v>11</v>
      </c>
      <c r="D200" s="1">
        <v>2014</v>
      </c>
      <c r="F200" s="1" t="s">
        <v>129</v>
      </c>
      <c r="G200" s="1" cm="1">
        <f t="array" ref="G200">E200/VLOOKUP(D200,net_generation!$A:$D,MATCH(C200,net_generation!$1:$1,FALSE),FALSE)</f>
        <v>0</v>
      </c>
      <c r="H200" s="1" t="s">
        <v>130</v>
      </c>
    </row>
    <row r="201" spans="1:9">
      <c r="A201" s="1" t="s">
        <v>135</v>
      </c>
      <c r="B201" s="1" t="s">
        <v>145</v>
      </c>
      <c r="C201" s="1" t="s">
        <v>11</v>
      </c>
      <c r="D201" s="1">
        <v>2015</v>
      </c>
      <c r="F201" s="1" t="s">
        <v>129</v>
      </c>
      <c r="G201" s="1" cm="1">
        <f t="array" ref="G201">E201/VLOOKUP(D201,net_generation!$A:$D,MATCH(C201,net_generation!$1:$1,FALSE),FALSE)</f>
        <v>0</v>
      </c>
      <c r="H201" s="1" t="s">
        <v>130</v>
      </c>
    </row>
    <row r="202" spans="1:9">
      <c r="A202" s="1" t="s">
        <v>135</v>
      </c>
      <c r="B202" s="1" t="s">
        <v>145</v>
      </c>
      <c r="C202" s="1" t="s">
        <v>11</v>
      </c>
      <c r="D202" s="1">
        <v>2016</v>
      </c>
      <c r="F202" s="1" t="s">
        <v>129</v>
      </c>
      <c r="G202" s="1" cm="1">
        <f t="array" ref="G202">E202/VLOOKUP(D202,net_generation!$A:$D,MATCH(C202,net_generation!$1:$1,FALSE),FALSE)</f>
        <v>0</v>
      </c>
      <c r="H202" s="1" t="s">
        <v>130</v>
      </c>
    </row>
    <row r="203" spans="1:9">
      <c r="A203" s="1" t="s">
        <v>135</v>
      </c>
      <c r="B203" s="1" t="s">
        <v>145</v>
      </c>
      <c r="C203" s="1" t="s">
        <v>11</v>
      </c>
      <c r="D203" s="1">
        <v>2017</v>
      </c>
      <c r="E203" s="8">
        <v>105.2</v>
      </c>
      <c r="F203" s="1" t="s">
        <v>129</v>
      </c>
      <c r="G203" s="1" cm="1">
        <f t="array" ref="G203">E203/VLOOKUP(D203,net_generation!$A:$D,MATCH(C203,net_generation!$1:$1,FALSE),FALSE)</f>
        <v>5.5614294482901803E-7</v>
      </c>
      <c r="H203" s="1" t="s">
        <v>130</v>
      </c>
      <c r="I203" s="1" t="s">
        <v>24</v>
      </c>
    </row>
    <row r="204" spans="1:9">
      <c r="A204" s="1" t="s">
        <v>135</v>
      </c>
      <c r="B204" s="1" t="s">
        <v>145</v>
      </c>
      <c r="C204" s="1" t="s">
        <v>11</v>
      </c>
      <c r="D204" s="1">
        <v>2018</v>
      </c>
      <c r="E204" s="8">
        <v>222.2</v>
      </c>
      <c r="F204" s="1" t="s">
        <v>129</v>
      </c>
      <c r="G204" s="1" cm="1">
        <f t="array" ref="G204">E204/VLOOKUP(D204,net_generation!$A:$D,MATCH(C204,net_generation!$1:$1,FALSE),FALSE)</f>
        <v>1.1507812059053865E-6</v>
      </c>
      <c r="H204" s="1" t="s">
        <v>130</v>
      </c>
      <c r="I204" s="1" t="s">
        <v>24</v>
      </c>
    </row>
    <row r="205" spans="1:9">
      <c r="A205" s="1" t="s">
        <v>135</v>
      </c>
      <c r="B205" s="1" t="s">
        <v>145</v>
      </c>
      <c r="C205" s="1" t="s">
        <v>18</v>
      </c>
      <c r="D205" s="1">
        <v>2014</v>
      </c>
      <c r="F205" s="1" t="s">
        <v>129</v>
      </c>
      <c r="G205" s="1" cm="1">
        <f t="array" ref="G205">E205/VLOOKUP(D205,net_generation!$A:$D,MATCH(C205,net_generation!$1:$1,FALSE),FALSE)</f>
        <v>0</v>
      </c>
      <c r="H205" s="1" t="s">
        <v>130</v>
      </c>
    </row>
    <row r="206" spans="1:9">
      <c r="A206" s="1" t="s">
        <v>135</v>
      </c>
      <c r="B206" s="1" t="s">
        <v>145</v>
      </c>
      <c r="C206" s="1" t="s">
        <v>18</v>
      </c>
      <c r="D206" s="1">
        <v>2015</v>
      </c>
      <c r="E206" s="8">
        <v>317</v>
      </c>
      <c r="F206" s="1" t="s">
        <v>129</v>
      </c>
      <c r="G206" s="1" cm="1">
        <f t="array" ref="G206">E206/VLOOKUP(D206,net_generation!$A:$D,MATCH(C206,net_generation!$1:$1,FALSE),FALSE)</f>
        <v>1.4493482504949272E-6</v>
      </c>
      <c r="H206" s="1" t="s">
        <v>130</v>
      </c>
      <c r="I206" s="1" t="s">
        <v>144</v>
      </c>
    </row>
    <row r="207" spans="1:9">
      <c r="A207" s="1" t="s">
        <v>135</v>
      </c>
      <c r="B207" s="1" t="s">
        <v>145</v>
      </c>
      <c r="C207" s="1" t="s">
        <v>18</v>
      </c>
      <c r="D207" s="1">
        <v>2016</v>
      </c>
      <c r="E207" s="8">
        <v>1195</v>
      </c>
      <c r="F207" s="1" t="s">
        <v>129</v>
      </c>
      <c r="G207" s="1" cm="1">
        <f t="array" ref="G207">E207/VLOOKUP(D207,net_generation!$A:$D,MATCH(C207,net_generation!$1:$1,FALSE),FALSE)</f>
        <v>5.4495291515607541E-6</v>
      </c>
      <c r="H207" s="1" t="s">
        <v>130</v>
      </c>
      <c r="I207" s="1" t="s">
        <v>144</v>
      </c>
    </row>
    <row r="208" spans="1:9">
      <c r="A208" s="1" t="s">
        <v>135</v>
      </c>
      <c r="B208" s="1" t="s">
        <v>145</v>
      </c>
      <c r="C208" s="1" t="s">
        <v>18</v>
      </c>
      <c r="D208" s="1">
        <v>2017</v>
      </c>
      <c r="E208" s="8">
        <v>126</v>
      </c>
      <c r="F208" s="1" t="s">
        <v>129</v>
      </c>
      <c r="G208" s="1" cm="1">
        <f t="array" ref="G208">E208/VLOOKUP(D208,net_generation!$A:$D,MATCH(C208,net_generation!$1:$1,FALSE),FALSE)</f>
        <v>5.543895774759435E-7</v>
      </c>
      <c r="H208" s="1" t="s">
        <v>130</v>
      </c>
      <c r="I208" s="1" t="s">
        <v>144</v>
      </c>
    </row>
    <row r="209" spans="1:9">
      <c r="A209" s="1" t="s">
        <v>135</v>
      </c>
      <c r="B209" s="1" t="s">
        <v>145</v>
      </c>
      <c r="C209" s="1" t="s">
        <v>18</v>
      </c>
      <c r="D209" s="1">
        <v>2018</v>
      </c>
      <c r="E209" s="8">
        <v>281</v>
      </c>
      <c r="F209" s="1" t="s">
        <v>129</v>
      </c>
      <c r="G209" s="1" cm="1">
        <f t="array" ref="G209">E209/VLOOKUP(D209,net_generation!$A:$D,MATCH(C209,net_generation!$1:$1,FALSE),FALSE)</f>
        <v>1.2053464191345527E-6</v>
      </c>
      <c r="H209" s="1" t="s">
        <v>130</v>
      </c>
      <c r="I209" s="1" t="s">
        <v>144</v>
      </c>
    </row>
    <row r="210" spans="1:9">
      <c r="A210" s="1" t="s">
        <v>135</v>
      </c>
      <c r="B210" s="1" t="s">
        <v>145</v>
      </c>
      <c r="C210" s="1" t="s">
        <v>15</v>
      </c>
      <c r="D210" s="1">
        <v>2014</v>
      </c>
      <c r="F210" s="1" t="s">
        <v>129</v>
      </c>
      <c r="G210" s="1" cm="1">
        <f t="array" ref="G210">E210/VLOOKUP(D210,net_generation!$A:$D,MATCH(C210,net_generation!$1:$1,FALSE),FALSE)</f>
        <v>0</v>
      </c>
      <c r="H210" s="1" t="s">
        <v>130</v>
      </c>
    </row>
    <row r="211" spans="1:9">
      <c r="A211" s="1" t="s">
        <v>135</v>
      </c>
      <c r="B211" s="1" t="s">
        <v>145</v>
      </c>
      <c r="C211" s="1" t="s">
        <v>15</v>
      </c>
      <c r="D211" s="1">
        <v>2015</v>
      </c>
      <c r="F211" s="1" t="s">
        <v>129</v>
      </c>
      <c r="G211" s="1" cm="1">
        <f t="array" ref="G211">E211/VLOOKUP(D211,net_generation!$A:$D,MATCH(C211,net_generation!$1:$1,FALSE),FALSE)</f>
        <v>0</v>
      </c>
      <c r="H211" s="1" t="s">
        <v>130</v>
      </c>
    </row>
    <row r="212" spans="1:9">
      <c r="A212" s="1" t="s">
        <v>135</v>
      </c>
      <c r="B212" s="1" t="s">
        <v>145</v>
      </c>
      <c r="C212" s="1" t="s">
        <v>15</v>
      </c>
      <c r="D212" s="1">
        <v>2016</v>
      </c>
      <c r="E212" s="8">
        <v>3668</v>
      </c>
      <c r="F212" s="1" t="s">
        <v>129</v>
      </c>
      <c r="G212" s="1" cm="1">
        <f t="array" ref="G212">E212/VLOOKUP(D212,net_generation!$A:$D,MATCH(C212,net_generation!$1:$1,FALSE),FALSE)</f>
        <v>1.96301337354623E-5</v>
      </c>
      <c r="H212" s="1" t="s">
        <v>130</v>
      </c>
      <c r="I212" s="1" t="s">
        <v>146</v>
      </c>
    </row>
    <row r="213" spans="1:9">
      <c r="A213" s="1" t="s">
        <v>135</v>
      </c>
      <c r="B213" s="1" t="s">
        <v>145</v>
      </c>
      <c r="C213" s="1" t="s">
        <v>15</v>
      </c>
      <c r="D213" s="1">
        <v>2017</v>
      </c>
      <c r="E213" s="8">
        <v>854</v>
      </c>
      <c r="F213" s="1" t="s">
        <v>129</v>
      </c>
      <c r="G213" s="1" cm="1">
        <f t="array" ref="G213">E213/VLOOKUP(D213,net_generation!$A:$D,MATCH(C213,net_generation!$1:$1,FALSE),FALSE)</f>
        <v>4.3855841132225624E-6</v>
      </c>
      <c r="H213" s="1" t="s">
        <v>130</v>
      </c>
      <c r="I213" s="1" t="s">
        <v>146</v>
      </c>
    </row>
    <row r="214" spans="1:9">
      <c r="A214" s="1" t="s">
        <v>135</v>
      </c>
      <c r="B214" s="1" t="s">
        <v>145</v>
      </c>
      <c r="C214" s="1" t="s">
        <v>15</v>
      </c>
      <c r="D214" s="1">
        <v>2018</v>
      </c>
      <c r="E214" s="8">
        <v>1460</v>
      </c>
      <c r="F214" s="1" t="s">
        <v>129</v>
      </c>
      <c r="G214" s="1" cm="1">
        <f t="array" ref="G214">E214/VLOOKUP(D214,net_generation!$A:$D,MATCH(C214,net_generation!$1:$1,FALSE),FALSE)</f>
        <v>7.5170936650465442E-6</v>
      </c>
      <c r="H214" s="1" t="s">
        <v>130</v>
      </c>
      <c r="I214" s="1" t="s">
        <v>146</v>
      </c>
    </row>
    <row r="215" spans="1:9">
      <c r="A215" s="1" t="s">
        <v>147</v>
      </c>
      <c r="B215" s="1" t="s">
        <v>148</v>
      </c>
      <c r="C215" s="1" t="s">
        <v>11</v>
      </c>
      <c r="D215" s="1">
        <v>2014</v>
      </c>
      <c r="E215" s="8">
        <v>1752000000000</v>
      </c>
      <c r="F215" s="1" t="s">
        <v>149</v>
      </c>
      <c r="G215" s="1" cm="1">
        <f t="array" ref="G215">E215/VLOOKUP(D215,net_generation!$A:$D,MATCH(C215,net_generation!$1:$1,FALSE),FALSE)</f>
        <v>9403.0915851620703</v>
      </c>
      <c r="H215" s="1" t="s">
        <v>150</v>
      </c>
      <c r="I215" s="1" t="s">
        <v>24</v>
      </c>
    </row>
    <row r="216" spans="1:9">
      <c r="A216" s="1" t="s">
        <v>147</v>
      </c>
      <c r="B216" s="1" t="s">
        <v>148</v>
      </c>
      <c r="C216" s="1" t="s">
        <v>11</v>
      </c>
      <c r="D216" s="1">
        <v>2015</v>
      </c>
      <c r="E216" s="8">
        <v>1857000000000</v>
      </c>
      <c r="F216" s="1" t="s">
        <v>149</v>
      </c>
      <c r="G216" s="1" cm="1">
        <f t="array" ref="G216">E216/VLOOKUP(D216,net_generation!$A:$D,MATCH(C216,net_generation!$1:$1,FALSE),FALSE)</f>
        <v>9344.7309125857391</v>
      </c>
      <c r="H216" s="1" t="s">
        <v>150</v>
      </c>
      <c r="I216" s="1" t="s">
        <v>24</v>
      </c>
    </row>
    <row r="217" spans="1:9">
      <c r="A217" s="1" t="s">
        <v>147</v>
      </c>
      <c r="B217" s="1" t="s">
        <v>148</v>
      </c>
      <c r="C217" s="1" t="s">
        <v>11</v>
      </c>
      <c r="D217" s="1">
        <v>2016</v>
      </c>
      <c r="E217" s="8">
        <v>1960000000000</v>
      </c>
      <c r="F217" s="1" t="s">
        <v>149</v>
      </c>
      <c r="G217" s="1" cm="1">
        <f t="array" ref="G217">E217/VLOOKUP(D217,net_generation!$A:$D,MATCH(C217,net_generation!$1:$1,FALSE),FALSE)</f>
        <v>10119.989984720933</v>
      </c>
      <c r="H217" s="1" t="s">
        <v>150</v>
      </c>
      <c r="I217" s="1" t="s">
        <v>24</v>
      </c>
    </row>
    <row r="218" spans="1:9">
      <c r="A218" s="1" t="s">
        <v>147</v>
      </c>
      <c r="B218" s="1" t="s">
        <v>148</v>
      </c>
      <c r="C218" s="1" t="s">
        <v>11</v>
      </c>
      <c r="D218" s="1">
        <v>2017</v>
      </c>
      <c r="E218" s="8">
        <v>2025000000000</v>
      </c>
      <c r="F218" s="1" t="s">
        <v>149</v>
      </c>
      <c r="G218" s="1" cm="1">
        <f t="array" ref="G218">E218/VLOOKUP(D218,net_generation!$A:$D,MATCH(C218,net_generation!$1:$1,FALSE),FALSE)</f>
        <v>10705.223034969216</v>
      </c>
      <c r="H218" s="1" t="s">
        <v>150</v>
      </c>
      <c r="I218" s="1" t="s">
        <v>24</v>
      </c>
    </row>
    <row r="219" spans="1:9">
      <c r="A219" s="1" t="s">
        <v>147</v>
      </c>
      <c r="B219" s="1" t="s">
        <v>148</v>
      </c>
      <c r="C219" s="1" t="s">
        <v>11</v>
      </c>
      <c r="D219" s="1">
        <v>2018</v>
      </c>
      <c r="E219" s="8">
        <v>1960000000000</v>
      </c>
      <c r="F219" s="1" t="s">
        <v>149</v>
      </c>
      <c r="G219" s="1" cm="1">
        <f t="array" ref="G219">E219/VLOOKUP(D219,net_generation!$A:$D,MATCH(C219,net_generation!$1:$1,FALSE),FALSE)</f>
        <v>10150.905326618171</v>
      </c>
      <c r="H219" s="1" t="s">
        <v>150</v>
      </c>
      <c r="I219" s="1" t="s">
        <v>24</v>
      </c>
    </row>
    <row r="220" spans="1:9">
      <c r="A220" s="1" t="s">
        <v>147</v>
      </c>
      <c r="B220" s="1" t="s">
        <v>148</v>
      </c>
      <c r="C220" s="1" t="s">
        <v>15</v>
      </c>
      <c r="D220" s="1">
        <v>2014</v>
      </c>
      <c r="E220" s="8">
        <v>13849574000000</v>
      </c>
      <c r="F220" s="1" t="s">
        <v>149</v>
      </c>
      <c r="G220" s="1" cm="1">
        <f t="array" ref="G220">E220/VLOOKUP(D220,net_generation!$A:$D,MATCH(C220,net_generation!$1:$1,FALSE),FALSE)</f>
        <v>77819.300442552718</v>
      </c>
      <c r="H220" s="1" t="s">
        <v>150</v>
      </c>
      <c r="I220" s="1" t="s">
        <v>151</v>
      </c>
    </row>
    <row r="221" spans="1:9">
      <c r="A221" s="1" t="s">
        <v>147</v>
      </c>
      <c r="B221" s="1" t="s">
        <v>148</v>
      </c>
      <c r="C221" s="1" t="s">
        <v>15</v>
      </c>
      <c r="D221" s="1">
        <v>2015</v>
      </c>
      <c r="E221" s="8">
        <v>13440737000000</v>
      </c>
      <c r="F221" s="1" t="s">
        <v>149</v>
      </c>
      <c r="G221" s="1" cm="1">
        <f t="array" ref="G221">E221/VLOOKUP(D221,net_generation!$A:$D,MATCH(C221,net_generation!$1:$1,FALSE),FALSE)</f>
        <v>74657.100252753575</v>
      </c>
      <c r="H221" s="1" t="s">
        <v>150</v>
      </c>
      <c r="I221" s="1" t="s">
        <v>152</v>
      </c>
    </row>
    <row r="222" spans="1:9">
      <c r="A222" s="1" t="s">
        <v>147</v>
      </c>
      <c r="B222" s="1" t="s">
        <v>148</v>
      </c>
      <c r="C222" s="1" t="s">
        <v>15</v>
      </c>
      <c r="D222" s="1">
        <v>2016</v>
      </c>
      <c r="E222" s="8">
        <v>13456099000000</v>
      </c>
      <c r="F222" s="1" t="s">
        <v>149</v>
      </c>
      <c r="G222" s="1" cm="1">
        <f t="array" ref="G222">E222/VLOOKUP(D222,net_generation!$A:$D,MATCH(C222,net_generation!$1:$1,FALSE),FALSE)</f>
        <v>72013.365029340392</v>
      </c>
      <c r="H222" s="1" t="s">
        <v>150</v>
      </c>
      <c r="I222" s="1" t="s">
        <v>153</v>
      </c>
    </row>
    <row r="223" spans="1:9">
      <c r="A223" s="1" t="s">
        <v>147</v>
      </c>
      <c r="B223" s="1" t="s">
        <v>148</v>
      </c>
      <c r="C223" s="1" t="s">
        <v>15</v>
      </c>
      <c r="D223" s="1">
        <v>2017</v>
      </c>
      <c r="E223" s="8">
        <v>15833678000000</v>
      </c>
      <c r="F223" s="1" t="s">
        <v>149</v>
      </c>
      <c r="G223" s="1" cm="1">
        <f t="array" ref="G223">E223/VLOOKUP(D223,net_generation!$A:$D,MATCH(C223,net_generation!$1:$1,FALSE),FALSE)</f>
        <v>81311.38956754285</v>
      </c>
      <c r="H223" s="1" t="s">
        <v>150</v>
      </c>
      <c r="I223" s="1" t="s">
        <v>154</v>
      </c>
    </row>
    <row r="224" spans="1:9">
      <c r="A224" s="1" t="s">
        <v>147</v>
      </c>
      <c r="B224" s="1" t="s">
        <v>148</v>
      </c>
      <c r="C224" s="1" t="s">
        <v>15</v>
      </c>
      <c r="D224" s="1">
        <v>2018</v>
      </c>
      <c r="E224" s="8">
        <v>18986062000000</v>
      </c>
      <c r="F224" s="1" t="s">
        <v>149</v>
      </c>
      <c r="G224" s="1" cm="1">
        <f t="array" ref="G224">E224/VLOOKUP(D224,net_generation!$A:$D,MATCH(C224,net_generation!$1:$1,FALSE),FALSE)</f>
        <v>97753.429030397892</v>
      </c>
      <c r="H224" s="1" t="s">
        <v>150</v>
      </c>
      <c r="I224" s="1" t="s">
        <v>23</v>
      </c>
    </row>
    <row r="225" spans="1:9">
      <c r="A225" s="1" t="s">
        <v>147</v>
      </c>
      <c r="B225" s="1" t="s">
        <v>148</v>
      </c>
      <c r="C225" s="1" t="s">
        <v>18</v>
      </c>
      <c r="D225" s="1">
        <v>2014</v>
      </c>
      <c r="E225" s="8">
        <v>5799000000000</v>
      </c>
      <c r="F225" s="1" t="s">
        <v>149</v>
      </c>
      <c r="G225" s="1" cm="1">
        <f t="array" ref="G225">E225/VLOOKUP(D225,net_generation!$A:$D,MATCH(C225,net_generation!$1:$1,FALSE),FALSE)</f>
        <v>23720.993017462479</v>
      </c>
      <c r="H225" s="1" t="s">
        <v>150</v>
      </c>
      <c r="I225" s="1" t="s">
        <v>139</v>
      </c>
    </row>
    <row r="226" spans="1:9">
      <c r="A226" s="1" t="s">
        <v>147</v>
      </c>
      <c r="B226" s="1" t="s">
        <v>148</v>
      </c>
      <c r="C226" s="1" t="s">
        <v>18</v>
      </c>
      <c r="D226" s="1">
        <v>2015</v>
      </c>
      <c r="E226" s="8">
        <v>6250000000000</v>
      </c>
      <c r="F226" s="1" t="s">
        <v>149</v>
      </c>
      <c r="G226" s="1" cm="1">
        <f t="array" ref="G226">E226/VLOOKUP(D226,net_generation!$A:$D,MATCH(C226,net_generation!$1:$1,FALSE),FALSE)</f>
        <v>28575.478124899986</v>
      </c>
      <c r="H226" s="1" t="s">
        <v>150</v>
      </c>
      <c r="I226" s="1" t="s">
        <v>140</v>
      </c>
    </row>
    <row r="227" spans="1:9">
      <c r="A227" s="1" t="s">
        <v>147</v>
      </c>
      <c r="B227" s="1" t="s">
        <v>148</v>
      </c>
      <c r="C227" s="1" t="s">
        <v>18</v>
      </c>
      <c r="D227" s="1">
        <v>2016</v>
      </c>
      <c r="E227" s="8">
        <v>5341000000000</v>
      </c>
      <c r="F227" s="1" t="s">
        <v>149</v>
      </c>
      <c r="G227" s="1" cm="1">
        <f t="array" ref="G227">E227/VLOOKUP(D227,net_generation!$A:$D,MATCH(C227,net_generation!$1:$1,FALSE),FALSE)</f>
        <v>24356.431128440159</v>
      </c>
      <c r="H227" s="1" t="s">
        <v>150</v>
      </c>
      <c r="I227" s="1" t="s">
        <v>141</v>
      </c>
    </row>
    <row r="228" spans="1:9">
      <c r="A228" s="1" t="s">
        <v>147</v>
      </c>
      <c r="B228" s="1" t="s">
        <v>148</v>
      </c>
      <c r="C228" s="1" t="s">
        <v>18</v>
      </c>
      <c r="D228" s="1">
        <v>2017</v>
      </c>
      <c r="E228" s="8">
        <v>5293000000000</v>
      </c>
      <c r="F228" s="1" t="s">
        <v>149</v>
      </c>
      <c r="G228" s="1" cm="1">
        <f t="array" ref="G228">E228/VLOOKUP(D228,net_generation!$A:$D,MATCH(C228,net_generation!$1:$1,FALSE),FALSE)</f>
        <v>23288.762171271181</v>
      </c>
      <c r="H228" s="1" t="s">
        <v>150</v>
      </c>
      <c r="I228" s="1" t="s">
        <v>142</v>
      </c>
    </row>
    <row r="229" spans="1:9" s="95" customFormat="1">
      <c r="A229" s="1" t="s">
        <v>147</v>
      </c>
      <c r="B229" s="1" t="s">
        <v>148</v>
      </c>
      <c r="C229" s="1" t="s">
        <v>18</v>
      </c>
      <c r="D229" s="1">
        <v>2018</v>
      </c>
      <c r="E229" s="8">
        <v>4991000000000</v>
      </c>
      <c r="F229" s="1" t="s">
        <v>149</v>
      </c>
      <c r="G229" s="95" cm="1">
        <f t="array" ref="G229">E229/VLOOKUP(D229,net_generation!$A:$D,MATCH(C229,net_generation!$1:$1,FALSE),FALSE)</f>
        <v>21408.839779005524</v>
      </c>
      <c r="H229" s="95" t="s">
        <v>150</v>
      </c>
      <c r="I229" s="97" t="s">
        <v>19</v>
      </c>
    </row>
    <row r="230" spans="1:9" s="99" customFormat="1">
      <c r="A230" s="98" t="s">
        <v>147</v>
      </c>
      <c r="B230" s="99" t="s">
        <v>155</v>
      </c>
      <c r="C230" s="99" t="s">
        <v>11</v>
      </c>
      <c r="D230" s="99">
        <v>2014</v>
      </c>
      <c r="E230" s="127">
        <v>1.6</v>
      </c>
      <c r="F230" s="128" t="s">
        <v>156</v>
      </c>
      <c r="G230" s="114">
        <v>1.6</v>
      </c>
      <c r="H230" s="129" t="s">
        <v>156</v>
      </c>
      <c r="I230" s="99" t="s">
        <v>24</v>
      </c>
    </row>
    <row r="231" spans="1:9" s="51" customFormat="1">
      <c r="A231" s="75" t="s">
        <v>147</v>
      </c>
      <c r="B231" s="51" t="s">
        <v>155</v>
      </c>
      <c r="C231" s="51" t="s">
        <v>11</v>
      </c>
      <c r="D231" s="51">
        <v>2015</v>
      </c>
      <c r="E231" s="159">
        <v>2.2000000000000002</v>
      </c>
      <c r="F231" s="160" t="s">
        <v>156</v>
      </c>
      <c r="G231" s="157">
        <v>2.2000000000000002</v>
      </c>
      <c r="H231" s="161" t="s">
        <v>156</v>
      </c>
      <c r="I231" s="51" t="s">
        <v>24</v>
      </c>
    </row>
    <row r="232" spans="1:9" s="51" customFormat="1">
      <c r="A232" s="75" t="s">
        <v>147</v>
      </c>
      <c r="B232" s="51" t="s">
        <v>155</v>
      </c>
      <c r="C232" s="51" t="s">
        <v>11</v>
      </c>
      <c r="D232" s="51">
        <v>2016</v>
      </c>
      <c r="E232" s="159">
        <v>1.5</v>
      </c>
      <c r="F232" s="160" t="s">
        <v>156</v>
      </c>
      <c r="G232" s="157">
        <v>1.5</v>
      </c>
      <c r="H232" s="161" t="s">
        <v>156</v>
      </c>
      <c r="I232" s="51" t="s">
        <v>24</v>
      </c>
    </row>
    <row r="233" spans="1:9" s="51" customFormat="1">
      <c r="A233" s="75" t="s">
        <v>147</v>
      </c>
      <c r="B233" s="51" t="s">
        <v>155</v>
      </c>
      <c r="C233" s="51" t="s">
        <v>11</v>
      </c>
      <c r="D233" s="51">
        <v>2017</v>
      </c>
      <c r="E233" s="159">
        <v>1.5</v>
      </c>
      <c r="F233" s="160" t="s">
        <v>156</v>
      </c>
      <c r="G233" s="157">
        <v>1.5</v>
      </c>
      <c r="H233" s="161" t="s">
        <v>156</v>
      </c>
      <c r="I233" s="51" t="s">
        <v>24</v>
      </c>
    </row>
    <row r="234" spans="1:9" s="51" customFormat="1">
      <c r="A234" s="75" t="s">
        <v>147</v>
      </c>
      <c r="B234" s="51" t="s">
        <v>155</v>
      </c>
      <c r="C234" s="51" t="s">
        <v>11</v>
      </c>
      <c r="D234" s="51">
        <v>2018</v>
      </c>
      <c r="E234" s="159">
        <v>1.5</v>
      </c>
      <c r="F234" s="160" t="s">
        <v>156</v>
      </c>
      <c r="G234" s="157">
        <v>1.5</v>
      </c>
      <c r="H234" s="161" t="s">
        <v>156</v>
      </c>
      <c r="I234" s="51" t="s">
        <v>24</v>
      </c>
    </row>
    <row r="235" spans="1:9" s="51" customFormat="1" ht="16.5" customHeight="1">
      <c r="A235" s="75" t="s">
        <v>147</v>
      </c>
      <c r="B235" s="51" t="s">
        <v>155</v>
      </c>
      <c r="C235" s="51" t="s">
        <v>15</v>
      </c>
      <c r="D235" s="51">
        <v>2014</v>
      </c>
      <c r="E235" s="157">
        <f>233408/13849574 * 100</f>
        <v>1.6853081546046109</v>
      </c>
      <c r="F235" s="160" t="s">
        <v>156</v>
      </c>
      <c r="G235" s="157">
        <v>1.6853081546046109</v>
      </c>
      <c r="H235" s="161" t="s">
        <v>156</v>
      </c>
      <c r="I235" s="158" t="s">
        <v>151</v>
      </c>
    </row>
    <row r="236" spans="1:9" s="51" customFormat="1">
      <c r="A236" s="75" t="s">
        <v>147</v>
      </c>
      <c r="B236" s="51" t="s">
        <v>155</v>
      </c>
      <c r="C236" s="51" t="s">
        <v>15</v>
      </c>
      <c r="D236" s="51">
        <v>2015</v>
      </c>
      <c r="E236" s="157">
        <f>250513/13440737 *100</f>
        <v>1.8638338061372675</v>
      </c>
      <c r="F236" s="160" t="s">
        <v>156</v>
      </c>
      <c r="G236" s="157">
        <v>1.8638338061372675</v>
      </c>
      <c r="H236" s="161" t="s">
        <v>156</v>
      </c>
      <c r="I236" s="158" t="s">
        <v>152</v>
      </c>
    </row>
    <row r="237" spans="1:9" s="51" customFormat="1">
      <c r="A237" s="75" t="s">
        <v>147</v>
      </c>
      <c r="B237" s="51" t="s">
        <v>155</v>
      </c>
      <c r="C237" s="51" t="s">
        <v>15</v>
      </c>
      <c r="D237" s="51">
        <v>2016</v>
      </c>
      <c r="E237" s="157">
        <f>234351/13456099 *100</f>
        <v>1.741596877371369</v>
      </c>
      <c r="F237" s="160" t="s">
        <v>156</v>
      </c>
      <c r="G237" s="157">
        <v>1.741596877371369</v>
      </c>
      <c r="H237" s="161" t="s">
        <v>156</v>
      </c>
      <c r="I237" s="158" t="s">
        <v>153</v>
      </c>
    </row>
    <row r="238" spans="1:9" s="51" customFormat="1">
      <c r="A238" s="75" t="s">
        <v>147</v>
      </c>
      <c r="B238" s="51" t="s">
        <v>155</v>
      </c>
      <c r="C238" s="51" t="s">
        <v>15</v>
      </c>
      <c r="D238" s="51">
        <v>2017</v>
      </c>
      <c r="E238" s="157">
        <f>221516/15833678 *100</f>
        <v>1.3990179666404736</v>
      </c>
      <c r="F238" s="160" t="s">
        <v>156</v>
      </c>
      <c r="G238" s="157">
        <v>1.3990179666404736</v>
      </c>
      <c r="H238" s="161" t="s">
        <v>156</v>
      </c>
      <c r="I238" s="158" t="s">
        <v>154</v>
      </c>
    </row>
    <row r="239" spans="1:9" s="51" customFormat="1">
      <c r="A239" s="75" t="s">
        <v>147</v>
      </c>
      <c r="B239" s="51" t="s">
        <v>155</v>
      </c>
      <c r="C239" s="51" t="s">
        <v>15</v>
      </c>
      <c r="D239" s="51">
        <v>2018</v>
      </c>
      <c r="E239" s="157">
        <f>228422/18986062 *100</f>
        <v>1.2031036241217372</v>
      </c>
      <c r="F239" s="160" t="s">
        <v>156</v>
      </c>
      <c r="G239" s="157">
        <v>1.2031036241217372</v>
      </c>
      <c r="H239" s="161" t="s">
        <v>156</v>
      </c>
      <c r="I239" s="158" t="s">
        <v>23</v>
      </c>
    </row>
    <row r="240" spans="1:9" s="51" customFormat="1">
      <c r="A240" s="75" t="s">
        <v>147</v>
      </c>
      <c r="B240" s="51" t="s">
        <v>155</v>
      </c>
      <c r="C240" s="51" t="s">
        <v>18</v>
      </c>
      <c r="D240" s="51">
        <v>2014</v>
      </c>
      <c r="E240" s="157">
        <f>93/5799*100</f>
        <v>1.603724780134506</v>
      </c>
      <c r="F240" s="160" t="s">
        <v>156</v>
      </c>
      <c r="G240" s="157">
        <v>1.603724780134506</v>
      </c>
      <c r="H240" s="161" t="s">
        <v>156</v>
      </c>
      <c r="I240" s="158" t="s">
        <v>139</v>
      </c>
    </row>
    <row r="241" spans="1:9" s="51" customFormat="1">
      <c r="A241" s="75" t="s">
        <v>147</v>
      </c>
      <c r="B241" s="51" t="s">
        <v>155</v>
      </c>
      <c r="C241" s="51" t="s">
        <v>18</v>
      </c>
      <c r="D241" s="51">
        <v>2015</v>
      </c>
      <c r="E241" s="157">
        <f>79/6250*100</f>
        <v>1.264</v>
      </c>
      <c r="F241" s="160" t="s">
        <v>156</v>
      </c>
      <c r="G241" s="157">
        <v>1.264</v>
      </c>
      <c r="H241" s="161" t="s">
        <v>156</v>
      </c>
      <c r="I241" s="158" t="s">
        <v>140</v>
      </c>
    </row>
    <row r="242" spans="1:9" s="51" customFormat="1">
      <c r="A242" s="75" t="s">
        <v>147</v>
      </c>
      <c r="B242" s="51" t="s">
        <v>155</v>
      </c>
      <c r="C242" s="51" t="s">
        <v>18</v>
      </c>
      <c r="D242" s="51">
        <v>2016</v>
      </c>
      <c r="E242" s="157">
        <f>74/5341*100</f>
        <v>1.3855083317730763</v>
      </c>
      <c r="F242" s="160" t="s">
        <v>156</v>
      </c>
      <c r="G242" s="157">
        <v>1.3855083317730763</v>
      </c>
      <c r="H242" s="161" t="s">
        <v>156</v>
      </c>
      <c r="I242" s="158" t="s">
        <v>141</v>
      </c>
    </row>
    <row r="243" spans="1:9" s="51" customFormat="1">
      <c r="A243" s="75" t="s">
        <v>147</v>
      </c>
      <c r="B243" s="51" t="s">
        <v>155</v>
      </c>
      <c r="C243" s="51" t="s">
        <v>18</v>
      </c>
      <c r="D243" s="51">
        <v>2017</v>
      </c>
      <c r="E243" s="157">
        <f>71/5293*100</f>
        <v>1.3413942943510295</v>
      </c>
      <c r="F243" s="160" t="s">
        <v>156</v>
      </c>
      <c r="G243" s="157">
        <v>1.3413942943510295</v>
      </c>
      <c r="H243" s="161" t="s">
        <v>156</v>
      </c>
      <c r="I243" s="158" t="s">
        <v>142</v>
      </c>
    </row>
    <row r="244" spans="1:9" s="81" customFormat="1">
      <c r="A244" s="80" t="s">
        <v>147</v>
      </c>
      <c r="B244" s="81" t="s">
        <v>155</v>
      </c>
      <c r="C244" s="81" t="s">
        <v>18</v>
      </c>
      <c r="D244" s="81">
        <v>2018</v>
      </c>
      <c r="E244" s="115">
        <f>84/4991*100</f>
        <v>1.6830294530154277</v>
      </c>
      <c r="F244" s="133" t="s">
        <v>156</v>
      </c>
      <c r="G244" s="115">
        <v>1.6830294530154277</v>
      </c>
      <c r="H244" s="134" t="s">
        <v>156</v>
      </c>
      <c r="I244" s="84" t="s">
        <v>19</v>
      </c>
    </row>
  </sheetData>
  <autoFilter ref="A1:I244" xr:uid="{3614E37E-F4C3-4B0E-9466-023FE8460AE8}">
    <sortState xmlns:xlrd2="http://schemas.microsoft.com/office/spreadsheetml/2017/richdata2" ref="A2:I244">
      <sortCondition ref="A1:A244"/>
    </sortState>
  </autoFilter>
  <hyperlinks>
    <hyperlink ref="I34" r:id="rId1" xr:uid="{730CFC43-9413-47ED-B882-DB15437B4869}"/>
    <hyperlink ref="I93:I97" r:id="rId2" display="http://www.nexteraenergy.com/sustainability/overview/about-this-report/by-the-numbers.html" xr:uid="{87744F7D-4A55-4F7D-86A1-22A7BBFEF911}"/>
    <hyperlink ref="I32" r:id="rId3" xr:uid="{7834F1A7-2065-466E-AD66-A8E6C9F7AA36}"/>
    <hyperlink ref="I13" r:id="rId4" display="http://www.nexteraenergy.com/sustainability/overview/about-this-report/by-the-numbers.html" xr:uid="{1E3DF971-5509-4195-AE4E-1C946099BC9A}"/>
    <hyperlink ref="I100:I107" r:id="rId5" display="http://www.nexteraenergy.com/sustainability/overview/about-this-report/by-the-numbers.html" xr:uid="{9A82C041-5642-4EAD-89B9-388711835362}"/>
    <hyperlink ref="I22" r:id="rId6" display="http://www.nexteraenergy.com/sustainability/overview/about-this-report/by-the-numbers.html" xr:uid="{D5904ACF-90A5-4305-A1D5-A88C0FE54D67}"/>
    <hyperlink ref="I225" r:id="rId7" xr:uid="{B3A4784F-B7E0-4256-8185-6974C7702D76}"/>
    <hyperlink ref="I226" r:id="rId8" xr:uid="{C75EDBD9-E387-46DA-9C21-6BD5EDF309D8}"/>
    <hyperlink ref="I228" r:id="rId9" xr:uid="{1510B9A5-D5C5-4FC7-AE2A-817EA9B2BC9A}"/>
    <hyperlink ref="I229" r:id="rId10" xr:uid="{6876B390-55E1-4D26-9FB5-DA15DF367774}"/>
    <hyperlink ref="I227" r:id="rId11" xr:uid="{96A8F0EF-8897-4F7F-95E1-283DF76C1876}"/>
    <hyperlink ref="I224" r:id="rId12" xr:uid="{01ADEF79-FA81-42D9-BECD-1EED42C02039}"/>
    <hyperlink ref="I7:I10" r:id="rId13" display="https://www.exeloncorp.com/sustainability/interactive-csr?year=2015&amp;page=78" xr:uid="{A64A527F-AE00-46BD-B603-8B35DA2209E1}"/>
    <hyperlink ref="I239" r:id="rId14" xr:uid="{26E9B5F2-1B6C-47C8-B62C-1C684B4018D8}"/>
    <hyperlink ref="I22:I25" r:id="rId15" display="https://www.exeloncorp.com/sustainability/interactive-csr?year=2015&amp;page=78" xr:uid="{EAB214B2-4E40-40B4-BFA7-A5FC774176C7}"/>
    <hyperlink ref="I240" r:id="rId16" xr:uid="{F70D3DD4-771C-4967-9886-8FA4123A08FD}"/>
    <hyperlink ref="I241" r:id="rId17" xr:uid="{F1181C18-7AE0-421F-A92F-F59F8082A5BD}"/>
    <hyperlink ref="I243" r:id="rId18" xr:uid="{B0018F44-B291-4D22-A39F-40AE432F4489}"/>
    <hyperlink ref="I244" r:id="rId19" xr:uid="{624911D7-3948-44E4-BB88-FF5CC4124B4C}"/>
    <hyperlink ref="I242" r:id="rId20" xr:uid="{F5A7A200-B8B0-4DD4-998B-87E4BCCEE5CE}"/>
    <hyperlink ref="I175" r:id="rId21" xr:uid="{A04A10DB-A8BD-4EC1-8488-3D53E4C4E476}"/>
    <hyperlink ref="I176" r:id="rId22" xr:uid="{1D92752A-05CA-46AB-AC53-D3C49E2095EA}"/>
    <hyperlink ref="I178" r:id="rId23" xr:uid="{1C73863B-51B2-4797-9414-C1032FAF7027}"/>
    <hyperlink ref="I179" r:id="rId24" xr:uid="{EF22A473-43E8-48E4-A28F-83A13DC000B1}"/>
    <hyperlink ref="I177" r:id="rId25" xr:uid="{CCE9DAA4-4CF8-4810-9A04-E2A754BC95AD}"/>
    <hyperlink ref="I180" r:id="rId26" xr:uid="{A1624EB3-B643-42FA-AF80-0341BC34141E}"/>
    <hyperlink ref="I181" r:id="rId27" xr:uid="{3774C8C5-5A94-4CD7-A986-B39E23F67965}"/>
    <hyperlink ref="I183" r:id="rId28" xr:uid="{83649032-3284-42B5-A109-CD9C1B0A80BE}"/>
    <hyperlink ref="I184" r:id="rId29" xr:uid="{47D09E98-A70D-4181-A54D-14022B56A8C1}"/>
    <hyperlink ref="I182" r:id="rId30" xr:uid="{BEFAB8E5-D195-44ED-B327-6B753936C98D}"/>
    <hyperlink ref="I148" r:id="rId31" location="overlay-context=content/benchmarking-air-emissions-past-reports" display="https://mjbradley.com/content/benchmarking-air-emissions-past-reports - overlay-context=content/benchmarking-air-emissions-past-reports" xr:uid="{857649F0-4374-4AE2-A0D3-A5D93BB31CA2}"/>
    <hyperlink ref="I23" r:id="rId32" xr:uid="{86398F2F-2E0E-4402-A3E3-24BBE5C0BA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2D8-2D52-4567-ABDF-A8ACAF36EE49}">
  <dimension ref="A1:I145"/>
  <sheetViews>
    <sheetView zoomScale="68" workbookViewId="0">
      <selection activeCell="A2" sqref="A2:XFD2"/>
    </sheetView>
  </sheetViews>
  <sheetFormatPr defaultColWidth="11" defaultRowHeight="15"/>
  <cols>
    <col min="1" max="1" width="11" style="1"/>
    <col min="2" max="2" width="31.625" style="1" bestFit="1" customWidth="1"/>
    <col min="3" max="3" width="9" style="1" bestFit="1" customWidth="1"/>
    <col min="4" max="4" width="11.5" style="1" bestFit="1" customWidth="1"/>
    <col min="5" max="5" width="29.625" style="2" bestFit="1" customWidth="1"/>
    <col min="6" max="6" width="37.5" style="1" bestFit="1" customWidth="1"/>
    <col min="7" max="7" width="14.375" style="1" bestFit="1" customWidth="1"/>
    <col min="8" max="8" width="19.37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9" customFormat="1">
      <c r="A2" s="19" t="s">
        <v>36</v>
      </c>
      <c r="B2" s="19" t="s">
        <v>227</v>
      </c>
      <c r="C2" s="19" t="s">
        <v>11</v>
      </c>
      <c r="D2" s="19">
        <v>2019</v>
      </c>
      <c r="E2" s="21"/>
    </row>
    <row r="3" spans="1:9" s="19" customFormat="1">
      <c r="A3" s="19" t="s">
        <v>36</v>
      </c>
      <c r="B3" s="19" t="s">
        <v>227</v>
      </c>
      <c r="C3" s="19" t="s">
        <v>11</v>
      </c>
      <c r="D3" s="19">
        <v>2018</v>
      </c>
      <c r="E3" s="21"/>
    </row>
    <row r="4" spans="1:9">
      <c r="A4" s="1" t="s">
        <v>26</v>
      </c>
      <c r="B4" s="1" t="s">
        <v>27</v>
      </c>
      <c r="C4" s="19" t="s">
        <v>11</v>
      </c>
      <c r="D4" s="1">
        <v>2018</v>
      </c>
      <c r="E4" s="2">
        <v>1100000</v>
      </c>
      <c r="F4" s="1" t="s">
        <v>28</v>
      </c>
      <c r="G4" s="2">
        <v>1100000</v>
      </c>
      <c r="H4" s="1" t="s">
        <v>29</v>
      </c>
      <c r="I4" s="16" t="s">
        <v>30</v>
      </c>
    </row>
    <row r="5" spans="1:9">
      <c r="A5" s="1" t="s">
        <v>26</v>
      </c>
      <c r="B5" s="1" t="s">
        <v>27</v>
      </c>
      <c r="C5" s="19" t="s">
        <v>11</v>
      </c>
      <c r="D5" s="1">
        <v>2017</v>
      </c>
      <c r="E5" s="2">
        <v>1100000</v>
      </c>
      <c r="F5" s="1" t="s">
        <v>28</v>
      </c>
      <c r="G5" s="2">
        <v>1100000</v>
      </c>
      <c r="H5" s="1" t="s">
        <v>29</v>
      </c>
      <c r="I5" s="16" t="s">
        <v>31</v>
      </c>
    </row>
    <row r="6" spans="1:9">
      <c r="A6" s="1" t="s">
        <v>26</v>
      </c>
      <c r="B6" s="1" t="s">
        <v>27</v>
      </c>
      <c r="C6" s="19" t="s">
        <v>11</v>
      </c>
      <c r="D6" s="1">
        <v>2016</v>
      </c>
      <c r="E6" s="2">
        <v>1000000</v>
      </c>
      <c r="F6" s="1" t="s">
        <v>28</v>
      </c>
      <c r="G6" s="2">
        <v>1000000</v>
      </c>
      <c r="H6" s="1" t="s">
        <v>29</v>
      </c>
      <c r="I6" s="16" t="s">
        <v>32</v>
      </c>
    </row>
    <row r="7" spans="1:9">
      <c r="A7" s="1" t="s">
        <v>26</v>
      </c>
      <c r="B7" s="1" t="s">
        <v>27</v>
      </c>
      <c r="C7" s="1" t="s">
        <v>34</v>
      </c>
      <c r="D7" s="1">
        <v>2018</v>
      </c>
      <c r="E7" s="2">
        <f>544557+132490</f>
        <v>677047</v>
      </c>
      <c r="F7" s="1" t="s">
        <v>28</v>
      </c>
      <c r="G7" s="2">
        <f>544557+132490</f>
        <v>677047</v>
      </c>
      <c r="H7" s="1" t="s">
        <v>29</v>
      </c>
      <c r="I7" s="16" t="s">
        <v>35</v>
      </c>
    </row>
    <row r="8" spans="1:9">
      <c r="A8" s="1" t="s">
        <v>26</v>
      </c>
      <c r="B8" s="1" t="s">
        <v>27</v>
      </c>
      <c r="C8" s="1" t="s">
        <v>34</v>
      </c>
      <c r="D8" s="1">
        <v>2017</v>
      </c>
      <c r="E8" s="2">
        <f>703385+157197</f>
        <v>860582</v>
      </c>
      <c r="F8" s="1" t="s">
        <v>28</v>
      </c>
      <c r="G8" s="2">
        <f>703385+157197</f>
        <v>860582</v>
      </c>
      <c r="H8" s="1" t="s">
        <v>29</v>
      </c>
      <c r="I8" s="16" t="s">
        <v>35</v>
      </c>
    </row>
    <row r="9" spans="1:9">
      <c r="A9" s="1" t="s">
        <v>26</v>
      </c>
      <c r="B9" s="1" t="s">
        <v>27</v>
      </c>
      <c r="C9" s="1" t="s">
        <v>34</v>
      </c>
      <c r="D9" s="1">
        <v>2016</v>
      </c>
      <c r="E9" s="2">
        <f>604173+173182</f>
        <v>777355</v>
      </c>
      <c r="F9" s="1" t="s">
        <v>28</v>
      </c>
      <c r="G9" s="2">
        <f>604173+173182</f>
        <v>777355</v>
      </c>
      <c r="H9" s="1" t="s">
        <v>29</v>
      </c>
      <c r="I9" s="16" t="s">
        <v>35</v>
      </c>
    </row>
    <row r="10" spans="1:9">
      <c r="A10" s="1" t="s">
        <v>26</v>
      </c>
      <c r="B10" s="1" t="s">
        <v>27</v>
      </c>
      <c r="C10" s="1" t="s">
        <v>15</v>
      </c>
      <c r="D10" s="1">
        <v>2018</v>
      </c>
      <c r="E10" s="2">
        <v>750000</v>
      </c>
      <c r="F10" s="1" t="s">
        <v>28</v>
      </c>
      <c r="G10" s="2">
        <v>750000</v>
      </c>
      <c r="I10" s="16" t="s">
        <v>33</v>
      </c>
    </row>
    <row r="11" spans="1:9" s="30" customFormat="1">
      <c r="A11" s="30" t="s">
        <v>26</v>
      </c>
      <c r="B11" s="30" t="s">
        <v>27</v>
      </c>
      <c r="C11" s="30" t="s">
        <v>18</v>
      </c>
      <c r="E11" s="31"/>
      <c r="I11" s="36"/>
    </row>
    <row r="12" spans="1:9" s="30" customFormat="1">
      <c r="A12" s="30" t="s">
        <v>9</v>
      </c>
      <c r="B12" s="30" t="s">
        <v>228</v>
      </c>
      <c r="C12" s="30" t="s">
        <v>229</v>
      </c>
      <c r="D12" s="30">
        <v>2015</v>
      </c>
      <c r="E12" s="31">
        <v>0.372</v>
      </c>
      <c r="F12" s="30" t="s">
        <v>230</v>
      </c>
      <c r="I12" s="36" t="s">
        <v>231</v>
      </c>
    </row>
    <row r="13" spans="1:9" s="30" customFormat="1">
      <c r="A13" s="30" t="s">
        <v>9</v>
      </c>
      <c r="B13" s="30" t="s">
        <v>228</v>
      </c>
      <c r="C13" s="30" t="s">
        <v>229</v>
      </c>
      <c r="D13" s="30">
        <v>2016</v>
      </c>
      <c r="E13" s="31">
        <v>0.40200000000000002</v>
      </c>
      <c r="F13" s="30" t="s">
        <v>230</v>
      </c>
      <c r="I13" s="36" t="s">
        <v>231</v>
      </c>
    </row>
    <row r="14" spans="1:9" s="30" customFormat="1">
      <c r="A14" s="30" t="s">
        <v>9</v>
      </c>
      <c r="B14" s="30" t="s">
        <v>228</v>
      </c>
      <c r="C14" s="30" t="s">
        <v>229</v>
      </c>
      <c r="D14" s="30">
        <v>2017</v>
      </c>
      <c r="E14" s="31">
        <v>0.48699999999999999</v>
      </c>
      <c r="F14" s="30" t="s">
        <v>230</v>
      </c>
      <c r="I14" s="36" t="s">
        <v>231</v>
      </c>
    </row>
    <row r="15" spans="1:9" s="30" customFormat="1">
      <c r="A15" s="30" t="s">
        <v>9</v>
      </c>
      <c r="B15" s="30" t="s">
        <v>228</v>
      </c>
      <c r="C15" s="30" t="s">
        <v>229</v>
      </c>
      <c r="D15" s="30">
        <v>2018</v>
      </c>
      <c r="E15" s="31">
        <v>0.39200000000000002</v>
      </c>
      <c r="F15" s="30" t="s">
        <v>230</v>
      </c>
      <c r="I15" s="36" t="s">
        <v>232</v>
      </c>
    </row>
    <row r="16" spans="1:9" s="10" customFormat="1">
      <c r="A16" s="10" t="s">
        <v>9</v>
      </c>
      <c r="B16" s="10" t="s">
        <v>10</v>
      </c>
      <c r="C16" s="10" t="s">
        <v>11</v>
      </c>
      <c r="D16" s="10">
        <v>2018</v>
      </c>
      <c r="E16" s="11" t="s">
        <v>118</v>
      </c>
      <c r="I16" s="37"/>
    </row>
    <row r="17" spans="1:9">
      <c r="A17" s="1" t="s">
        <v>9</v>
      </c>
      <c r="B17" s="1" t="s">
        <v>10</v>
      </c>
      <c r="C17" s="1" t="s">
        <v>15</v>
      </c>
      <c r="D17" s="1">
        <v>2018</v>
      </c>
      <c r="E17" s="2">
        <v>1</v>
      </c>
      <c r="F17" s="1" t="s">
        <v>10</v>
      </c>
      <c r="H17" s="1" t="s">
        <v>233</v>
      </c>
      <c r="I17" s="16" t="s">
        <v>16</v>
      </c>
    </row>
    <row r="18" spans="1:9">
      <c r="A18" s="1" t="s">
        <v>9</v>
      </c>
      <c r="B18" s="1" t="s">
        <v>10</v>
      </c>
      <c r="C18" s="1" t="s">
        <v>15</v>
      </c>
      <c r="D18" s="1">
        <v>2017</v>
      </c>
      <c r="E18" s="2">
        <v>2</v>
      </c>
      <c r="F18" s="1" t="s">
        <v>10</v>
      </c>
      <c r="H18" s="1" t="s">
        <v>233</v>
      </c>
      <c r="I18" s="16" t="s">
        <v>17</v>
      </c>
    </row>
    <row r="19" spans="1:9">
      <c r="A19" s="1" t="s">
        <v>9</v>
      </c>
      <c r="B19" s="1" t="s">
        <v>10</v>
      </c>
      <c r="C19" s="1" t="s">
        <v>15</v>
      </c>
      <c r="D19" s="1">
        <v>2016</v>
      </c>
      <c r="E19" s="2" t="s">
        <v>118</v>
      </c>
      <c r="F19" s="1" t="s">
        <v>10</v>
      </c>
      <c r="H19" s="1" t="s">
        <v>233</v>
      </c>
      <c r="I19" s="16"/>
    </row>
    <row r="20" spans="1:9">
      <c r="A20" s="1" t="s">
        <v>9</v>
      </c>
      <c r="B20" s="1" t="s">
        <v>10</v>
      </c>
      <c r="C20" s="1" t="s">
        <v>15</v>
      </c>
      <c r="D20" s="1">
        <v>2015</v>
      </c>
      <c r="E20" s="2" t="s">
        <v>118</v>
      </c>
      <c r="F20" s="1" t="s">
        <v>10</v>
      </c>
      <c r="H20" s="1" t="s">
        <v>233</v>
      </c>
      <c r="I20" s="16"/>
    </row>
    <row r="21" spans="1:9">
      <c r="A21" s="1" t="s">
        <v>9</v>
      </c>
      <c r="B21" s="1" t="s">
        <v>10</v>
      </c>
      <c r="C21" s="1" t="s">
        <v>15</v>
      </c>
      <c r="D21" s="1">
        <v>2014</v>
      </c>
      <c r="E21" s="2" t="s">
        <v>118</v>
      </c>
      <c r="F21" s="1" t="s">
        <v>10</v>
      </c>
      <c r="H21" s="1" t="s">
        <v>233</v>
      </c>
      <c r="I21" s="16"/>
    </row>
    <row r="22" spans="1:9">
      <c r="A22" s="1" t="s">
        <v>9</v>
      </c>
      <c r="B22" s="1" t="s">
        <v>10</v>
      </c>
      <c r="C22" s="1" t="s">
        <v>18</v>
      </c>
      <c r="D22" s="1">
        <v>2018</v>
      </c>
      <c r="E22" s="2">
        <v>3</v>
      </c>
      <c r="F22" s="1" t="s">
        <v>10</v>
      </c>
      <c r="H22" s="1" t="s">
        <v>233</v>
      </c>
      <c r="I22" s="16" t="s">
        <v>19</v>
      </c>
    </row>
    <row r="23" spans="1:9">
      <c r="A23" s="1" t="s">
        <v>9</v>
      </c>
      <c r="B23" s="1" t="s">
        <v>10</v>
      </c>
      <c r="C23" s="1" t="s">
        <v>18</v>
      </c>
      <c r="D23" s="1">
        <v>2017</v>
      </c>
      <c r="E23" s="2">
        <v>2</v>
      </c>
      <c r="F23" s="1" t="s">
        <v>10</v>
      </c>
      <c r="H23" s="1" t="s">
        <v>233</v>
      </c>
      <c r="I23" s="16" t="s">
        <v>19</v>
      </c>
    </row>
    <row r="24" spans="1:9">
      <c r="A24" s="1" t="s">
        <v>9</v>
      </c>
      <c r="B24" s="1" t="s">
        <v>10</v>
      </c>
      <c r="C24" s="1" t="s">
        <v>18</v>
      </c>
      <c r="D24" s="1">
        <v>2016</v>
      </c>
      <c r="E24" s="2">
        <v>0</v>
      </c>
      <c r="F24" s="1" t="s">
        <v>10</v>
      </c>
      <c r="H24" s="1" t="s">
        <v>233</v>
      </c>
      <c r="I24" s="16" t="s">
        <v>19</v>
      </c>
    </row>
    <row r="25" spans="1:9">
      <c r="A25" s="1" t="s">
        <v>9</v>
      </c>
      <c r="B25" s="1" t="s">
        <v>10</v>
      </c>
      <c r="C25" s="1" t="s">
        <v>18</v>
      </c>
      <c r="D25" s="1">
        <v>2015</v>
      </c>
      <c r="E25" s="2">
        <v>5</v>
      </c>
      <c r="F25" s="1" t="s">
        <v>10</v>
      </c>
      <c r="H25" s="1" t="s">
        <v>233</v>
      </c>
      <c r="I25" s="16" t="s">
        <v>19</v>
      </c>
    </row>
    <row r="26" spans="1:9">
      <c r="A26" s="1" t="s">
        <v>9</v>
      </c>
      <c r="B26" s="1" t="s">
        <v>10</v>
      </c>
      <c r="C26" s="1" t="s">
        <v>18</v>
      </c>
      <c r="D26" s="1">
        <v>2014</v>
      </c>
      <c r="E26" s="2">
        <v>4</v>
      </c>
      <c r="F26" s="1" t="s">
        <v>10</v>
      </c>
      <c r="H26" s="1" t="s">
        <v>233</v>
      </c>
      <c r="I26" s="16" t="s">
        <v>19</v>
      </c>
    </row>
    <row r="27" spans="1:9" s="30" customFormat="1">
      <c r="A27" s="30" t="s">
        <v>9</v>
      </c>
      <c r="B27" s="30" t="s">
        <v>234</v>
      </c>
      <c r="C27" s="30" t="s">
        <v>18</v>
      </c>
      <c r="D27" s="30">
        <v>2018</v>
      </c>
      <c r="E27" s="31">
        <v>0.15</v>
      </c>
      <c r="F27" s="30" t="s">
        <v>22</v>
      </c>
      <c r="I27" s="36" t="s">
        <v>19</v>
      </c>
    </row>
    <row r="28" spans="1:9" s="30" customFormat="1">
      <c r="A28" s="30" t="s">
        <v>9</v>
      </c>
      <c r="B28" s="30" t="s">
        <v>234</v>
      </c>
      <c r="C28" s="30" t="s">
        <v>18</v>
      </c>
      <c r="D28" s="30">
        <v>2017</v>
      </c>
      <c r="E28" s="31">
        <v>0.15</v>
      </c>
      <c r="F28" s="30" t="s">
        <v>22</v>
      </c>
      <c r="I28" s="36" t="s">
        <v>19</v>
      </c>
    </row>
    <row r="29" spans="1:9" s="30" customFormat="1">
      <c r="A29" s="30" t="s">
        <v>9</v>
      </c>
      <c r="B29" s="30" t="s">
        <v>234</v>
      </c>
      <c r="C29" s="30" t="s">
        <v>18</v>
      </c>
      <c r="D29" s="30">
        <v>2016</v>
      </c>
      <c r="E29" s="31">
        <v>0.15</v>
      </c>
      <c r="F29" s="30" t="s">
        <v>22</v>
      </c>
      <c r="I29" s="36" t="s">
        <v>19</v>
      </c>
    </row>
    <row r="30" spans="1:9" s="30" customFormat="1">
      <c r="A30" s="30" t="s">
        <v>9</v>
      </c>
      <c r="B30" s="30" t="s">
        <v>234</v>
      </c>
      <c r="C30" s="30" t="s">
        <v>18</v>
      </c>
      <c r="D30" s="30">
        <v>2015</v>
      </c>
      <c r="E30" s="31">
        <v>0.18</v>
      </c>
      <c r="F30" s="30" t="s">
        <v>22</v>
      </c>
      <c r="I30" s="36" t="s">
        <v>19</v>
      </c>
    </row>
    <row r="31" spans="1:9" s="30" customFormat="1">
      <c r="A31" s="30" t="s">
        <v>9</v>
      </c>
      <c r="B31" s="30" t="s">
        <v>234</v>
      </c>
      <c r="C31" s="30" t="s">
        <v>18</v>
      </c>
      <c r="D31" s="30">
        <v>2014</v>
      </c>
      <c r="E31" s="31">
        <v>0.17</v>
      </c>
      <c r="F31" s="30" t="s">
        <v>22</v>
      </c>
      <c r="I31" s="36" t="s">
        <v>19</v>
      </c>
    </row>
    <row r="32" spans="1:9">
      <c r="A32" s="1" t="s">
        <v>9</v>
      </c>
      <c r="B32" s="1" t="s">
        <v>20</v>
      </c>
      <c r="C32" s="1" t="s">
        <v>15</v>
      </c>
      <c r="D32" s="1">
        <v>2018</v>
      </c>
      <c r="E32" s="2">
        <v>0.56999999999999995</v>
      </c>
      <c r="F32" s="1" t="s">
        <v>21</v>
      </c>
      <c r="H32" s="1" t="s">
        <v>22</v>
      </c>
      <c r="I32" s="16" t="s">
        <v>23</v>
      </c>
    </row>
    <row r="33" spans="1:9">
      <c r="A33" s="1" t="s">
        <v>9</v>
      </c>
      <c r="B33" s="1" t="s">
        <v>20</v>
      </c>
      <c r="C33" s="1" t="s">
        <v>15</v>
      </c>
      <c r="D33" s="1">
        <v>2017</v>
      </c>
      <c r="E33" s="2">
        <v>0.52</v>
      </c>
      <c r="F33" s="1" t="s">
        <v>21</v>
      </c>
      <c r="H33" s="1" t="s">
        <v>22</v>
      </c>
      <c r="I33" s="16" t="s">
        <v>23</v>
      </c>
    </row>
    <row r="34" spans="1:9">
      <c r="A34" s="1" t="s">
        <v>9</v>
      </c>
      <c r="B34" s="1" t="s">
        <v>20</v>
      </c>
      <c r="C34" s="1" t="s">
        <v>15</v>
      </c>
      <c r="D34" s="1">
        <v>2016</v>
      </c>
      <c r="E34" s="2">
        <v>0.65</v>
      </c>
      <c r="F34" s="1" t="s">
        <v>21</v>
      </c>
      <c r="H34" s="1" t="s">
        <v>22</v>
      </c>
      <c r="I34" s="16" t="s">
        <v>23</v>
      </c>
    </row>
    <row r="35" spans="1:9">
      <c r="A35" s="1" t="s">
        <v>9</v>
      </c>
      <c r="B35" s="1" t="s">
        <v>20</v>
      </c>
      <c r="C35" s="1" t="s">
        <v>15</v>
      </c>
      <c r="D35" s="1">
        <v>2015</v>
      </c>
      <c r="E35" s="2">
        <v>0.91</v>
      </c>
      <c r="F35" s="1" t="s">
        <v>21</v>
      </c>
      <c r="H35" s="1" t="s">
        <v>22</v>
      </c>
      <c r="I35" s="16" t="s">
        <v>23</v>
      </c>
    </row>
    <row r="36" spans="1:9">
      <c r="A36" s="1" t="s">
        <v>9</v>
      </c>
      <c r="B36" s="1" t="s">
        <v>20</v>
      </c>
      <c r="C36" s="1" t="s">
        <v>15</v>
      </c>
      <c r="D36" s="1">
        <v>2014</v>
      </c>
      <c r="E36" s="2">
        <v>0.73</v>
      </c>
      <c r="F36" s="1" t="s">
        <v>21</v>
      </c>
      <c r="H36" s="1" t="s">
        <v>22</v>
      </c>
      <c r="I36" s="16" t="s">
        <v>23</v>
      </c>
    </row>
    <row r="37" spans="1:9">
      <c r="A37" s="1" t="s">
        <v>9</v>
      </c>
      <c r="B37" s="1" t="s">
        <v>20</v>
      </c>
      <c r="C37" s="1" t="s">
        <v>11</v>
      </c>
      <c r="D37" s="1">
        <v>2018</v>
      </c>
      <c r="E37" s="5">
        <v>0.56000000000000005</v>
      </c>
      <c r="F37" s="1" t="s">
        <v>21</v>
      </c>
      <c r="H37" s="1" t="s">
        <v>22</v>
      </c>
      <c r="I37" s="16" t="s">
        <v>24</v>
      </c>
    </row>
    <row r="38" spans="1:9">
      <c r="A38" s="1" t="s">
        <v>9</v>
      </c>
      <c r="B38" s="1" t="s">
        <v>20</v>
      </c>
      <c r="C38" s="1" t="s">
        <v>11</v>
      </c>
      <c r="D38" s="1">
        <v>2017</v>
      </c>
      <c r="E38" s="23">
        <v>0.53</v>
      </c>
      <c r="F38" s="1" t="s">
        <v>21</v>
      </c>
      <c r="H38" s="1" t="s">
        <v>22</v>
      </c>
      <c r="I38" s="16" t="s">
        <v>24</v>
      </c>
    </row>
    <row r="39" spans="1:9">
      <c r="A39" s="1" t="s">
        <v>9</v>
      </c>
      <c r="B39" s="1" t="s">
        <v>20</v>
      </c>
      <c r="C39" s="1" t="s">
        <v>11</v>
      </c>
      <c r="D39" s="1">
        <v>2016</v>
      </c>
      <c r="E39" s="23">
        <v>0.7</v>
      </c>
      <c r="F39" s="1" t="s">
        <v>21</v>
      </c>
      <c r="H39" s="1" t="s">
        <v>22</v>
      </c>
      <c r="I39" s="16" t="s">
        <v>24</v>
      </c>
    </row>
    <row r="40" spans="1:9">
      <c r="A40" s="1" t="s">
        <v>9</v>
      </c>
      <c r="B40" s="1" t="s">
        <v>20</v>
      </c>
      <c r="C40" s="1" t="s">
        <v>11</v>
      </c>
      <c r="D40" s="1">
        <v>2015</v>
      </c>
      <c r="E40" s="23">
        <v>0.73</v>
      </c>
      <c r="F40" s="1" t="s">
        <v>21</v>
      </c>
      <c r="H40" s="1" t="s">
        <v>22</v>
      </c>
      <c r="I40" s="16" t="s">
        <v>24</v>
      </c>
    </row>
    <row r="41" spans="1:9">
      <c r="A41" s="1" t="s">
        <v>9</v>
      </c>
      <c r="B41" s="1" t="s">
        <v>20</v>
      </c>
      <c r="C41" s="1" t="s">
        <v>11</v>
      </c>
      <c r="D41" s="1">
        <v>2014</v>
      </c>
      <c r="E41" s="5">
        <v>0.61</v>
      </c>
      <c r="F41" s="1" t="s">
        <v>21</v>
      </c>
      <c r="H41" s="1" t="s">
        <v>22</v>
      </c>
      <c r="I41" s="16" t="s">
        <v>24</v>
      </c>
    </row>
    <row r="42" spans="1:9">
      <c r="A42" s="1" t="s">
        <v>9</v>
      </c>
      <c r="B42" s="1" t="s">
        <v>20</v>
      </c>
      <c r="C42" s="1" t="s">
        <v>18</v>
      </c>
      <c r="D42" s="1">
        <v>2018</v>
      </c>
      <c r="E42" s="2">
        <v>0.43</v>
      </c>
      <c r="F42" s="1" t="s">
        <v>21</v>
      </c>
      <c r="H42" s="1" t="s">
        <v>22</v>
      </c>
      <c r="I42" s="16" t="s">
        <v>25</v>
      </c>
    </row>
    <row r="43" spans="1:9">
      <c r="A43" s="1" t="s">
        <v>9</v>
      </c>
      <c r="B43" s="1" t="s">
        <v>20</v>
      </c>
      <c r="C43" s="1" t="s">
        <v>18</v>
      </c>
      <c r="D43" s="1">
        <v>2017</v>
      </c>
      <c r="F43" s="1" t="s">
        <v>21</v>
      </c>
      <c r="H43" s="1" t="s">
        <v>22</v>
      </c>
      <c r="I43" s="16" t="s">
        <v>25</v>
      </c>
    </row>
    <row r="44" spans="1:9">
      <c r="A44" s="1" t="s">
        <v>9</v>
      </c>
      <c r="B44" s="1" t="s">
        <v>20</v>
      </c>
      <c r="C44" s="1" t="s">
        <v>18</v>
      </c>
      <c r="D44" s="1">
        <v>2016</v>
      </c>
      <c r="E44" s="2">
        <v>0.4</v>
      </c>
      <c r="F44" s="1" t="s">
        <v>21</v>
      </c>
      <c r="H44" s="1" t="s">
        <v>22</v>
      </c>
      <c r="I44" s="16" t="s">
        <v>25</v>
      </c>
    </row>
    <row r="45" spans="1:9">
      <c r="A45" s="1" t="s">
        <v>9</v>
      </c>
      <c r="B45" s="1" t="s">
        <v>20</v>
      </c>
      <c r="C45" s="1" t="s">
        <v>18</v>
      </c>
      <c r="D45" s="1">
        <v>2015</v>
      </c>
      <c r="E45" s="2">
        <v>0.41</v>
      </c>
      <c r="F45" s="1" t="s">
        <v>21</v>
      </c>
      <c r="H45" s="1" t="s">
        <v>22</v>
      </c>
      <c r="I45" s="16" t="s">
        <v>25</v>
      </c>
    </row>
    <row r="46" spans="1:9">
      <c r="A46" s="1" t="s">
        <v>9</v>
      </c>
      <c r="B46" s="1" t="s">
        <v>20</v>
      </c>
      <c r="C46" s="1" t="s">
        <v>18</v>
      </c>
      <c r="D46" s="1">
        <v>2014</v>
      </c>
      <c r="E46" s="2">
        <v>0.57999999999999996</v>
      </c>
      <c r="F46" s="1" t="s">
        <v>21</v>
      </c>
      <c r="H46" s="1" t="s">
        <v>22</v>
      </c>
      <c r="I46" s="16" t="s">
        <v>25</v>
      </c>
    </row>
    <row r="47" spans="1:9">
      <c r="A47" s="1" t="s">
        <v>36</v>
      </c>
      <c r="B47" s="1" t="s">
        <v>37</v>
      </c>
      <c r="C47" s="1" t="s">
        <v>18</v>
      </c>
      <c r="D47" s="1">
        <v>2016</v>
      </c>
      <c r="E47" s="2">
        <v>9.6</v>
      </c>
      <c r="F47" s="1" t="s">
        <v>38</v>
      </c>
      <c r="H47" s="1" t="s">
        <v>12</v>
      </c>
      <c r="I47" s="1" t="s">
        <v>39</v>
      </c>
    </row>
    <row r="48" spans="1:9">
      <c r="A48" s="1" t="s">
        <v>36</v>
      </c>
      <c r="B48" s="1" t="s">
        <v>37</v>
      </c>
      <c r="C48" s="1" t="s">
        <v>18</v>
      </c>
      <c r="D48" s="1">
        <v>2017</v>
      </c>
      <c r="E48" s="2">
        <v>8.1</v>
      </c>
      <c r="F48" s="1" t="s">
        <v>38</v>
      </c>
      <c r="H48" s="1" t="s">
        <v>12</v>
      </c>
      <c r="I48" s="1" t="s">
        <v>39</v>
      </c>
    </row>
    <row r="49" spans="1:9">
      <c r="A49" s="1" t="s">
        <v>36</v>
      </c>
      <c r="B49" s="1" t="s">
        <v>37</v>
      </c>
      <c r="C49" s="1" t="s">
        <v>18</v>
      </c>
      <c r="D49" s="1">
        <v>2018</v>
      </c>
      <c r="E49" s="2">
        <v>8</v>
      </c>
      <c r="F49" s="1" t="s">
        <v>38</v>
      </c>
      <c r="H49" s="1" t="s">
        <v>12</v>
      </c>
      <c r="I49" s="1" t="s">
        <v>39</v>
      </c>
    </row>
    <row r="50" spans="1:9">
      <c r="A50" s="1" t="s">
        <v>36</v>
      </c>
      <c r="B50" s="1" t="s">
        <v>37</v>
      </c>
      <c r="C50" s="1" t="s">
        <v>15</v>
      </c>
      <c r="D50" s="1">
        <v>2016</v>
      </c>
      <c r="E50" s="2">
        <v>6.9</v>
      </c>
      <c r="F50" s="1" t="s">
        <v>38</v>
      </c>
      <c r="H50" s="1" t="s">
        <v>12</v>
      </c>
    </row>
    <row r="51" spans="1:9">
      <c r="A51" s="1" t="s">
        <v>36</v>
      </c>
      <c r="B51" s="1" t="s">
        <v>37</v>
      </c>
      <c r="C51" s="1" t="s">
        <v>15</v>
      </c>
      <c r="D51" s="1">
        <v>2017</v>
      </c>
      <c r="E51" s="2">
        <v>7.6</v>
      </c>
      <c r="F51" s="1" t="s">
        <v>38</v>
      </c>
      <c r="H51" s="1" t="s">
        <v>12</v>
      </c>
    </row>
    <row r="52" spans="1:9">
      <c r="A52" s="1" t="s">
        <v>36</v>
      </c>
      <c r="B52" s="1" t="s">
        <v>37</v>
      </c>
      <c r="C52" s="1" t="s">
        <v>15</v>
      </c>
      <c r="D52" s="1">
        <v>2018</v>
      </c>
      <c r="E52" s="2">
        <v>8.5</v>
      </c>
      <c r="F52" s="1" t="s">
        <v>38</v>
      </c>
      <c r="H52" s="1" t="s">
        <v>12</v>
      </c>
    </row>
    <row r="53" spans="1:9">
      <c r="A53" s="1" t="s">
        <v>36</v>
      </c>
      <c r="B53" s="1" t="s">
        <v>40</v>
      </c>
      <c r="C53" s="1" t="s">
        <v>18</v>
      </c>
      <c r="D53" s="1">
        <v>2019</v>
      </c>
      <c r="E53" s="2">
        <v>5284510</v>
      </c>
      <c r="F53" s="1" t="s">
        <v>41</v>
      </c>
      <c r="H53" s="1" t="s">
        <v>235</v>
      </c>
      <c r="I53" s="1" t="s">
        <v>43</v>
      </c>
    </row>
    <row r="54" spans="1:9">
      <c r="A54" s="1" t="s">
        <v>36</v>
      </c>
      <c r="B54" s="1" t="s">
        <v>40</v>
      </c>
      <c r="C54" s="1" t="s">
        <v>18</v>
      </c>
      <c r="D54" s="1">
        <v>2018</v>
      </c>
      <c r="E54" s="2">
        <v>5345592</v>
      </c>
      <c r="F54" s="1" t="s">
        <v>41</v>
      </c>
      <c r="H54" s="1" t="s">
        <v>235</v>
      </c>
      <c r="I54" s="1" t="s">
        <v>44</v>
      </c>
    </row>
    <row r="55" spans="1:9">
      <c r="A55" s="1" t="s">
        <v>36</v>
      </c>
      <c r="B55" s="1" t="s">
        <v>40</v>
      </c>
      <c r="C55" s="1" t="s">
        <v>18</v>
      </c>
      <c r="D55" s="1">
        <v>2017</v>
      </c>
      <c r="E55" s="2">
        <v>6631595</v>
      </c>
      <c r="F55" s="1" t="s">
        <v>41</v>
      </c>
      <c r="H55" s="1" t="s">
        <v>235</v>
      </c>
      <c r="I55" s="1" t="s">
        <v>45</v>
      </c>
    </row>
    <row r="56" spans="1:9">
      <c r="A56" s="1" t="s">
        <v>36</v>
      </c>
      <c r="B56" s="1" t="s">
        <v>40</v>
      </c>
      <c r="C56" s="1" t="s">
        <v>18</v>
      </c>
      <c r="D56" s="1">
        <v>2016</v>
      </c>
      <c r="E56" s="2">
        <v>6770000</v>
      </c>
      <c r="F56" s="1" t="s">
        <v>41</v>
      </c>
      <c r="H56" s="1" t="s">
        <v>235</v>
      </c>
      <c r="I56" s="1" t="s">
        <v>46</v>
      </c>
    </row>
    <row r="57" spans="1:9">
      <c r="A57" s="1" t="s">
        <v>36</v>
      </c>
      <c r="B57" s="1" t="s">
        <v>40</v>
      </c>
      <c r="C57" s="1" t="s">
        <v>18</v>
      </c>
      <c r="D57" s="1">
        <v>2015</v>
      </c>
      <c r="E57" s="2">
        <v>5762000</v>
      </c>
      <c r="F57" s="1" t="s">
        <v>41</v>
      </c>
      <c r="H57" s="1" t="s">
        <v>235</v>
      </c>
      <c r="I57" s="1" t="s">
        <v>47</v>
      </c>
    </row>
    <row r="58" spans="1:9">
      <c r="A58" s="1" t="s">
        <v>36</v>
      </c>
      <c r="B58" s="1" t="s">
        <v>40</v>
      </c>
      <c r="C58" s="1" t="s">
        <v>18</v>
      </c>
      <c r="D58" s="1">
        <v>2014</v>
      </c>
      <c r="E58" s="2">
        <v>5870000</v>
      </c>
      <c r="F58" s="1" t="s">
        <v>41</v>
      </c>
      <c r="H58" s="1" t="s">
        <v>235</v>
      </c>
      <c r="I58" s="1" t="s">
        <v>48</v>
      </c>
    </row>
    <row r="59" spans="1:9">
      <c r="A59" s="1" t="s">
        <v>36</v>
      </c>
      <c r="B59" s="1" t="s">
        <v>40</v>
      </c>
      <c r="C59" s="1" t="s">
        <v>18</v>
      </c>
      <c r="D59" s="1">
        <v>2013</v>
      </c>
      <c r="E59" s="2">
        <v>5990000</v>
      </c>
      <c r="F59" s="1" t="s">
        <v>41</v>
      </c>
      <c r="H59" s="1" t="s">
        <v>235</v>
      </c>
      <c r="I59" s="1" t="s">
        <v>49</v>
      </c>
    </row>
    <row r="60" spans="1:9">
      <c r="A60" s="1" t="s">
        <v>36</v>
      </c>
      <c r="B60" s="1" t="s">
        <v>40</v>
      </c>
      <c r="C60" s="1" t="s">
        <v>18</v>
      </c>
      <c r="D60" s="1">
        <v>2012</v>
      </c>
      <c r="E60" s="2">
        <v>7250000</v>
      </c>
      <c r="F60" s="1" t="s">
        <v>41</v>
      </c>
      <c r="H60" s="1" t="s">
        <v>235</v>
      </c>
      <c r="I60" s="1" t="s">
        <v>50</v>
      </c>
    </row>
    <row r="61" spans="1:9">
      <c r="A61" s="1" t="s">
        <v>36</v>
      </c>
      <c r="B61" s="1" t="s">
        <v>40</v>
      </c>
      <c r="C61" s="1" t="s">
        <v>18</v>
      </c>
      <c r="D61" s="1">
        <v>2011</v>
      </c>
      <c r="E61" s="2">
        <v>6340000</v>
      </c>
      <c r="F61" s="1" t="s">
        <v>41</v>
      </c>
      <c r="H61" s="1" t="s">
        <v>235</v>
      </c>
      <c r="I61" s="1" t="s">
        <v>51</v>
      </c>
    </row>
    <row r="62" spans="1:9">
      <c r="A62" s="1" t="s">
        <v>36</v>
      </c>
      <c r="B62" s="1" t="s">
        <v>40</v>
      </c>
      <c r="C62" s="1" t="s">
        <v>18</v>
      </c>
      <c r="D62" s="1">
        <v>2010</v>
      </c>
      <c r="E62" s="2">
        <v>6500000</v>
      </c>
      <c r="F62" s="1" t="s">
        <v>41</v>
      </c>
      <c r="H62" s="1" t="s">
        <v>235</v>
      </c>
      <c r="I62" s="1" t="s">
        <v>52</v>
      </c>
    </row>
    <row r="63" spans="1:9">
      <c r="A63" s="1" t="s">
        <v>36</v>
      </c>
      <c r="B63" s="1" t="s">
        <v>40</v>
      </c>
      <c r="C63" s="1" t="s">
        <v>18</v>
      </c>
      <c r="D63" s="1">
        <v>2009</v>
      </c>
      <c r="E63" s="2">
        <v>5880516</v>
      </c>
      <c r="F63" s="1" t="s">
        <v>41</v>
      </c>
      <c r="H63" s="1" t="s">
        <v>235</v>
      </c>
      <c r="I63" s="1" t="s">
        <v>53</v>
      </c>
    </row>
    <row r="64" spans="1:9">
      <c r="A64" s="1" t="s">
        <v>36</v>
      </c>
      <c r="B64" s="1" t="s">
        <v>40</v>
      </c>
      <c r="C64" s="1" t="s">
        <v>18</v>
      </c>
      <c r="D64" s="1">
        <v>2008</v>
      </c>
      <c r="E64" s="2">
        <v>5089998</v>
      </c>
      <c r="F64" s="1" t="s">
        <v>41</v>
      </c>
      <c r="H64" s="1" t="s">
        <v>235</v>
      </c>
      <c r="I64" s="1" t="s">
        <v>54</v>
      </c>
    </row>
    <row r="65" spans="1:9">
      <c r="A65" s="1" t="s">
        <v>36</v>
      </c>
      <c r="B65" s="1" t="s">
        <v>40</v>
      </c>
      <c r="C65" s="1" t="s">
        <v>18</v>
      </c>
      <c r="D65" s="1">
        <v>2007</v>
      </c>
      <c r="E65" s="2">
        <v>2799720</v>
      </c>
      <c r="F65" s="1" t="s">
        <v>41</v>
      </c>
      <c r="H65" s="1" t="s">
        <v>235</v>
      </c>
      <c r="I65" s="1" t="s">
        <v>55</v>
      </c>
    </row>
    <row r="66" spans="1:9">
      <c r="A66" s="1" t="s">
        <v>36</v>
      </c>
      <c r="B66" s="1" t="s">
        <v>40</v>
      </c>
      <c r="C66" s="1" t="s">
        <v>18</v>
      </c>
      <c r="D66" s="1">
        <v>2006</v>
      </c>
      <c r="E66" s="2">
        <v>2118152</v>
      </c>
      <c r="F66" s="1" t="s">
        <v>41</v>
      </c>
      <c r="H66" s="1" t="s">
        <v>235</v>
      </c>
      <c r="I66" s="1" t="s">
        <v>56</v>
      </c>
    </row>
    <row r="67" spans="1:9">
      <c r="A67" s="1" t="s">
        <v>36</v>
      </c>
      <c r="B67" s="1" t="s">
        <v>40</v>
      </c>
      <c r="C67" s="1" t="s">
        <v>18</v>
      </c>
      <c r="D67" s="1">
        <v>2005</v>
      </c>
      <c r="E67" s="2">
        <v>2160000</v>
      </c>
      <c r="F67" s="1" t="s">
        <v>41</v>
      </c>
      <c r="H67" s="1" t="s">
        <v>235</v>
      </c>
      <c r="I67" s="1" t="s">
        <v>57</v>
      </c>
    </row>
    <row r="68" spans="1:9">
      <c r="A68" s="1" t="s">
        <v>36</v>
      </c>
      <c r="B68" s="1" t="s">
        <v>40</v>
      </c>
      <c r="C68" s="1" t="s">
        <v>18</v>
      </c>
      <c r="D68" s="1">
        <v>2004</v>
      </c>
      <c r="E68" s="2">
        <v>1870000</v>
      </c>
      <c r="F68" s="1" t="s">
        <v>41</v>
      </c>
      <c r="H68" s="1" t="s">
        <v>235</v>
      </c>
      <c r="I68" s="1" t="s">
        <v>58</v>
      </c>
    </row>
    <row r="69" spans="1:9">
      <c r="A69" s="1" t="s">
        <v>36</v>
      </c>
      <c r="B69" s="1" t="s">
        <v>40</v>
      </c>
      <c r="C69" s="1" t="s">
        <v>18</v>
      </c>
      <c r="D69" s="1">
        <v>2003</v>
      </c>
      <c r="E69" s="2">
        <v>2000000</v>
      </c>
      <c r="F69" s="1" t="s">
        <v>41</v>
      </c>
      <c r="H69" s="1" t="s">
        <v>235</v>
      </c>
      <c r="I69" s="1" t="s">
        <v>59</v>
      </c>
    </row>
    <row r="70" spans="1:9">
      <c r="A70" s="1" t="s">
        <v>36</v>
      </c>
      <c r="B70" s="1" t="s">
        <v>40</v>
      </c>
      <c r="C70" s="1" t="s">
        <v>15</v>
      </c>
      <c r="D70" s="1">
        <v>2019</v>
      </c>
      <c r="E70" s="2">
        <v>6005000</v>
      </c>
      <c r="F70" s="1" t="s">
        <v>41</v>
      </c>
      <c r="H70" s="1" t="s">
        <v>235</v>
      </c>
      <c r="I70" s="1" t="s">
        <v>60</v>
      </c>
    </row>
    <row r="71" spans="1:9">
      <c r="A71" s="1" t="s">
        <v>36</v>
      </c>
      <c r="B71" s="1" t="s">
        <v>40</v>
      </c>
      <c r="C71" s="1" t="s">
        <v>15</v>
      </c>
      <c r="D71" s="1">
        <v>2018</v>
      </c>
      <c r="E71" s="2">
        <v>5625000</v>
      </c>
      <c r="F71" s="1" t="s">
        <v>41</v>
      </c>
      <c r="H71" s="1" t="s">
        <v>235</v>
      </c>
      <c r="I71" s="1" t="s">
        <v>61</v>
      </c>
    </row>
    <row r="72" spans="1:9">
      <c r="A72" s="1" t="s">
        <v>36</v>
      </c>
      <c r="B72" s="1" t="s">
        <v>40</v>
      </c>
      <c r="C72" s="1" t="s">
        <v>15</v>
      </c>
      <c r="D72" s="1">
        <v>2017</v>
      </c>
      <c r="E72" s="2">
        <v>4520000</v>
      </c>
      <c r="F72" s="1" t="s">
        <v>41</v>
      </c>
      <c r="H72" s="1" t="s">
        <v>235</v>
      </c>
      <c r="I72" s="1" t="s">
        <v>62</v>
      </c>
    </row>
    <row r="73" spans="1:9">
      <c r="A73" s="1" t="s">
        <v>36</v>
      </c>
      <c r="B73" s="1" t="s">
        <v>40</v>
      </c>
      <c r="C73" s="1" t="s">
        <v>15</v>
      </c>
      <c r="D73" s="1">
        <v>2016</v>
      </c>
      <c r="E73" s="2">
        <v>5230000</v>
      </c>
      <c r="F73" s="1" t="s">
        <v>41</v>
      </c>
      <c r="H73" s="1" t="s">
        <v>235</v>
      </c>
      <c r="I73" s="1" t="s">
        <v>63</v>
      </c>
    </row>
    <row r="74" spans="1:9">
      <c r="A74" s="1" t="s">
        <v>36</v>
      </c>
      <c r="B74" s="1" t="s">
        <v>40</v>
      </c>
      <c r="C74" s="1" t="s">
        <v>15</v>
      </c>
      <c r="D74" s="1">
        <v>2015</v>
      </c>
      <c r="E74" s="2">
        <v>6100000</v>
      </c>
      <c r="F74" s="1" t="s">
        <v>41</v>
      </c>
      <c r="H74" s="1" t="s">
        <v>235</v>
      </c>
      <c r="I74" s="1" t="s">
        <v>64</v>
      </c>
    </row>
    <row r="75" spans="1:9">
      <c r="A75" s="1" t="s">
        <v>36</v>
      </c>
      <c r="B75" s="1" t="s">
        <v>40</v>
      </c>
      <c r="C75" s="1" t="s">
        <v>15</v>
      </c>
      <c r="D75" s="1">
        <v>2014</v>
      </c>
      <c r="E75" s="2">
        <v>5135000</v>
      </c>
      <c r="F75" s="1" t="s">
        <v>41</v>
      </c>
      <c r="H75" s="1" t="s">
        <v>235</v>
      </c>
      <c r="I75" s="1" t="s">
        <v>65</v>
      </c>
    </row>
    <row r="76" spans="1:9">
      <c r="A76" s="1" t="s">
        <v>36</v>
      </c>
      <c r="B76" s="1" t="s">
        <v>40</v>
      </c>
      <c r="C76" s="1" t="s">
        <v>15</v>
      </c>
      <c r="D76" s="1">
        <v>2013</v>
      </c>
      <c r="E76" s="2">
        <v>4780000</v>
      </c>
      <c r="F76" s="1" t="s">
        <v>41</v>
      </c>
      <c r="H76" s="1" t="s">
        <v>235</v>
      </c>
      <c r="I76" s="1" t="s">
        <v>66</v>
      </c>
    </row>
    <row r="77" spans="1:9">
      <c r="A77" s="1" t="s">
        <v>36</v>
      </c>
      <c r="B77" s="1" t="s">
        <v>40</v>
      </c>
      <c r="C77" s="1" t="s">
        <v>15</v>
      </c>
      <c r="D77" s="1">
        <v>2012</v>
      </c>
      <c r="E77" s="2">
        <v>7779350</v>
      </c>
      <c r="F77" s="1" t="s">
        <v>41</v>
      </c>
      <c r="H77" s="1" t="s">
        <v>235</v>
      </c>
      <c r="I77" s="1" t="s">
        <v>67</v>
      </c>
    </row>
    <row r="78" spans="1:9">
      <c r="A78" s="1" t="s">
        <v>36</v>
      </c>
      <c r="B78" s="1" t="s">
        <v>40</v>
      </c>
      <c r="C78" s="1" t="s">
        <v>15</v>
      </c>
      <c r="D78" s="1">
        <v>2011</v>
      </c>
      <c r="E78" s="2">
        <v>9273154</v>
      </c>
      <c r="F78" s="1" t="s">
        <v>41</v>
      </c>
      <c r="H78" s="1" t="s">
        <v>235</v>
      </c>
      <c r="I78" s="1" t="s">
        <v>68</v>
      </c>
    </row>
    <row r="79" spans="1:9">
      <c r="A79" s="1" t="s">
        <v>36</v>
      </c>
      <c r="B79" s="1" t="s">
        <v>40</v>
      </c>
      <c r="C79" s="1" t="s">
        <v>15</v>
      </c>
      <c r="D79" s="1">
        <v>2010</v>
      </c>
      <c r="E79" s="2">
        <v>3711797</v>
      </c>
      <c r="F79" s="1" t="s">
        <v>41</v>
      </c>
      <c r="H79" s="1" t="s">
        <v>235</v>
      </c>
      <c r="I79" s="1" t="s">
        <v>69</v>
      </c>
    </row>
    <row r="80" spans="1:9">
      <c r="A80" s="1" t="s">
        <v>36</v>
      </c>
      <c r="B80" s="1" t="s">
        <v>40</v>
      </c>
      <c r="C80" s="1" t="s">
        <v>15</v>
      </c>
      <c r="D80" s="1">
        <v>2009</v>
      </c>
      <c r="E80" s="2">
        <v>4573000</v>
      </c>
      <c r="F80" s="1" t="s">
        <v>41</v>
      </c>
      <c r="H80" s="1" t="s">
        <v>235</v>
      </c>
      <c r="I80" s="1" t="s">
        <v>70</v>
      </c>
    </row>
    <row r="81" spans="1:9">
      <c r="A81" s="1" t="s">
        <v>36</v>
      </c>
      <c r="B81" s="1" t="s">
        <v>40</v>
      </c>
      <c r="C81" s="1" t="s">
        <v>15</v>
      </c>
      <c r="D81" s="1">
        <v>2008</v>
      </c>
      <c r="E81" s="2">
        <v>4499130</v>
      </c>
      <c r="F81" s="1" t="s">
        <v>41</v>
      </c>
      <c r="H81" s="1" t="s">
        <v>235</v>
      </c>
      <c r="I81" s="1" t="s">
        <v>71</v>
      </c>
    </row>
    <row r="82" spans="1:9">
      <c r="A82" s="1" t="s">
        <v>36</v>
      </c>
      <c r="B82" s="1" t="s">
        <v>40</v>
      </c>
      <c r="C82" s="1" t="s">
        <v>15</v>
      </c>
      <c r="D82" s="1">
        <v>2007</v>
      </c>
      <c r="E82" s="2">
        <v>3902321</v>
      </c>
      <c r="F82" s="1" t="s">
        <v>41</v>
      </c>
      <c r="H82" s="1" t="s">
        <v>235</v>
      </c>
      <c r="I82" s="1" t="s">
        <v>72</v>
      </c>
    </row>
    <row r="83" spans="1:9">
      <c r="A83" s="1" t="s">
        <v>36</v>
      </c>
      <c r="B83" s="1" t="s">
        <v>40</v>
      </c>
      <c r="C83" s="1" t="s">
        <v>15</v>
      </c>
      <c r="D83" s="1">
        <v>2006</v>
      </c>
      <c r="E83" s="2">
        <v>1329014</v>
      </c>
      <c r="F83" s="1" t="s">
        <v>41</v>
      </c>
      <c r="H83" s="1" t="s">
        <v>235</v>
      </c>
      <c r="I83" s="1" t="s">
        <v>73</v>
      </c>
    </row>
    <row r="84" spans="1:9">
      <c r="A84" s="1" t="s">
        <v>36</v>
      </c>
      <c r="B84" s="1" t="s">
        <v>40</v>
      </c>
      <c r="C84" s="1" t="s">
        <v>15</v>
      </c>
      <c r="D84" s="1">
        <v>2005</v>
      </c>
      <c r="E84" s="2">
        <v>1875000</v>
      </c>
      <c r="F84" s="1" t="s">
        <v>41</v>
      </c>
      <c r="H84" s="1" t="s">
        <v>235</v>
      </c>
      <c r="I84" s="1" t="s">
        <v>74</v>
      </c>
    </row>
    <row r="85" spans="1:9">
      <c r="A85" s="1" t="s">
        <v>36</v>
      </c>
      <c r="B85" s="1" t="s">
        <v>40</v>
      </c>
      <c r="C85" s="1" t="s">
        <v>15</v>
      </c>
      <c r="D85" s="1">
        <v>2004</v>
      </c>
      <c r="E85" s="2">
        <v>1142000</v>
      </c>
      <c r="F85" s="1" t="s">
        <v>41</v>
      </c>
      <c r="H85" s="1" t="s">
        <v>235</v>
      </c>
      <c r="I85" s="1" t="s">
        <v>75</v>
      </c>
    </row>
    <row r="86" spans="1:9">
      <c r="A86" s="1" t="s">
        <v>36</v>
      </c>
      <c r="B86" s="1" t="s">
        <v>40</v>
      </c>
      <c r="C86" s="1" t="s">
        <v>15</v>
      </c>
      <c r="D86" s="1">
        <v>2003</v>
      </c>
      <c r="E86" s="2">
        <v>2924400</v>
      </c>
      <c r="F86" s="1" t="s">
        <v>41</v>
      </c>
      <c r="H86" s="1" t="s">
        <v>235</v>
      </c>
      <c r="I86" s="1" t="s">
        <v>76</v>
      </c>
    </row>
    <row r="87" spans="1:9">
      <c r="A87" s="1" t="s">
        <v>36</v>
      </c>
      <c r="B87" s="1" t="s">
        <v>40</v>
      </c>
      <c r="C87" s="1" t="s">
        <v>11</v>
      </c>
      <c r="D87" s="1">
        <v>2019</v>
      </c>
      <c r="E87" s="2">
        <v>4100000</v>
      </c>
      <c r="F87" s="1" t="s">
        <v>41</v>
      </c>
      <c r="H87" s="1" t="s">
        <v>235</v>
      </c>
      <c r="I87" s="1" t="s">
        <v>77</v>
      </c>
    </row>
    <row r="88" spans="1:9">
      <c r="A88" s="1" t="s">
        <v>36</v>
      </c>
      <c r="B88" s="1" t="s">
        <v>40</v>
      </c>
      <c r="C88" s="1" t="s">
        <v>11</v>
      </c>
      <c r="D88" s="1">
        <v>2018</v>
      </c>
      <c r="E88" s="2">
        <v>3470000</v>
      </c>
      <c r="F88" s="1" t="s">
        <v>41</v>
      </c>
      <c r="H88" s="1" t="s">
        <v>235</v>
      </c>
      <c r="I88" s="1" t="s">
        <v>78</v>
      </c>
    </row>
    <row r="89" spans="1:9">
      <c r="A89" s="1" t="s">
        <v>36</v>
      </c>
      <c r="B89" s="1" t="s">
        <v>40</v>
      </c>
      <c r="C89" s="1" t="s">
        <v>11</v>
      </c>
      <c r="D89" s="1">
        <v>2017</v>
      </c>
      <c r="E89" s="2">
        <v>4090000</v>
      </c>
      <c r="F89" s="1" t="s">
        <v>41</v>
      </c>
      <c r="H89" s="1" t="s">
        <v>235</v>
      </c>
      <c r="I89" s="1" t="s">
        <v>79</v>
      </c>
    </row>
    <row r="90" spans="1:9">
      <c r="A90" s="1" t="s">
        <v>36</v>
      </c>
      <c r="B90" s="1" t="s">
        <v>40</v>
      </c>
      <c r="C90" s="1" t="s">
        <v>11</v>
      </c>
      <c r="D90" s="1">
        <v>2016</v>
      </c>
      <c r="E90" s="2">
        <v>2810000</v>
      </c>
      <c r="F90" s="1" t="s">
        <v>41</v>
      </c>
      <c r="H90" s="1" t="s">
        <v>235</v>
      </c>
      <c r="I90" s="1" t="s">
        <v>80</v>
      </c>
    </row>
    <row r="91" spans="1:9">
      <c r="A91" s="1" t="s">
        <v>36</v>
      </c>
      <c r="B91" s="1" t="s">
        <v>40</v>
      </c>
      <c r="C91" s="1" t="s">
        <v>11</v>
      </c>
      <c r="D91" s="1">
        <v>2015</v>
      </c>
      <c r="E91" s="2">
        <v>2410000</v>
      </c>
      <c r="F91" s="1" t="s">
        <v>41</v>
      </c>
      <c r="H91" s="1" t="s">
        <v>235</v>
      </c>
      <c r="I91" s="1" t="s">
        <v>81</v>
      </c>
    </row>
    <row r="92" spans="1:9">
      <c r="A92" s="1" t="s">
        <v>36</v>
      </c>
      <c r="B92" s="1" t="s">
        <v>40</v>
      </c>
      <c r="C92" s="1" t="s">
        <v>11</v>
      </c>
      <c r="D92" s="1">
        <v>2014</v>
      </c>
      <c r="E92" s="2">
        <v>4790000</v>
      </c>
      <c r="F92" s="1" t="s">
        <v>41</v>
      </c>
      <c r="H92" s="1" t="s">
        <v>235</v>
      </c>
      <c r="I92" s="1" t="s">
        <v>82</v>
      </c>
    </row>
    <row r="93" spans="1:9">
      <c r="A93" s="1" t="s">
        <v>36</v>
      </c>
      <c r="B93" s="1" t="s">
        <v>40</v>
      </c>
      <c r="C93" s="1" t="s">
        <v>11</v>
      </c>
      <c r="D93" s="1">
        <v>2013</v>
      </c>
      <c r="E93" s="2">
        <v>3950000</v>
      </c>
      <c r="F93" s="1" t="s">
        <v>41</v>
      </c>
      <c r="H93" s="1" t="s">
        <v>235</v>
      </c>
      <c r="I93" s="1" t="s">
        <v>83</v>
      </c>
    </row>
    <row r="94" spans="1:9">
      <c r="A94" s="1" t="s">
        <v>36</v>
      </c>
      <c r="B94" s="1" t="s">
        <v>40</v>
      </c>
      <c r="C94" s="1" t="s">
        <v>11</v>
      </c>
      <c r="D94" s="1">
        <v>2012</v>
      </c>
      <c r="E94" s="2">
        <v>4620000</v>
      </c>
      <c r="F94" s="1" t="s">
        <v>41</v>
      </c>
      <c r="H94" s="1" t="s">
        <v>235</v>
      </c>
      <c r="I94" s="1" t="s">
        <v>84</v>
      </c>
    </row>
    <row r="95" spans="1:9">
      <c r="A95" s="1" t="s">
        <v>36</v>
      </c>
      <c r="B95" s="1" t="s">
        <v>40</v>
      </c>
      <c r="C95" s="1" t="s">
        <v>11</v>
      </c>
      <c r="D95" s="1">
        <v>2011</v>
      </c>
      <c r="E95" s="2">
        <v>2460000</v>
      </c>
      <c r="F95" s="1" t="s">
        <v>41</v>
      </c>
      <c r="H95" s="1" t="s">
        <v>235</v>
      </c>
      <c r="I95" s="1" t="s">
        <v>85</v>
      </c>
    </row>
    <row r="96" spans="1:9">
      <c r="A96" s="1" t="s">
        <v>36</v>
      </c>
      <c r="B96" s="1" t="s">
        <v>40</v>
      </c>
      <c r="C96" s="1" t="s">
        <v>11</v>
      </c>
      <c r="D96" s="1">
        <v>2010</v>
      </c>
      <c r="E96" s="2">
        <v>3280000</v>
      </c>
      <c r="F96" s="1" t="s">
        <v>41</v>
      </c>
      <c r="H96" s="1" t="s">
        <v>235</v>
      </c>
      <c r="I96" s="1" t="s">
        <v>86</v>
      </c>
    </row>
    <row r="97" spans="1:9">
      <c r="A97" s="1" t="s">
        <v>36</v>
      </c>
      <c r="B97" s="1" t="s">
        <v>40</v>
      </c>
      <c r="C97" s="1" t="s">
        <v>11</v>
      </c>
      <c r="D97" s="1">
        <v>2009</v>
      </c>
      <c r="E97" s="2">
        <v>3450000</v>
      </c>
      <c r="F97" s="1" t="s">
        <v>41</v>
      </c>
      <c r="H97" s="1" t="s">
        <v>235</v>
      </c>
      <c r="I97" s="1" t="s">
        <v>87</v>
      </c>
    </row>
    <row r="98" spans="1:9">
      <c r="A98" s="1" t="s">
        <v>36</v>
      </c>
      <c r="B98" s="1" t="s">
        <v>40</v>
      </c>
      <c r="C98" s="1" t="s">
        <v>11</v>
      </c>
      <c r="D98" s="1">
        <v>2008</v>
      </c>
      <c r="E98" s="2">
        <v>3080000</v>
      </c>
      <c r="F98" s="1" t="s">
        <v>41</v>
      </c>
      <c r="H98" s="1" t="s">
        <v>235</v>
      </c>
      <c r="I98" s="1" t="s">
        <v>88</v>
      </c>
    </row>
    <row r="99" spans="1:9">
      <c r="A99" s="1" t="s">
        <v>36</v>
      </c>
      <c r="B99" s="1" t="s">
        <v>40</v>
      </c>
      <c r="C99" s="1" t="s">
        <v>11</v>
      </c>
      <c r="D99" s="1">
        <v>2007</v>
      </c>
      <c r="E99" s="2">
        <v>2560000</v>
      </c>
      <c r="F99" s="1" t="s">
        <v>41</v>
      </c>
      <c r="H99" s="1" t="s">
        <v>235</v>
      </c>
      <c r="I99" s="1" t="s">
        <v>89</v>
      </c>
    </row>
    <row r="100" spans="1:9">
      <c r="A100" s="1" t="s">
        <v>36</v>
      </c>
      <c r="B100" s="1" t="s">
        <v>40</v>
      </c>
      <c r="C100" s="1" t="s">
        <v>11</v>
      </c>
      <c r="D100" s="1">
        <v>2006</v>
      </c>
      <c r="E100" s="2">
        <v>2740000</v>
      </c>
      <c r="F100" s="1" t="s">
        <v>41</v>
      </c>
      <c r="H100" s="1" t="s">
        <v>235</v>
      </c>
      <c r="I100" s="1" t="s">
        <v>90</v>
      </c>
    </row>
    <row r="101" spans="1:9">
      <c r="A101" s="1" t="s">
        <v>36</v>
      </c>
      <c r="B101" s="1" t="s">
        <v>40</v>
      </c>
      <c r="C101" s="1" t="s">
        <v>11</v>
      </c>
      <c r="D101" s="1">
        <v>2005</v>
      </c>
      <c r="E101" s="2">
        <v>1860000</v>
      </c>
      <c r="F101" s="1" t="s">
        <v>41</v>
      </c>
      <c r="H101" s="1" t="s">
        <v>235</v>
      </c>
      <c r="I101" s="1" t="s">
        <v>91</v>
      </c>
    </row>
    <row r="102" spans="1:9">
      <c r="A102" s="1" t="s">
        <v>36</v>
      </c>
      <c r="B102" s="1" t="s">
        <v>40</v>
      </c>
      <c r="C102" s="1" t="s">
        <v>11</v>
      </c>
      <c r="D102" s="1">
        <v>2004</v>
      </c>
      <c r="E102" s="2">
        <v>1460000</v>
      </c>
      <c r="F102" s="1" t="s">
        <v>41</v>
      </c>
      <c r="H102" s="1" t="s">
        <v>235</v>
      </c>
      <c r="I102" s="1" t="s">
        <v>92</v>
      </c>
    </row>
    <row r="103" spans="1:9">
      <c r="A103" s="1" t="s">
        <v>36</v>
      </c>
      <c r="B103" s="1" t="s">
        <v>40</v>
      </c>
      <c r="C103" s="1" t="s">
        <v>11</v>
      </c>
      <c r="D103" s="1">
        <v>2003</v>
      </c>
      <c r="E103" s="2">
        <v>1560000</v>
      </c>
      <c r="F103" s="1" t="s">
        <v>41</v>
      </c>
      <c r="H103" s="1" t="s">
        <v>235</v>
      </c>
      <c r="I103" s="1" t="s">
        <v>93</v>
      </c>
    </row>
    <row r="104" spans="1:9">
      <c r="A104" s="1" t="s">
        <v>36</v>
      </c>
      <c r="B104" s="1" t="s">
        <v>40</v>
      </c>
      <c r="C104" s="1" t="s">
        <v>34</v>
      </c>
      <c r="D104" s="1">
        <v>2019</v>
      </c>
      <c r="E104" s="2">
        <v>900000</v>
      </c>
      <c r="F104" s="1" t="s">
        <v>41</v>
      </c>
      <c r="H104" s="1" t="s">
        <v>235</v>
      </c>
      <c r="I104" s="1" t="s">
        <v>94</v>
      </c>
    </row>
    <row r="105" spans="1:9">
      <c r="A105" s="1" t="s">
        <v>36</v>
      </c>
      <c r="B105" s="1" t="s">
        <v>40</v>
      </c>
      <c r="C105" s="1" t="s">
        <v>34</v>
      </c>
      <c r="D105" s="1">
        <v>2018</v>
      </c>
      <c r="E105" s="2">
        <v>1200000</v>
      </c>
      <c r="F105" s="1" t="s">
        <v>41</v>
      </c>
      <c r="H105" s="1" t="s">
        <v>235</v>
      </c>
      <c r="I105" s="1" t="s">
        <v>94</v>
      </c>
    </row>
    <row r="106" spans="1:9">
      <c r="A106" s="1" t="s">
        <v>36</v>
      </c>
      <c r="B106" s="1" t="s">
        <v>40</v>
      </c>
      <c r="C106" s="1" t="s">
        <v>34</v>
      </c>
      <c r="D106" s="1">
        <v>2017</v>
      </c>
      <c r="E106" s="2">
        <v>1230000</v>
      </c>
      <c r="F106" s="1" t="s">
        <v>41</v>
      </c>
      <c r="H106" s="1" t="s">
        <v>235</v>
      </c>
      <c r="I106" s="1" t="s">
        <v>95</v>
      </c>
    </row>
    <row r="107" spans="1:9">
      <c r="A107" s="1" t="s">
        <v>36</v>
      </c>
      <c r="B107" s="1" t="s">
        <v>40</v>
      </c>
      <c r="C107" s="1" t="s">
        <v>34</v>
      </c>
      <c r="D107" s="1">
        <v>2016</v>
      </c>
      <c r="E107" s="2">
        <v>1050000</v>
      </c>
      <c r="F107" s="1" t="s">
        <v>41</v>
      </c>
      <c r="H107" s="1" t="s">
        <v>235</v>
      </c>
      <c r="I107" s="1" t="s">
        <v>96</v>
      </c>
    </row>
    <row r="108" spans="1:9">
      <c r="A108" s="1" t="s">
        <v>36</v>
      </c>
      <c r="B108" s="1" t="s">
        <v>40</v>
      </c>
      <c r="C108" s="1" t="s">
        <v>34</v>
      </c>
      <c r="D108" s="1">
        <v>2015</v>
      </c>
      <c r="E108" s="2">
        <v>920000</v>
      </c>
      <c r="F108" s="1" t="s">
        <v>41</v>
      </c>
      <c r="H108" s="1" t="s">
        <v>235</v>
      </c>
      <c r="I108" s="1" t="s">
        <v>97</v>
      </c>
    </row>
    <row r="109" spans="1:9">
      <c r="A109" s="1" t="s">
        <v>36</v>
      </c>
      <c r="B109" s="1" t="s">
        <v>40</v>
      </c>
      <c r="C109" s="1" t="s">
        <v>34</v>
      </c>
      <c r="D109" s="1">
        <v>2014</v>
      </c>
      <c r="E109" s="2">
        <v>850000</v>
      </c>
      <c r="F109" s="1" t="s">
        <v>41</v>
      </c>
      <c r="H109" s="1" t="s">
        <v>235</v>
      </c>
      <c r="I109" s="1" t="s">
        <v>98</v>
      </c>
    </row>
    <row r="110" spans="1:9">
      <c r="A110" s="1" t="s">
        <v>36</v>
      </c>
      <c r="B110" s="1" t="s">
        <v>40</v>
      </c>
      <c r="C110" s="1" t="s">
        <v>34</v>
      </c>
      <c r="D110" s="1">
        <v>2013</v>
      </c>
      <c r="E110" s="2">
        <v>780000</v>
      </c>
      <c r="F110" s="1" t="s">
        <v>41</v>
      </c>
      <c r="H110" s="1" t="s">
        <v>235</v>
      </c>
      <c r="I110" s="1" t="s">
        <v>99</v>
      </c>
    </row>
    <row r="111" spans="1:9">
      <c r="A111" s="1" t="s">
        <v>36</v>
      </c>
      <c r="B111" s="1" t="s">
        <v>40</v>
      </c>
      <c r="C111" s="1" t="s">
        <v>34</v>
      </c>
      <c r="D111" s="1">
        <v>2012</v>
      </c>
      <c r="E111" s="2">
        <v>1051000</v>
      </c>
      <c r="F111" s="1" t="s">
        <v>41</v>
      </c>
      <c r="H111" s="1" t="s">
        <v>235</v>
      </c>
      <c r="I111" s="1" t="s">
        <v>100</v>
      </c>
    </row>
    <row r="112" spans="1:9">
      <c r="A112" s="1" t="s">
        <v>36</v>
      </c>
      <c r="B112" s="1" t="s">
        <v>40</v>
      </c>
      <c r="C112" s="1" t="s">
        <v>34</v>
      </c>
      <c r="D112" s="1">
        <v>2011</v>
      </c>
      <c r="E112" s="2">
        <v>829031</v>
      </c>
      <c r="F112" s="1" t="s">
        <v>41</v>
      </c>
      <c r="H112" s="1" t="s">
        <v>235</v>
      </c>
      <c r="I112" s="1" t="s">
        <v>101</v>
      </c>
    </row>
    <row r="113" spans="1:9">
      <c r="A113" s="1" t="s">
        <v>36</v>
      </c>
      <c r="B113" s="1" t="s">
        <v>40</v>
      </c>
      <c r="C113" s="1" t="s">
        <v>34</v>
      </c>
      <c r="D113" s="1">
        <v>2010</v>
      </c>
      <c r="E113" s="2">
        <v>821000</v>
      </c>
      <c r="F113" s="1" t="s">
        <v>41</v>
      </c>
      <c r="H113" s="1" t="s">
        <v>235</v>
      </c>
      <c r="I113" s="1" t="s">
        <v>102</v>
      </c>
    </row>
    <row r="114" spans="1:9">
      <c r="A114" s="1" t="s">
        <v>36</v>
      </c>
      <c r="B114" s="1" t="s">
        <v>40</v>
      </c>
      <c r="C114" s="1" t="s">
        <v>34</v>
      </c>
      <c r="D114" s="1">
        <v>2009</v>
      </c>
      <c r="E114" s="2">
        <v>495000</v>
      </c>
      <c r="F114" s="1" t="s">
        <v>41</v>
      </c>
      <c r="H114" s="1" t="s">
        <v>235</v>
      </c>
      <c r="I114" s="1" t="s">
        <v>103</v>
      </c>
    </row>
    <row r="115" spans="1:9">
      <c r="A115" s="1" t="s">
        <v>36</v>
      </c>
      <c r="B115" s="1" t="s">
        <v>40</v>
      </c>
      <c r="C115" s="1" t="s">
        <v>34</v>
      </c>
      <c r="D115" s="1">
        <v>2008</v>
      </c>
      <c r="E115" s="2">
        <v>477000</v>
      </c>
      <c r="F115" s="1" t="s">
        <v>41</v>
      </c>
      <c r="H115" s="1" t="s">
        <v>235</v>
      </c>
      <c r="I115" s="1" t="s">
        <v>104</v>
      </c>
    </row>
    <row r="116" spans="1:9">
      <c r="A116" s="1" t="s">
        <v>36</v>
      </c>
      <c r="B116" s="1" t="s">
        <v>40</v>
      </c>
      <c r="C116" s="1" t="s">
        <v>34</v>
      </c>
      <c r="D116" s="1">
        <v>2007</v>
      </c>
      <c r="E116" s="2">
        <v>422000</v>
      </c>
      <c r="F116" s="1" t="s">
        <v>41</v>
      </c>
      <c r="H116" s="1" t="s">
        <v>235</v>
      </c>
      <c r="I116" s="1" t="s">
        <v>105</v>
      </c>
    </row>
    <row r="117" spans="1:9">
      <c r="A117" s="1" t="s">
        <v>36</v>
      </c>
      <c r="B117" s="1" t="s">
        <v>40</v>
      </c>
      <c r="C117" s="1" t="s">
        <v>34</v>
      </c>
      <c r="D117" s="1">
        <v>2006</v>
      </c>
      <c r="E117" s="2">
        <v>535000</v>
      </c>
      <c r="F117" s="1" t="s">
        <v>41</v>
      </c>
      <c r="H117" s="1" t="s">
        <v>235</v>
      </c>
      <c r="I117" s="1" t="s">
        <v>106</v>
      </c>
    </row>
    <row r="118" spans="1:9">
      <c r="A118" s="1" t="s">
        <v>36</v>
      </c>
      <c r="B118" s="1" t="s">
        <v>40</v>
      </c>
      <c r="C118" s="1" t="s">
        <v>34</v>
      </c>
      <c r="D118" s="1">
        <v>2005</v>
      </c>
      <c r="E118" s="2">
        <v>740000</v>
      </c>
      <c r="F118" s="1" t="s">
        <v>41</v>
      </c>
      <c r="H118" s="1" t="s">
        <v>235</v>
      </c>
      <c r="I118" s="1" t="s">
        <v>107</v>
      </c>
    </row>
    <row r="119" spans="1:9">
      <c r="A119" s="1" t="s">
        <v>36</v>
      </c>
      <c r="B119" s="1" t="s">
        <v>40</v>
      </c>
      <c r="C119" s="1" t="s">
        <v>34</v>
      </c>
      <c r="D119" s="1">
        <v>2004</v>
      </c>
      <c r="E119" s="2">
        <v>530000</v>
      </c>
      <c r="F119" s="1" t="s">
        <v>41</v>
      </c>
      <c r="H119" s="1" t="s">
        <v>235</v>
      </c>
      <c r="I119" s="1" t="s">
        <v>108</v>
      </c>
    </row>
    <row r="120" spans="1:9">
      <c r="A120" s="1" t="s">
        <v>36</v>
      </c>
      <c r="B120" s="1" t="s">
        <v>40</v>
      </c>
      <c r="C120" s="1" t="s">
        <v>34</v>
      </c>
      <c r="D120" s="1">
        <v>2003</v>
      </c>
      <c r="E120" s="2">
        <v>670000</v>
      </c>
      <c r="F120" s="1" t="s">
        <v>41</v>
      </c>
      <c r="H120" s="1" t="s">
        <v>235</v>
      </c>
      <c r="I120" s="1" t="s">
        <v>109</v>
      </c>
    </row>
    <row r="121" spans="1:9" ht="15.75">
      <c r="A121" s="1" t="s">
        <v>36</v>
      </c>
      <c r="B121" s="1" t="s">
        <v>110</v>
      </c>
      <c r="C121" s="1" t="s">
        <v>18</v>
      </c>
      <c r="D121" s="1">
        <v>2018</v>
      </c>
      <c r="E121" s="2">
        <v>59800000</v>
      </c>
      <c r="F121" s="1" t="s">
        <v>111</v>
      </c>
      <c r="H121" s="1" t="s">
        <v>235</v>
      </c>
      <c r="I121" s="9" t="s">
        <v>112</v>
      </c>
    </row>
    <row r="122" spans="1:9">
      <c r="A122" s="1" t="s">
        <v>36</v>
      </c>
      <c r="B122" s="1" t="s">
        <v>110</v>
      </c>
      <c r="C122" s="1" t="s">
        <v>18</v>
      </c>
      <c r="D122" s="1">
        <v>2017</v>
      </c>
      <c r="E122" s="2">
        <v>52400000</v>
      </c>
      <c r="F122" s="1" t="s">
        <v>111</v>
      </c>
      <c r="H122" s="1" t="s">
        <v>235</v>
      </c>
      <c r="I122" s="16" t="s">
        <v>113</v>
      </c>
    </row>
    <row r="123" spans="1:9">
      <c r="A123" s="1" t="s">
        <v>36</v>
      </c>
      <c r="B123" s="1" t="s">
        <v>110</v>
      </c>
      <c r="C123" s="1" t="s">
        <v>18</v>
      </c>
      <c r="D123" s="1">
        <v>2016</v>
      </c>
      <c r="E123" s="2">
        <v>53600000</v>
      </c>
      <c r="F123" s="1" t="s">
        <v>111</v>
      </c>
      <c r="H123" s="1" t="s">
        <v>235</v>
      </c>
      <c r="I123" s="16" t="s">
        <v>114</v>
      </c>
    </row>
    <row r="124" spans="1:9">
      <c r="A124" s="1" t="s">
        <v>36</v>
      </c>
      <c r="B124" s="1" t="s">
        <v>110</v>
      </c>
      <c r="C124" s="1" t="s">
        <v>18</v>
      </c>
      <c r="D124" s="1">
        <v>2015</v>
      </c>
      <c r="E124" s="2">
        <v>48600000</v>
      </c>
      <c r="F124" s="1" t="s">
        <v>111</v>
      </c>
      <c r="H124" s="1" t="s">
        <v>235</v>
      </c>
      <c r="I124" s="16" t="s">
        <v>115</v>
      </c>
    </row>
    <row r="125" spans="1:9">
      <c r="A125" s="1" t="s">
        <v>36</v>
      </c>
      <c r="B125" s="1" t="s">
        <v>110</v>
      </c>
      <c r="C125" s="1" t="s">
        <v>18</v>
      </c>
      <c r="D125" s="1">
        <v>2014</v>
      </c>
      <c r="E125" s="2">
        <v>73400000</v>
      </c>
      <c r="F125" s="1" t="s">
        <v>111</v>
      </c>
      <c r="H125" s="1" t="s">
        <v>235</v>
      </c>
      <c r="I125" s="16" t="s">
        <v>116</v>
      </c>
    </row>
    <row r="126" spans="1:9">
      <c r="A126" s="1" t="s">
        <v>36</v>
      </c>
      <c r="B126" s="1" t="s">
        <v>110</v>
      </c>
      <c r="C126" s="1" t="s">
        <v>15</v>
      </c>
      <c r="D126" s="1">
        <v>2018</v>
      </c>
      <c r="E126" s="2">
        <v>51300000</v>
      </c>
      <c r="F126" s="1" t="s">
        <v>111</v>
      </c>
      <c r="H126" s="1" t="s">
        <v>235</v>
      </c>
      <c r="I126" s="16" t="s">
        <v>17</v>
      </c>
    </row>
    <row r="127" spans="1:9">
      <c r="A127" s="1" t="s">
        <v>36</v>
      </c>
      <c r="B127" s="1" t="s">
        <v>110</v>
      </c>
      <c r="C127" s="1" t="s">
        <v>15</v>
      </c>
      <c r="D127" s="1">
        <v>2017</v>
      </c>
      <c r="E127" s="2">
        <f>52100000+1000000</f>
        <v>53100000</v>
      </c>
      <c r="F127" s="1" t="s">
        <v>111</v>
      </c>
      <c r="H127" s="1" t="s">
        <v>235</v>
      </c>
      <c r="I127" s="16" t="s">
        <v>17</v>
      </c>
    </row>
    <row r="128" spans="1:9">
      <c r="A128" s="1" t="s">
        <v>36</v>
      </c>
      <c r="B128" s="1" t="s">
        <v>110</v>
      </c>
      <c r="C128" s="1" t="s">
        <v>15</v>
      </c>
      <c r="D128" s="1">
        <v>2016</v>
      </c>
      <c r="E128" s="2">
        <v>46100000</v>
      </c>
      <c r="F128" s="1" t="s">
        <v>111</v>
      </c>
      <c r="H128" s="1" t="s">
        <v>235</v>
      </c>
      <c r="I128" s="16" t="s">
        <v>17</v>
      </c>
    </row>
    <row r="129" spans="1:9">
      <c r="A129" s="1" t="s">
        <v>36</v>
      </c>
      <c r="B129" s="1" t="s">
        <v>110</v>
      </c>
      <c r="C129" s="1" t="s">
        <v>15</v>
      </c>
      <c r="D129" s="1">
        <v>2015</v>
      </c>
      <c r="E129" s="2">
        <v>33000000</v>
      </c>
      <c r="F129" s="1" t="s">
        <v>111</v>
      </c>
      <c r="H129" s="1" t="s">
        <v>235</v>
      </c>
      <c r="I129" s="16" t="s">
        <v>17</v>
      </c>
    </row>
    <row r="130" spans="1:9">
      <c r="A130" s="1" t="s">
        <v>36</v>
      </c>
      <c r="B130" s="1" t="s">
        <v>110</v>
      </c>
      <c r="C130" s="1" t="s">
        <v>15</v>
      </c>
      <c r="D130" s="1">
        <v>2014</v>
      </c>
      <c r="E130" s="2">
        <v>31400000</v>
      </c>
      <c r="F130" s="1" t="s">
        <v>111</v>
      </c>
      <c r="H130" s="1" t="s">
        <v>235</v>
      </c>
      <c r="I130" s="16" t="s">
        <v>17</v>
      </c>
    </row>
    <row r="131" spans="1:9">
      <c r="A131" s="1" t="s">
        <v>36</v>
      </c>
      <c r="B131" s="1" t="s">
        <v>110</v>
      </c>
      <c r="C131" s="1" t="s">
        <v>11</v>
      </c>
      <c r="D131" s="1">
        <v>2018</v>
      </c>
      <c r="E131" s="2">
        <v>13755679</v>
      </c>
      <c r="F131" s="1" t="s">
        <v>111</v>
      </c>
      <c r="H131" s="1" t="s">
        <v>235</v>
      </c>
      <c r="I131" s="16" t="s">
        <v>24</v>
      </c>
    </row>
    <row r="132" spans="1:9">
      <c r="A132" s="1" t="s">
        <v>36</v>
      </c>
      <c r="B132" s="1" t="s">
        <v>110</v>
      </c>
      <c r="C132" s="1" t="s">
        <v>11</v>
      </c>
      <c r="D132" s="1">
        <v>2017</v>
      </c>
      <c r="E132" s="2">
        <v>13830536</v>
      </c>
      <c r="F132" s="1" t="s">
        <v>111</v>
      </c>
      <c r="H132" s="1" t="s">
        <v>235</v>
      </c>
      <c r="I132" s="16" t="s">
        <v>24</v>
      </c>
    </row>
    <row r="133" spans="1:9">
      <c r="A133" s="1" t="s">
        <v>36</v>
      </c>
      <c r="B133" s="1" t="s">
        <v>110</v>
      </c>
      <c r="C133" s="1" t="s">
        <v>11</v>
      </c>
      <c r="D133" s="1">
        <v>2016</v>
      </c>
      <c r="E133" s="2">
        <v>12308826</v>
      </c>
      <c r="F133" s="1" t="s">
        <v>111</v>
      </c>
      <c r="H133" s="1" t="s">
        <v>235</v>
      </c>
      <c r="I133" s="16" t="s">
        <v>24</v>
      </c>
    </row>
    <row r="134" spans="1:9">
      <c r="A134" s="1" t="s">
        <v>36</v>
      </c>
      <c r="B134" s="1" t="s">
        <v>110</v>
      </c>
      <c r="C134" s="1" t="s">
        <v>11</v>
      </c>
      <c r="D134" s="1">
        <v>2015</v>
      </c>
      <c r="E134" s="2">
        <v>12774801</v>
      </c>
      <c r="F134" s="1" t="s">
        <v>111</v>
      </c>
      <c r="H134" s="1" t="s">
        <v>235</v>
      </c>
      <c r="I134" s="16" t="s">
        <v>24</v>
      </c>
    </row>
    <row r="135" spans="1:9">
      <c r="A135" s="1" t="s">
        <v>36</v>
      </c>
      <c r="B135" s="1" t="s">
        <v>110</v>
      </c>
      <c r="C135" s="1" t="s">
        <v>11</v>
      </c>
      <c r="D135" s="1">
        <v>2014</v>
      </c>
      <c r="E135" s="2">
        <v>10981356</v>
      </c>
      <c r="F135" s="1" t="s">
        <v>111</v>
      </c>
      <c r="H135" s="1" t="s">
        <v>235</v>
      </c>
      <c r="I135" s="16" t="s">
        <v>24</v>
      </c>
    </row>
    <row r="136" spans="1:9">
      <c r="A136" s="1" t="s">
        <v>36</v>
      </c>
      <c r="B136" s="1" t="s">
        <v>110</v>
      </c>
      <c r="C136" s="1" t="s">
        <v>34</v>
      </c>
      <c r="D136" s="1">
        <v>2018</v>
      </c>
      <c r="E136" s="2">
        <v>12000000</v>
      </c>
      <c r="F136" s="1" t="s">
        <v>111</v>
      </c>
      <c r="H136" s="1" t="s">
        <v>235</v>
      </c>
      <c r="I136" s="16" t="s">
        <v>117</v>
      </c>
    </row>
    <row r="137" spans="1:9">
      <c r="A137" s="1" t="s">
        <v>36</v>
      </c>
      <c r="B137" s="1" t="s">
        <v>110</v>
      </c>
      <c r="C137" s="1" t="s">
        <v>34</v>
      </c>
      <c r="D137" s="1">
        <v>2017</v>
      </c>
      <c r="E137" s="2" t="s">
        <v>118</v>
      </c>
      <c r="F137" s="1" t="s">
        <v>111</v>
      </c>
      <c r="H137" s="1" t="s">
        <v>235</v>
      </c>
    </row>
    <row r="138" spans="1:9">
      <c r="A138" s="1" t="s">
        <v>36</v>
      </c>
      <c r="B138" s="1" t="s">
        <v>110</v>
      </c>
      <c r="C138" s="1" t="s">
        <v>34</v>
      </c>
      <c r="D138" s="1">
        <v>2016</v>
      </c>
      <c r="E138" s="2">
        <v>11000000</v>
      </c>
      <c r="F138" s="1" t="s">
        <v>111</v>
      </c>
      <c r="H138" s="1" t="s">
        <v>235</v>
      </c>
      <c r="I138" s="35" t="s">
        <v>119</v>
      </c>
    </row>
    <row r="139" spans="1:9">
      <c r="A139" s="1" t="s">
        <v>36</v>
      </c>
      <c r="B139" s="1" t="s">
        <v>110</v>
      </c>
      <c r="C139" s="1" t="s">
        <v>34</v>
      </c>
      <c r="D139" s="1">
        <v>2015</v>
      </c>
      <c r="E139" s="2" t="s">
        <v>118</v>
      </c>
      <c r="F139" s="1" t="s">
        <v>111</v>
      </c>
      <c r="H139" s="1" t="s">
        <v>235</v>
      </c>
    </row>
    <row r="140" spans="1:9">
      <c r="A140" s="1" t="s">
        <v>36</v>
      </c>
      <c r="B140" s="1" t="s">
        <v>110</v>
      </c>
      <c r="C140" s="1" t="s">
        <v>34</v>
      </c>
      <c r="D140" s="1">
        <v>2014</v>
      </c>
      <c r="E140" s="2" t="s">
        <v>118</v>
      </c>
      <c r="F140" s="1" t="s">
        <v>111</v>
      </c>
      <c r="H140" s="1" t="s">
        <v>235</v>
      </c>
    </row>
    <row r="141" spans="1:9">
      <c r="B141" s="1" t="s">
        <v>120</v>
      </c>
      <c r="C141" s="1" t="s">
        <v>11</v>
      </c>
      <c r="D141" s="1">
        <v>2018</v>
      </c>
      <c r="E141" s="2">
        <v>54075</v>
      </c>
      <c r="F141" s="1" t="s">
        <v>28</v>
      </c>
    </row>
    <row r="142" spans="1:9">
      <c r="B142" s="1" t="s">
        <v>120</v>
      </c>
      <c r="C142" s="1" t="s">
        <v>11</v>
      </c>
      <c r="D142" s="1">
        <v>2017</v>
      </c>
      <c r="E142" s="2">
        <v>70000</v>
      </c>
      <c r="F142" s="1" t="s">
        <v>28</v>
      </c>
    </row>
    <row r="143" spans="1:9">
      <c r="B143" s="1" t="s">
        <v>120</v>
      </c>
      <c r="C143" s="1" t="s">
        <v>11</v>
      </c>
      <c r="D143" s="1">
        <v>2016</v>
      </c>
      <c r="E143" s="2">
        <v>85112</v>
      </c>
      <c r="F143" s="1" t="s">
        <v>28</v>
      </c>
    </row>
    <row r="144" spans="1:9">
      <c r="B144" s="1" t="s">
        <v>120</v>
      </c>
      <c r="C144" s="1" t="s">
        <v>11</v>
      </c>
      <c r="D144" s="1">
        <v>2015</v>
      </c>
      <c r="E144" s="2">
        <v>88790</v>
      </c>
      <c r="F144" s="1" t="s">
        <v>28</v>
      </c>
    </row>
    <row r="145" spans="2:6">
      <c r="B145" s="1" t="s">
        <v>120</v>
      </c>
      <c r="C145" s="1" t="s">
        <v>11</v>
      </c>
      <c r="D145" s="1">
        <v>2014</v>
      </c>
      <c r="E145" s="2">
        <v>85000</v>
      </c>
      <c r="F145" s="1" t="s">
        <v>28</v>
      </c>
    </row>
  </sheetData>
  <autoFilter ref="A1:I1" xr:uid="{3614E37E-F4C3-4B0E-9466-023FE8460AE8}"/>
  <hyperlinks>
    <hyperlink ref="I7" r:id="rId1" xr:uid="{AD63C49F-8D8B-4BC9-8947-B7EBFB39D731}"/>
    <hyperlink ref="I8" r:id="rId2" xr:uid="{8690527B-FF78-4718-B89C-F11F218C7026}"/>
    <hyperlink ref="I9" r:id="rId3" xr:uid="{7D09EF93-9037-4255-9BFA-CB0DCEAB6E3A}"/>
    <hyperlink ref="I4" r:id="rId4" xr:uid="{496F6C66-78EB-4923-946D-E1048BDA2C42}"/>
    <hyperlink ref="I5" r:id="rId5" display="https://web.archive.org/web/20181222125539/http:/www.nexteraenergy.com/sustainability/employees.html" xr:uid="{5C70EA34-C58D-4FCF-87E1-6EF17929F2C6}"/>
    <hyperlink ref="I6" r:id="rId6" display="https://web.archive.org/web/20180411205329/http:/www.nexteraenergy.com/sustainability/employees.html" xr:uid="{260D5751-2044-4773-835B-17C85CDDF921}"/>
    <hyperlink ref="I12" r:id="rId7" xr:uid="{81B64266-D90F-4C78-AF79-1E8489643B78}"/>
    <hyperlink ref="I13" r:id="rId8" xr:uid="{669EE161-BE51-4666-8ECE-2EA07DEDB0ED}"/>
    <hyperlink ref="I14" r:id="rId9" xr:uid="{48EE3DCF-B4BB-4201-B3A4-26976D452D9C}"/>
    <hyperlink ref="I15" r:id="rId10" xr:uid="{EB2CE66B-CB0C-4E03-BC64-330BE3DC54CD}"/>
    <hyperlink ref="I22" r:id="rId11" xr:uid="{C6C8941D-1414-4B60-BD1F-563EEEFD09CE}"/>
    <hyperlink ref="I23" r:id="rId12" xr:uid="{F2849B77-D3B8-4E17-B80B-584E0D728339}"/>
    <hyperlink ref="I24" r:id="rId13" xr:uid="{CCB0BFB9-B035-48A8-9ED8-A908259B89EA}"/>
    <hyperlink ref="I25" r:id="rId14" xr:uid="{7E70D063-AB83-44BC-A9F7-434C17679798}"/>
    <hyperlink ref="I26" r:id="rId15" xr:uid="{AAFE54A6-EB53-4006-B940-18FABAD2714F}"/>
    <hyperlink ref="I27" r:id="rId16" xr:uid="{99F355D7-D45C-45CF-9E0C-BB4D535FC561}"/>
    <hyperlink ref="I28" r:id="rId17" xr:uid="{78B656E6-D02F-4CA8-8E07-D347A6DB0B5F}"/>
    <hyperlink ref="I29" r:id="rId18" xr:uid="{8702312F-37D7-4941-B9DD-9DF952096F0B}"/>
    <hyperlink ref="I30" r:id="rId19" xr:uid="{F11CA0A8-7E7D-40D5-9287-757A1946A6FE}"/>
    <hyperlink ref="I31" r:id="rId20" xr:uid="{6CE3169A-C3C2-4E4F-8948-57E06FF85F39}"/>
    <hyperlink ref="I18" r:id="rId21" xr:uid="{8560F376-346F-40C6-843D-0FC57C04F624}"/>
    <hyperlink ref="I17" r:id="rId22" xr:uid="{B50739E6-A0B4-45E2-A003-DEAC50733FF4}"/>
    <hyperlink ref="I32" r:id="rId23" xr:uid="{DBF85F9E-04F0-4CBF-8AE6-C8D3F624864C}"/>
    <hyperlink ref="I35" r:id="rId24" xr:uid="{9F647AEE-479A-4A43-A3F8-5BA14581A0C8}"/>
    <hyperlink ref="I36" r:id="rId25" xr:uid="{79CAF495-FE2C-439D-9D51-355051EBE951}"/>
    <hyperlink ref="I37" r:id="rId26" xr:uid="{15C4F65C-EF9B-431B-A06D-DEB2F0028BB0}"/>
    <hyperlink ref="I38" r:id="rId27" xr:uid="{EC42F465-3BB3-4DD2-A0CE-AFE557E7DDFE}"/>
    <hyperlink ref="I39" r:id="rId28" xr:uid="{9498ECAA-5AFF-412A-B18E-A123EE068CA6}"/>
    <hyperlink ref="I40" r:id="rId29" xr:uid="{0BC4AD16-228F-4A84-BDDD-EE48A7140C7E}"/>
    <hyperlink ref="I41" r:id="rId30" xr:uid="{A29860F6-4749-4449-B5B9-9C1D5C6BC5D4}"/>
    <hyperlink ref="I42" r:id="rId31" xr:uid="{71347760-B1FA-416D-969B-100D0D5E5602}"/>
    <hyperlink ref="I43" r:id="rId32" xr:uid="{C30FFA1B-A472-4B6C-AA27-72C84519A732}"/>
    <hyperlink ref="I46" r:id="rId33" xr:uid="{49923767-8C15-49CE-948B-DD4B32ED0C33}"/>
    <hyperlink ref="I44" r:id="rId34" xr:uid="{877E62A6-7777-4264-96CF-162E87146206}"/>
    <hyperlink ref="I45" r:id="rId35" xr:uid="{58794EA9-236E-4C13-88D0-7F54B8F3B837}"/>
    <hyperlink ref="I126" r:id="rId36" xr:uid="{52749570-B6FF-4656-A196-02EF78BA2BF3}"/>
    <hyperlink ref="I127" r:id="rId37" xr:uid="{34288365-721C-4D45-ACCB-DDDD8CC55B22}"/>
    <hyperlink ref="I128" r:id="rId38" xr:uid="{671A15A5-26F7-4A39-ACA4-7739CACE39A5}"/>
    <hyperlink ref="I129" r:id="rId39" xr:uid="{35EB26F7-C1A9-4C15-9C21-7C0CD8D8AB94}"/>
    <hyperlink ref="I130" r:id="rId40" xr:uid="{1FD8D606-4D64-432B-A93A-C9C5E5322E43}"/>
    <hyperlink ref="I122" r:id="rId41" xr:uid="{C8E88959-D889-4AC9-A8D2-008C7E8AA02D}"/>
    <hyperlink ref="I121" r:id="rId42" xr:uid="{90EAB8A4-165F-4610-B2FE-5C81C4C40A3B}"/>
    <hyperlink ref="I123" r:id="rId43" xr:uid="{73352809-36DF-47B6-ABAF-2DEAACACD66E}"/>
    <hyperlink ref="I124" r:id="rId44" xr:uid="{F89013E1-123D-4695-9369-C79CB0D43A43}"/>
    <hyperlink ref="I125" r:id="rId45" xr:uid="{D05065B0-A283-4790-B673-7306B5BC7A72}"/>
    <hyperlink ref="I136" r:id="rId46" xr:uid="{BED7328D-1A6C-4A41-A990-74620A9BC905}"/>
    <hyperlink ref="I138" r:id="rId47" display="https://web.archive.org/web/20170508030716/https:/www.coned.com/en/community-affairs/partnerships/conedison-grants-volunteerism" xr:uid="{F127592C-0172-4F55-B258-9FB63F08221F}"/>
    <hyperlink ref="I131" r:id="rId48" xr:uid="{58FE3348-D1DB-479A-ADC9-001972A28948}"/>
    <hyperlink ref="I132:I135" r:id="rId49" display="http://www.nexteraenergy.com/sustainability/overview/about-this-report/by-the-numbers.html" xr:uid="{5E0E2C56-CBCF-40A5-8ABB-05EDCF4A64DC}"/>
    <hyperlink ref="I33" r:id="rId50" xr:uid="{331FDD2D-B3CC-4A59-A653-48A0C33A726E}"/>
    <hyperlink ref="I34" r:id="rId51" xr:uid="{24FFE12F-8846-40BF-9498-493A4B6F2B18}"/>
  </hyperlinks>
  <pageMargins left="0.7" right="0.7" top="0.75" bottom="0.75" header="0.3" footer="0.3"/>
  <pageSetup orientation="landscape" horizontalDpi="0" verticalDpi="0"/>
  <legacy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2D6-8DA0-FA4C-A633-74CFE4200CA0}">
  <dimension ref="A1:J225"/>
  <sheetViews>
    <sheetView topLeftCell="A10" zoomScale="90" workbookViewId="0">
      <selection activeCell="I35" sqref="I35"/>
    </sheetView>
  </sheetViews>
  <sheetFormatPr defaultColWidth="11" defaultRowHeight="15"/>
  <cols>
    <col min="1" max="1" width="11" style="1"/>
    <col min="2" max="2" width="46.375" style="1" bestFit="1" customWidth="1"/>
    <col min="3" max="3" width="11" style="1"/>
    <col min="4" max="4" width="10.375" style="1" bestFit="1" customWidth="1"/>
    <col min="5" max="5" width="32.625" style="8" bestFit="1" customWidth="1"/>
    <col min="6" max="6" width="25.125" style="1" bestFit="1" customWidth="1"/>
    <col min="7" max="7" width="15.875" style="1" bestFit="1" customWidth="1"/>
    <col min="8" max="8" width="15.5" style="1" bestFit="1" customWidth="1"/>
    <col min="9" max="9" width="120.125" style="1" bestFit="1" customWidth="1"/>
    <col min="10" max="10" width="11.5" style="12" bestFit="1" customWidth="1"/>
    <col min="11" max="16384" width="11" style="12"/>
  </cols>
  <sheetData>
    <row r="1" spans="1:10" s="151" customFormat="1" ht="14.25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121</v>
      </c>
      <c r="B2" s="86" t="s">
        <v>122</v>
      </c>
      <c r="C2" s="86" t="s">
        <v>18</v>
      </c>
      <c r="D2" s="86">
        <v>2008</v>
      </c>
      <c r="E2" s="116">
        <v>69</v>
      </c>
      <c r="F2" s="86" t="s">
        <v>123</v>
      </c>
      <c r="G2" s="116">
        <f t="shared" ref="G2:G11" si="0">E2</f>
        <v>69</v>
      </c>
      <c r="H2" s="86" t="s">
        <v>124</v>
      </c>
      <c r="I2" s="86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2009</v>
      </c>
      <c r="E3" s="117">
        <v>61.9</v>
      </c>
      <c r="F3" s="90" t="s">
        <v>123</v>
      </c>
      <c r="G3" s="117">
        <f t="shared" si="0"/>
        <v>61.9</v>
      </c>
      <c r="H3" s="90" t="s">
        <v>124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2010</v>
      </c>
      <c r="E4" s="117">
        <v>59.9</v>
      </c>
      <c r="F4" s="90" t="s">
        <v>123</v>
      </c>
      <c r="G4" s="117">
        <f t="shared" si="0"/>
        <v>59.9</v>
      </c>
      <c r="H4" s="90" t="s">
        <v>124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2011</v>
      </c>
      <c r="E5" s="117">
        <v>58.1</v>
      </c>
      <c r="F5" s="90" t="s">
        <v>123</v>
      </c>
      <c r="G5" s="117">
        <f t="shared" si="0"/>
        <v>58.1</v>
      </c>
      <c r="H5" s="90" t="s">
        <v>124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2012</v>
      </c>
      <c r="E6" s="117">
        <v>43.6</v>
      </c>
      <c r="F6" s="90" t="s">
        <v>123</v>
      </c>
      <c r="G6" s="117">
        <f t="shared" si="0"/>
        <v>43.6</v>
      </c>
      <c r="H6" s="90" t="s">
        <v>124</v>
      </c>
      <c r="I6" s="90" t="s">
        <v>125</v>
      </c>
    </row>
    <row r="7" spans="1:10" s="90" customFormat="1">
      <c r="A7" s="89" t="s">
        <v>121</v>
      </c>
      <c r="B7" s="90" t="s">
        <v>122</v>
      </c>
      <c r="C7" s="90" t="s">
        <v>18</v>
      </c>
      <c r="D7" s="90">
        <v>2013</v>
      </c>
      <c r="E7" s="117">
        <v>42.1</v>
      </c>
      <c r="F7" s="90" t="s">
        <v>123</v>
      </c>
      <c r="G7" s="117">
        <f t="shared" si="0"/>
        <v>42.1</v>
      </c>
      <c r="H7" s="90" t="s">
        <v>124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18</v>
      </c>
      <c r="D8" s="90">
        <v>2014</v>
      </c>
      <c r="E8" s="117">
        <v>42.3</v>
      </c>
      <c r="F8" s="90" t="s">
        <v>123</v>
      </c>
      <c r="G8" s="117">
        <f t="shared" si="0"/>
        <v>42.3</v>
      </c>
      <c r="H8" s="90" t="s">
        <v>124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18</v>
      </c>
      <c r="D9" s="90">
        <v>2015</v>
      </c>
      <c r="E9" s="117">
        <v>35.200000000000003</v>
      </c>
      <c r="F9" s="90" t="s">
        <v>123</v>
      </c>
      <c r="G9" s="117">
        <f t="shared" si="0"/>
        <v>35.200000000000003</v>
      </c>
      <c r="H9" s="90" t="s">
        <v>124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18</v>
      </c>
      <c r="D10" s="90">
        <v>2016</v>
      </c>
      <c r="E10" s="117">
        <v>33.700000000000003</v>
      </c>
      <c r="F10" s="90" t="s">
        <v>123</v>
      </c>
      <c r="G10" s="117">
        <f t="shared" si="0"/>
        <v>33.700000000000003</v>
      </c>
      <c r="H10" s="90" t="s">
        <v>124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18</v>
      </c>
      <c r="D11" s="90">
        <v>2017</v>
      </c>
      <c r="E11" s="117">
        <v>33.200000000000003</v>
      </c>
      <c r="F11" s="90" t="s">
        <v>123</v>
      </c>
      <c r="G11" s="117">
        <f t="shared" si="0"/>
        <v>33.200000000000003</v>
      </c>
      <c r="H11" s="90" t="s">
        <v>124</v>
      </c>
      <c r="I11" s="90" t="s">
        <v>125</v>
      </c>
    </row>
    <row r="12" spans="1:10" s="90" customFormat="1">
      <c r="A12" s="89" t="s">
        <v>121</v>
      </c>
      <c r="B12" s="90" t="s">
        <v>122</v>
      </c>
      <c r="C12" s="90" t="s">
        <v>18</v>
      </c>
      <c r="D12" s="90">
        <v>2018</v>
      </c>
      <c r="E12" s="117">
        <v>30.3</v>
      </c>
      <c r="F12" s="90" t="s">
        <v>123</v>
      </c>
      <c r="G12" s="117">
        <v>30.3</v>
      </c>
      <c r="H12" s="90" t="s">
        <v>124</v>
      </c>
      <c r="I12" s="90" t="s">
        <v>126</v>
      </c>
      <c r="J12" s="92"/>
    </row>
    <row r="13" spans="1:10" s="90" customFormat="1">
      <c r="A13" s="89" t="s">
        <v>121</v>
      </c>
      <c r="B13" s="90" t="s">
        <v>122</v>
      </c>
      <c r="C13" s="90" t="s">
        <v>15</v>
      </c>
      <c r="D13" s="90">
        <v>2008</v>
      </c>
      <c r="E13" s="117">
        <v>5.2</v>
      </c>
      <c r="F13" s="90" t="s">
        <v>123</v>
      </c>
      <c r="G13" s="117">
        <f t="shared" ref="G13:G22" si="1">E13</f>
        <v>5.2</v>
      </c>
      <c r="H13" s="90" t="s">
        <v>124</v>
      </c>
      <c r="I13" s="90" t="s">
        <v>125</v>
      </c>
      <c r="J13" s="92"/>
    </row>
    <row r="14" spans="1:10" s="90" customFormat="1">
      <c r="A14" s="89" t="s">
        <v>121</v>
      </c>
      <c r="B14" s="90" t="s">
        <v>122</v>
      </c>
      <c r="C14" s="90" t="s">
        <v>15</v>
      </c>
      <c r="D14" s="90">
        <v>2009</v>
      </c>
      <c r="E14" s="117">
        <v>4.5999999999999996</v>
      </c>
      <c r="F14" s="90" t="s">
        <v>123</v>
      </c>
      <c r="G14" s="117">
        <f t="shared" si="1"/>
        <v>4.5999999999999996</v>
      </c>
      <c r="H14" s="90" t="s">
        <v>124</v>
      </c>
      <c r="I14" s="90" t="s">
        <v>125</v>
      </c>
      <c r="J14" s="92"/>
    </row>
    <row r="15" spans="1:10" s="90" customFormat="1">
      <c r="A15" s="89" t="s">
        <v>121</v>
      </c>
      <c r="B15" s="90" t="s">
        <v>122</v>
      </c>
      <c r="C15" s="90" t="s">
        <v>15</v>
      </c>
      <c r="D15" s="90">
        <v>2010</v>
      </c>
      <c r="E15" s="117">
        <v>4.8</v>
      </c>
      <c r="F15" s="90" t="s">
        <v>123</v>
      </c>
      <c r="G15" s="117">
        <f t="shared" si="1"/>
        <v>4.8</v>
      </c>
      <c r="H15" s="90" t="s">
        <v>124</v>
      </c>
      <c r="I15" s="90" t="s">
        <v>125</v>
      </c>
      <c r="J15" s="92"/>
    </row>
    <row r="16" spans="1:10" s="90" customFormat="1">
      <c r="A16" s="89" t="s">
        <v>121</v>
      </c>
      <c r="B16" s="90" t="s">
        <v>122</v>
      </c>
      <c r="C16" s="90" t="s">
        <v>15</v>
      </c>
      <c r="D16" s="90">
        <v>2011</v>
      </c>
      <c r="E16" s="117">
        <v>3.2</v>
      </c>
      <c r="F16" s="90" t="s">
        <v>123</v>
      </c>
      <c r="G16" s="117">
        <f t="shared" si="1"/>
        <v>3.2</v>
      </c>
      <c r="H16" s="90" t="s">
        <v>124</v>
      </c>
      <c r="I16" s="90" t="s">
        <v>125</v>
      </c>
      <c r="J16" s="92"/>
    </row>
    <row r="17" spans="1:9" s="90" customFormat="1">
      <c r="A17" s="89" t="s">
        <v>121</v>
      </c>
      <c r="B17" s="90" t="s">
        <v>122</v>
      </c>
      <c r="C17" s="90" t="s">
        <v>15</v>
      </c>
      <c r="D17" s="90">
        <v>2012</v>
      </c>
      <c r="E17" s="117">
        <v>4</v>
      </c>
      <c r="F17" s="90" t="s">
        <v>123</v>
      </c>
      <c r="G17" s="117">
        <f t="shared" si="1"/>
        <v>4</v>
      </c>
      <c r="H17" s="90" t="s">
        <v>124</v>
      </c>
      <c r="I17" s="90" t="s">
        <v>125</v>
      </c>
    </row>
    <row r="18" spans="1:9" s="90" customFormat="1">
      <c r="A18" s="89" t="s">
        <v>121</v>
      </c>
      <c r="B18" s="90" t="s">
        <v>122</v>
      </c>
      <c r="C18" s="90" t="s">
        <v>15</v>
      </c>
      <c r="D18" s="90">
        <v>2013</v>
      </c>
      <c r="E18" s="117">
        <v>4.8</v>
      </c>
      <c r="F18" s="90" t="s">
        <v>123</v>
      </c>
      <c r="G18" s="117">
        <f t="shared" si="1"/>
        <v>4.8</v>
      </c>
      <c r="H18" s="90" t="s">
        <v>124</v>
      </c>
      <c r="I18" s="90" t="s">
        <v>125</v>
      </c>
    </row>
    <row r="19" spans="1:9" s="90" customFormat="1">
      <c r="A19" s="89" t="s">
        <v>121</v>
      </c>
      <c r="B19" s="90" t="s">
        <v>122</v>
      </c>
      <c r="C19" s="90" t="s">
        <v>15</v>
      </c>
      <c r="D19" s="90">
        <v>2014</v>
      </c>
      <c r="E19" s="117">
        <v>0.1</v>
      </c>
      <c r="F19" s="90" t="s">
        <v>123</v>
      </c>
      <c r="G19" s="117">
        <f t="shared" si="1"/>
        <v>0.1</v>
      </c>
      <c r="H19" s="90" t="s">
        <v>124</v>
      </c>
      <c r="I19" s="90" t="s">
        <v>125</v>
      </c>
    </row>
    <row r="20" spans="1:9" s="90" customFormat="1">
      <c r="A20" s="89" t="s">
        <v>121</v>
      </c>
      <c r="B20" s="90" t="s">
        <v>122</v>
      </c>
      <c r="C20" s="90" t="s">
        <v>15</v>
      </c>
      <c r="D20" s="90">
        <v>2015</v>
      </c>
      <c r="E20" s="117">
        <v>0.1</v>
      </c>
      <c r="F20" s="90" t="s">
        <v>123</v>
      </c>
      <c r="G20" s="117">
        <f t="shared" si="1"/>
        <v>0.1</v>
      </c>
      <c r="H20" s="90" t="s">
        <v>124</v>
      </c>
      <c r="I20" s="90" t="s">
        <v>125</v>
      </c>
    </row>
    <row r="21" spans="1:9" s="90" customFormat="1">
      <c r="A21" s="89" t="s">
        <v>121</v>
      </c>
      <c r="B21" s="90" t="s">
        <v>122</v>
      </c>
      <c r="C21" s="90" t="s">
        <v>15</v>
      </c>
      <c r="D21" s="90">
        <v>2016</v>
      </c>
      <c r="E21" s="117">
        <v>0.1</v>
      </c>
      <c r="F21" s="90" t="s">
        <v>123</v>
      </c>
      <c r="G21" s="117">
        <f t="shared" si="1"/>
        <v>0.1</v>
      </c>
      <c r="H21" s="90" t="s">
        <v>124</v>
      </c>
      <c r="I21" s="90" t="s">
        <v>125</v>
      </c>
    </row>
    <row r="22" spans="1:9" s="90" customFormat="1">
      <c r="A22" s="89" t="s">
        <v>121</v>
      </c>
      <c r="B22" s="90" t="s">
        <v>122</v>
      </c>
      <c r="C22" s="90" t="s">
        <v>15</v>
      </c>
      <c r="D22" s="90">
        <v>2017</v>
      </c>
      <c r="E22" s="117">
        <v>0</v>
      </c>
      <c r="F22" s="90" t="s">
        <v>123</v>
      </c>
      <c r="G22" s="117">
        <f t="shared" si="1"/>
        <v>0</v>
      </c>
      <c r="H22" s="90" t="s">
        <v>124</v>
      </c>
      <c r="I22" s="90" t="s">
        <v>125</v>
      </c>
    </row>
    <row r="23" spans="1:9" s="90" customFormat="1">
      <c r="A23" s="89" t="s">
        <v>121</v>
      </c>
      <c r="B23" s="90" t="s">
        <v>122</v>
      </c>
      <c r="C23" s="90" t="s">
        <v>15</v>
      </c>
      <c r="D23" s="90">
        <v>2018</v>
      </c>
      <c r="E23" s="117">
        <v>0</v>
      </c>
      <c r="F23" s="90" t="s">
        <v>123</v>
      </c>
      <c r="G23" s="90">
        <v>0</v>
      </c>
      <c r="H23" s="90" t="s">
        <v>124</v>
      </c>
      <c r="I23" s="92" t="s">
        <v>127</v>
      </c>
    </row>
    <row r="24" spans="1:9" s="90" customFormat="1">
      <c r="A24" s="89" t="s">
        <v>121</v>
      </c>
      <c r="B24" s="90" t="s">
        <v>122</v>
      </c>
      <c r="C24" s="90" t="s">
        <v>11</v>
      </c>
      <c r="D24" s="90">
        <v>2008</v>
      </c>
      <c r="E24" s="117">
        <v>4.3</v>
      </c>
      <c r="F24" s="90" t="s">
        <v>123</v>
      </c>
      <c r="G24" s="117">
        <f t="shared" ref="G24:G34" si="2">E24</f>
        <v>4.3</v>
      </c>
      <c r="H24" s="90" t="s">
        <v>124</v>
      </c>
      <c r="I24" s="90" t="s">
        <v>125</v>
      </c>
    </row>
    <row r="25" spans="1:9" s="90" customFormat="1">
      <c r="A25" s="89" t="s">
        <v>121</v>
      </c>
      <c r="B25" s="90" t="s">
        <v>122</v>
      </c>
      <c r="C25" s="90" t="s">
        <v>11</v>
      </c>
      <c r="D25" s="90">
        <v>2009</v>
      </c>
      <c r="E25" s="117">
        <v>3.9</v>
      </c>
      <c r="F25" s="90" t="s">
        <v>123</v>
      </c>
      <c r="G25" s="117">
        <f t="shared" si="2"/>
        <v>3.9</v>
      </c>
      <c r="H25" s="90" t="s">
        <v>124</v>
      </c>
      <c r="I25" s="90" t="s">
        <v>125</v>
      </c>
    </row>
    <row r="26" spans="1:9" s="90" customFormat="1">
      <c r="A26" s="89" t="s">
        <v>121</v>
      </c>
      <c r="B26" s="90" t="s">
        <v>122</v>
      </c>
      <c r="C26" s="90" t="s">
        <v>11</v>
      </c>
      <c r="D26" s="90">
        <v>2010</v>
      </c>
      <c r="E26" s="117">
        <v>3.8</v>
      </c>
      <c r="F26" s="90" t="s">
        <v>123</v>
      </c>
      <c r="G26" s="117">
        <f t="shared" si="2"/>
        <v>3.8</v>
      </c>
      <c r="H26" s="90" t="s">
        <v>124</v>
      </c>
      <c r="I26" s="90" t="s">
        <v>125</v>
      </c>
    </row>
    <row r="27" spans="1:9" s="90" customFormat="1">
      <c r="A27" s="89" t="s">
        <v>121</v>
      </c>
      <c r="B27" s="90" t="s">
        <v>122</v>
      </c>
      <c r="C27" s="90" t="s">
        <v>11</v>
      </c>
      <c r="D27" s="90">
        <v>2011</v>
      </c>
      <c r="E27" s="117">
        <v>3.4</v>
      </c>
      <c r="F27" s="90" t="s">
        <v>123</v>
      </c>
      <c r="G27" s="117">
        <f t="shared" si="2"/>
        <v>3.4</v>
      </c>
      <c r="H27" s="90" t="s">
        <v>124</v>
      </c>
      <c r="I27" s="90" t="s">
        <v>125</v>
      </c>
    </row>
    <row r="28" spans="1:9" s="90" customFormat="1">
      <c r="A28" s="89" t="s">
        <v>121</v>
      </c>
      <c r="B28" s="90" t="s">
        <v>122</v>
      </c>
      <c r="C28" s="90" t="s">
        <v>11</v>
      </c>
      <c r="D28" s="90">
        <v>2012</v>
      </c>
      <c r="E28" s="117">
        <v>2.9</v>
      </c>
      <c r="F28" s="90" t="s">
        <v>123</v>
      </c>
      <c r="G28" s="117">
        <f t="shared" si="2"/>
        <v>2.9</v>
      </c>
      <c r="H28" s="90" t="s">
        <v>124</v>
      </c>
      <c r="I28" s="90" t="s">
        <v>125</v>
      </c>
    </row>
    <row r="29" spans="1:9" s="90" customFormat="1">
      <c r="A29" s="89" t="s">
        <v>121</v>
      </c>
      <c r="B29" s="90" t="s">
        <v>122</v>
      </c>
      <c r="C29" s="90" t="s">
        <v>11</v>
      </c>
      <c r="D29" s="90">
        <v>2013</v>
      </c>
      <c r="E29" s="117">
        <v>2.9</v>
      </c>
      <c r="F29" s="90" t="s">
        <v>123</v>
      </c>
      <c r="G29" s="117">
        <f t="shared" si="2"/>
        <v>2.9</v>
      </c>
      <c r="H29" s="90" t="s">
        <v>124</v>
      </c>
      <c r="I29" s="90" t="s">
        <v>125</v>
      </c>
    </row>
    <row r="30" spans="1:9" s="90" customFormat="1">
      <c r="A30" s="89" t="s">
        <v>121</v>
      </c>
      <c r="B30" s="90" t="s">
        <v>122</v>
      </c>
      <c r="C30" s="90" t="s">
        <v>11</v>
      </c>
      <c r="D30" s="90">
        <v>2014</v>
      </c>
      <c r="E30" s="117">
        <v>2.5</v>
      </c>
      <c r="F30" s="90" t="s">
        <v>123</v>
      </c>
      <c r="G30" s="117">
        <f t="shared" si="2"/>
        <v>2.5</v>
      </c>
      <c r="H30" s="90" t="s">
        <v>124</v>
      </c>
      <c r="I30" s="92" t="s">
        <v>24</v>
      </c>
    </row>
    <row r="31" spans="1:9" s="90" customFormat="1">
      <c r="A31" s="89" t="s">
        <v>121</v>
      </c>
      <c r="B31" s="90" t="s">
        <v>122</v>
      </c>
      <c r="C31" s="90" t="s">
        <v>11</v>
      </c>
      <c r="D31" s="90">
        <v>2015</v>
      </c>
      <c r="E31" s="117">
        <v>2.7</v>
      </c>
      <c r="F31" s="90" t="s">
        <v>123</v>
      </c>
      <c r="G31" s="117">
        <f t="shared" si="2"/>
        <v>2.7</v>
      </c>
      <c r="H31" s="90" t="s">
        <v>124</v>
      </c>
      <c r="I31" s="92" t="s">
        <v>24</v>
      </c>
    </row>
    <row r="32" spans="1:9" s="90" customFormat="1">
      <c r="A32" s="89" t="s">
        <v>121</v>
      </c>
      <c r="B32" s="90" t="s">
        <v>122</v>
      </c>
      <c r="C32" s="90" t="s">
        <v>11</v>
      </c>
      <c r="D32" s="90">
        <v>2016</v>
      </c>
      <c r="E32" s="117">
        <v>2.2000000000000002</v>
      </c>
      <c r="F32" s="90" t="s">
        <v>123</v>
      </c>
      <c r="G32" s="117">
        <f t="shared" si="2"/>
        <v>2.2000000000000002</v>
      </c>
      <c r="H32" s="90" t="s">
        <v>124</v>
      </c>
      <c r="I32" s="92" t="s">
        <v>24</v>
      </c>
    </row>
    <row r="33" spans="1:9" s="90" customFormat="1">
      <c r="A33" s="89" t="s">
        <v>121</v>
      </c>
      <c r="B33" s="90" t="s">
        <v>122</v>
      </c>
      <c r="C33" s="90" t="s">
        <v>11</v>
      </c>
      <c r="D33" s="90">
        <v>2017</v>
      </c>
      <c r="E33" s="117">
        <v>2.4</v>
      </c>
      <c r="F33" s="90" t="s">
        <v>123</v>
      </c>
      <c r="G33" s="117">
        <f t="shared" si="2"/>
        <v>2.4</v>
      </c>
      <c r="H33" s="90" t="s">
        <v>124</v>
      </c>
      <c r="I33" s="92" t="s">
        <v>24</v>
      </c>
    </row>
    <row r="34" spans="1:9" s="90" customFormat="1">
      <c r="A34" s="89" t="s">
        <v>121</v>
      </c>
      <c r="B34" s="90" t="s">
        <v>122</v>
      </c>
      <c r="C34" s="90" t="s">
        <v>11</v>
      </c>
      <c r="D34" s="90">
        <v>2018</v>
      </c>
      <c r="E34" s="117">
        <v>1.5</v>
      </c>
      <c r="F34" s="90" t="s">
        <v>123</v>
      </c>
      <c r="G34" s="117">
        <f t="shared" si="2"/>
        <v>1.5</v>
      </c>
      <c r="H34" s="90" t="s">
        <v>124</v>
      </c>
      <c r="I34" s="92" t="s">
        <v>24</v>
      </c>
    </row>
    <row r="35" spans="1:9" s="86" customFormat="1">
      <c r="A35" s="99" t="s">
        <v>121</v>
      </c>
      <c r="B35" s="99" t="s">
        <v>128</v>
      </c>
      <c r="C35" s="99" t="s">
        <v>18</v>
      </c>
      <c r="D35" s="99">
        <v>2018</v>
      </c>
      <c r="E35" s="114">
        <f>105000*1000</f>
        <v>105000000</v>
      </c>
      <c r="F35" s="99" t="s">
        <v>129</v>
      </c>
      <c r="G35" s="99" cm="1">
        <f t="array" ref="G35">E35/VLOOKUP(D35,net_generation!$A:$D,MATCH(C35,net_generation!$1:$1,FALSE),FALSE)</f>
        <v>0.45039634878693252</v>
      </c>
      <c r="H35" s="99" t="s">
        <v>130</v>
      </c>
      <c r="I35" s="87" t="s">
        <v>237</v>
      </c>
    </row>
    <row r="36" spans="1:9" s="76" customFormat="1">
      <c r="A36" s="75" t="s">
        <v>121</v>
      </c>
      <c r="B36" s="76" t="s">
        <v>128</v>
      </c>
      <c r="C36" s="76" t="s">
        <v>18</v>
      </c>
      <c r="D36" s="76">
        <v>2017</v>
      </c>
      <c r="E36" s="113">
        <v>104619272</v>
      </c>
      <c r="F36" s="76" t="s">
        <v>129</v>
      </c>
      <c r="G36" s="76" cm="1">
        <f t="array" ref="G36">E36/VLOOKUP(D36,net_generation!$A:$D,MATCH(C36,net_generation!$1:$1,FALSE),FALSE)</f>
        <v>0.46031614285651429</v>
      </c>
      <c r="H36" s="76" t="s">
        <v>130</v>
      </c>
      <c r="I36" s="76" t="s">
        <v>131</v>
      </c>
    </row>
    <row r="37" spans="1:9" s="76" customFormat="1">
      <c r="A37" s="75" t="s">
        <v>121</v>
      </c>
      <c r="B37" s="76" t="s">
        <v>128</v>
      </c>
      <c r="C37" s="76" t="s">
        <v>18</v>
      </c>
      <c r="D37" s="76">
        <v>2016</v>
      </c>
      <c r="E37" s="113">
        <v>106376761</v>
      </c>
      <c r="F37" s="76" t="s">
        <v>129</v>
      </c>
      <c r="G37" s="76" cm="1">
        <f t="array" ref="G37">E37/VLOOKUP(D37,net_generation!$A:$D,MATCH(C37,net_generation!$1:$1,FALSE),FALSE)</f>
        <v>0.48510733064277084</v>
      </c>
      <c r="H37" s="76" t="s">
        <v>130</v>
      </c>
      <c r="I37" s="76" t="s">
        <v>131</v>
      </c>
    </row>
    <row r="38" spans="1:9" s="76" customFormat="1">
      <c r="A38" s="75" t="s">
        <v>121</v>
      </c>
      <c r="B38" s="76" t="s">
        <v>128</v>
      </c>
      <c r="C38" s="76" t="s">
        <v>18</v>
      </c>
      <c r="D38" s="76">
        <v>2015</v>
      </c>
      <c r="E38" s="113">
        <v>107913913</v>
      </c>
      <c r="F38" s="76" t="s">
        <v>129</v>
      </c>
      <c r="G38" s="76" cm="1">
        <f t="array" ref="G38">E38/VLOOKUP(D38,net_generation!$A:$D,MATCH(C38,net_generation!$1:$1,FALSE),FALSE)</f>
        <v>0.49339066564861761</v>
      </c>
      <c r="H38" s="76" t="s">
        <v>130</v>
      </c>
      <c r="I38" s="76" t="s">
        <v>131</v>
      </c>
    </row>
    <row r="39" spans="1:9" s="76" customFormat="1">
      <c r="A39" s="75" t="s">
        <v>121</v>
      </c>
      <c r="B39" s="76" t="s">
        <v>128</v>
      </c>
      <c r="C39" s="76" t="s">
        <v>18</v>
      </c>
      <c r="D39" s="76">
        <v>2014</v>
      </c>
      <c r="E39" s="113">
        <v>138347641</v>
      </c>
      <c r="F39" s="76" t="s">
        <v>129</v>
      </c>
      <c r="G39" s="76" cm="1">
        <f t="array" ref="G39">E39/VLOOKUP(D39,net_generation!$A:$D,MATCH(C39,net_generation!$1:$1,FALSE),FALSE)</f>
        <v>0.5659154037150208</v>
      </c>
      <c r="H39" s="76" t="s">
        <v>130</v>
      </c>
      <c r="I39" s="76" t="s">
        <v>131</v>
      </c>
    </row>
    <row r="40" spans="1:9" s="76" customFormat="1">
      <c r="A40" s="75" t="s">
        <v>121</v>
      </c>
      <c r="B40" s="76" t="s">
        <v>128</v>
      </c>
      <c r="C40" s="76" t="s">
        <v>15</v>
      </c>
      <c r="D40" s="76">
        <v>2018</v>
      </c>
      <c r="E40" s="113">
        <f>9.7*10^6</f>
        <v>9700000</v>
      </c>
      <c r="F40" s="76" t="s">
        <v>129</v>
      </c>
      <c r="G40" s="51" cm="1">
        <f t="array" ref="G40">E40/VLOOKUP(D40,net_generation!$A:$D,MATCH(C40,net_generation!$1:$1,FALSE),FALSE)</f>
        <v>4.994233462393937E-2</v>
      </c>
      <c r="H40" s="76" t="s">
        <v>130</v>
      </c>
      <c r="I40" s="76" t="s">
        <v>237</v>
      </c>
    </row>
    <row r="41" spans="1:9" s="76" customFormat="1">
      <c r="A41" s="75" t="s">
        <v>121</v>
      </c>
      <c r="B41" s="76" t="s">
        <v>128</v>
      </c>
      <c r="C41" s="76" t="s">
        <v>15</v>
      </c>
      <c r="D41" s="76">
        <v>2017</v>
      </c>
      <c r="E41" s="113">
        <v>10394551</v>
      </c>
      <c r="F41" s="76" t="s">
        <v>129</v>
      </c>
      <c r="G41" s="76" cm="1">
        <f t="array" ref="G41">E41/VLOOKUP(D41,net_generation!$A:$D,MATCH(C41,net_generation!$1:$1,FALSE),FALSE)</f>
        <v>5.3379599215083957E-2</v>
      </c>
      <c r="H41" s="76" t="s">
        <v>130</v>
      </c>
      <c r="I41" s="76" t="s">
        <v>131</v>
      </c>
    </row>
    <row r="42" spans="1:9" s="76" customFormat="1">
      <c r="A42" s="75" t="s">
        <v>121</v>
      </c>
      <c r="B42" s="76" t="s">
        <v>128</v>
      </c>
      <c r="C42" s="76" t="s">
        <v>15</v>
      </c>
      <c r="D42" s="76">
        <v>2016</v>
      </c>
      <c r="E42" s="113">
        <v>9836775</v>
      </c>
      <c r="F42" s="76" t="s">
        <v>129</v>
      </c>
      <c r="G42" s="76" cm="1">
        <f t="array" ref="G42">E42/VLOOKUP(D42,net_generation!$A:$D,MATCH(C42,net_generation!$1:$1,FALSE),FALSE)</f>
        <v>5.2643731945379545E-2</v>
      </c>
      <c r="H42" s="76" t="s">
        <v>130</v>
      </c>
      <c r="I42" s="76" t="s">
        <v>131</v>
      </c>
    </row>
    <row r="43" spans="1:9" s="76" customFormat="1">
      <c r="A43" s="75" t="s">
        <v>121</v>
      </c>
      <c r="B43" s="76" t="s">
        <v>128</v>
      </c>
      <c r="C43" s="76" t="s">
        <v>15</v>
      </c>
      <c r="D43" s="76">
        <v>2015</v>
      </c>
      <c r="E43" s="113">
        <v>7397355</v>
      </c>
      <c r="F43" s="76" t="s">
        <v>129</v>
      </c>
      <c r="G43" s="76" cm="1">
        <f t="array" ref="G43">E43/VLOOKUP(D43,net_generation!$A:$D,MATCH(C43,net_generation!$1:$1,FALSE),FALSE)</f>
        <v>4.1088898163858717E-2</v>
      </c>
      <c r="H43" s="76" t="s">
        <v>130</v>
      </c>
      <c r="I43" s="76" t="s">
        <v>131</v>
      </c>
    </row>
    <row r="44" spans="1:9" s="76" customFormat="1">
      <c r="A44" s="75" t="s">
        <v>121</v>
      </c>
      <c r="B44" s="76" t="s">
        <v>128</v>
      </c>
      <c r="C44" s="76" t="s">
        <v>15</v>
      </c>
      <c r="D44" s="76">
        <v>2014</v>
      </c>
      <c r="E44" s="113">
        <v>7138620</v>
      </c>
      <c r="F44" s="76" t="s">
        <v>129</v>
      </c>
      <c r="G44" s="76" cm="1">
        <f t="array" ref="G44">E44/VLOOKUP(D44,net_generation!$A:$D,MATCH(C44,net_generation!$1:$1,FALSE),FALSE)</f>
        <v>4.0111155370209629E-2</v>
      </c>
      <c r="H44" s="76" t="s">
        <v>130</v>
      </c>
      <c r="I44" s="76" t="s">
        <v>131</v>
      </c>
    </row>
    <row r="45" spans="1:9" s="76" customFormat="1">
      <c r="A45" s="75" t="s">
        <v>121</v>
      </c>
      <c r="B45" s="76" t="s">
        <v>128</v>
      </c>
      <c r="C45" s="76" t="s">
        <v>11</v>
      </c>
      <c r="D45" s="76">
        <v>2018</v>
      </c>
      <c r="E45" s="113">
        <v>42097424</v>
      </c>
      <c r="F45" s="76" t="s">
        <v>129</v>
      </c>
      <c r="G45" s="76" cm="1">
        <f t="array" ref="G45">E45/VLOOKUP(D45,net_generation!$A:$D,MATCH(C45,net_generation!$1:$1,FALSE),FALSE)</f>
        <v>0.21802396199923654</v>
      </c>
      <c r="H45" s="76" t="s">
        <v>130</v>
      </c>
      <c r="I45" s="76" t="s">
        <v>24</v>
      </c>
    </row>
    <row r="46" spans="1:9" s="76" customFormat="1">
      <c r="A46" s="75" t="s">
        <v>121</v>
      </c>
      <c r="B46" s="76" t="s">
        <v>128</v>
      </c>
      <c r="C46" s="76" t="s">
        <v>11</v>
      </c>
      <c r="D46" s="76">
        <v>2017</v>
      </c>
      <c r="E46" s="113">
        <v>42194852</v>
      </c>
      <c r="F46" s="76" t="s">
        <v>129</v>
      </c>
      <c r="G46" s="76" cm="1">
        <f t="array" ref="G46">E46/VLOOKUP(D46,net_generation!$A:$D,MATCH(C46,net_generation!$1:$1,FALSE),FALSE)</f>
        <v>0.22306434646297132</v>
      </c>
      <c r="H46" s="76" t="s">
        <v>130</v>
      </c>
      <c r="I46" s="76" t="s">
        <v>131</v>
      </c>
    </row>
    <row r="47" spans="1:9" s="76" customFormat="1">
      <c r="A47" s="75" t="s">
        <v>121</v>
      </c>
      <c r="B47" s="76" t="s">
        <v>128</v>
      </c>
      <c r="C47" s="76" t="s">
        <v>11</v>
      </c>
      <c r="D47" s="76">
        <v>2016</v>
      </c>
      <c r="E47" s="113">
        <v>43199657</v>
      </c>
      <c r="F47" s="76" t="s">
        <v>129</v>
      </c>
      <c r="G47" s="76" cm="1">
        <f t="array" ref="G47">E47/VLOOKUP(D47,net_generation!$A:$D,MATCH(C47,net_generation!$1:$1,FALSE),FALSE)</f>
        <v>0.22305106948131606</v>
      </c>
      <c r="H47" s="76" t="s">
        <v>130</v>
      </c>
      <c r="I47" s="76" t="s">
        <v>131</v>
      </c>
    </row>
    <row r="48" spans="1:9" s="76" customFormat="1">
      <c r="A48" s="75" t="s">
        <v>121</v>
      </c>
      <c r="B48" s="76" t="s">
        <v>128</v>
      </c>
      <c r="C48" s="76" t="s">
        <v>11</v>
      </c>
      <c r="D48" s="76">
        <v>2015</v>
      </c>
      <c r="E48" s="113">
        <v>52793763</v>
      </c>
      <c r="F48" s="76" t="s">
        <v>129</v>
      </c>
      <c r="G48" s="76" cm="1">
        <f t="array" ref="G48">E48/VLOOKUP(D48,net_generation!$A:$D,MATCH(C48,net_generation!$1:$1,FALSE),FALSE)</f>
        <v>0.26566694081735337</v>
      </c>
      <c r="H48" s="76" t="s">
        <v>130</v>
      </c>
      <c r="I48" s="76" t="s">
        <v>131</v>
      </c>
    </row>
    <row r="49" spans="1:9" s="163" customFormat="1">
      <c r="A49" s="162" t="s">
        <v>121</v>
      </c>
      <c r="B49" s="163" t="s">
        <v>128</v>
      </c>
      <c r="C49" s="163" t="s">
        <v>11</v>
      </c>
      <c r="D49" s="163">
        <v>2014</v>
      </c>
      <c r="E49" s="164">
        <v>48573857</v>
      </c>
      <c r="F49" s="163" t="s">
        <v>129</v>
      </c>
      <c r="G49" s="163" cm="1">
        <f t="array" ref="G49">E49/VLOOKUP(D49,net_generation!$A:$D,MATCH(C49,net_generation!$1:$1,FALSE),FALSE)</f>
        <v>0.26069887329655578</v>
      </c>
      <c r="H49" s="163" t="s">
        <v>130</v>
      </c>
      <c r="I49" s="163" t="s">
        <v>131</v>
      </c>
    </row>
    <row r="50" spans="1:9" s="86" customFormat="1">
      <c r="A50" s="85" t="s">
        <v>121</v>
      </c>
      <c r="B50" s="86" t="s">
        <v>132</v>
      </c>
      <c r="C50" s="86" t="s">
        <v>18</v>
      </c>
      <c r="D50" s="86">
        <v>2017</v>
      </c>
      <c r="E50" s="116">
        <v>0.15</v>
      </c>
      <c r="F50" s="86" t="s">
        <v>129</v>
      </c>
      <c r="H50" s="86" t="s">
        <v>130</v>
      </c>
      <c r="I50" s="86" t="s">
        <v>131</v>
      </c>
    </row>
    <row r="51" spans="1:9" s="90" customFormat="1">
      <c r="A51" s="89" t="s">
        <v>121</v>
      </c>
      <c r="B51" s="90" t="s">
        <v>132</v>
      </c>
      <c r="C51" s="90" t="s">
        <v>18</v>
      </c>
      <c r="D51" s="90">
        <v>2016</v>
      </c>
      <c r="E51" s="117">
        <v>0.17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18</v>
      </c>
      <c r="D52" s="90">
        <v>2015</v>
      </c>
      <c r="E52" s="117">
        <v>0.31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18</v>
      </c>
      <c r="D53" s="90">
        <v>2014</v>
      </c>
      <c r="E53" s="117">
        <v>0.5</v>
      </c>
      <c r="F53" s="90" t="s">
        <v>129</v>
      </c>
      <c r="H53" s="90" t="s">
        <v>130</v>
      </c>
      <c r="I53" s="90" t="s">
        <v>131</v>
      </c>
    </row>
    <row r="54" spans="1:9" s="90" customFormat="1">
      <c r="A54" s="89" t="s">
        <v>121</v>
      </c>
      <c r="B54" s="90" t="s">
        <v>132</v>
      </c>
      <c r="C54" s="90" t="s">
        <v>18</v>
      </c>
      <c r="D54" s="90">
        <v>2013</v>
      </c>
      <c r="E54" s="117">
        <v>0.68</v>
      </c>
      <c r="F54" s="90" t="s">
        <v>129</v>
      </c>
      <c r="H54" s="90" t="s">
        <v>130</v>
      </c>
      <c r="I54" s="90" t="s">
        <v>131</v>
      </c>
    </row>
    <row r="55" spans="1:9" s="90" customFormat="1">
      <c r="A55" s="89" t="s">
        <v>121</v>
      </c>
      <c r="B55" s="90" t="s">
        <v>132</v>
      </c>
      <c r="C55" s="90" t="s">
        <v>18</v>
      </c>
      <c r="D55" s="90">
        <v>2012</v>
      </c>
      <c r="E55" s="117">
        <v>0.67</v>
      </c>
      <c r="F55" s="90" t="s">
        <v>129</v>
      </c>
      <c r="H55" s="90" t="s">
        <v>130</v>
      </c>
      <c r="I55" s="90" t="s">
        <v>131</v>
      </c>
    </row>
    <row r="56" spans="1:9" s="90" customFormat="1">
      <c r="A56" s="89" t="s">
        <v>121</v>
      </c>
      <c r="B56" s="90" t="s">
        <v>132</v>
      </c>
      <c r="C56" s="90" t="s">
        <v>18</v>
      </c>
      <c r="D56" s="90">
        <v>2011</v>
      </c>
      <c r="E56" s="117">
        <v>0.57999999999999996</v>
      </c>
      <c r="F56" s="90" t="s">
        <v>129</v>
      </c>
      <c r="H56" s="90" t="s">
        <v>130</v>
      </c>
      <c r="I56" s="90" t="s">
        <v>131</v>
      </c>
    </row>
    <row r="57" spans="1:9" s="90" customFormat="1">
      <c r="A57" s="89" t="s">
        <v>121</v>
      </c>
      <c r="B57" s="90" t="s">
        <v>132</v>
      </c>
      <c r="C57" s="90" t="s">
        <v>18</v>
      </c>
      <c r="D57" s="90">
        <v>2010</v>
      </c>
      <c r="E57" s="117">
        <v>0.69</v>
      </c>
      <c r="F57" s="90" t="s">
        <v>129</v>
      </c>
      <c r="H57" s="90" t="s">
        <v>130</v>
      </c>
      <c r="I57" s="90" t="s">
        <v>131</v>
      </c>
    </row>
    <row r="58" spans="1:9" s="90" customFormat="1">
      <c r="A58" s="89" t="s">
        <v>121</v>
      </c>
      <c r="B58" s="90" t="s">
        <v>132</v>
      </c>
      <c r="C58" s="90" t="s">
        <v>18</v>
      </c>
      <c r="D58" s="90">
        <v>2008</v>
      </c>
      <c r="E58" s="117">
        <v>1.32</v>
      </c>
      <c r="F58" s="90" t="s">
        <v>129</v>
      </c>
      <c r="H58" s="90" t="s">
        <v>130</v>
      </c>
      <c r="I58" s="90" t="s">
        <v>131</v>
      </c>
    </row>
    <row r="59" spans="1:9" s="90" customFormat="1">
      <c r="A59" s="89" t="s">
        <v>121</v>
      </c>
      <c r="B59" s="90" t="s">
        <v>132</v>
      </c>
      <c r="C59" s="90" t="s">
        <v>18</v>
      </c>
      <c r="D59" s="90">
        <v>2006</v>
      </c>
      <c r="E59" s="117">
        <v>2.0299999999999998</v>
      </c>
      <c r="F59" s="90" t="s">
        <v>129</v>
      </c>
      <c r="H59" s="90" t="s">
        <v>130</v>
      </c>
      <c r="I59" s="90" t="s">
        <v>131</v>
      </c>
    </row>
    <row r="60" spans="1:9" s="90" customFormat="1">
      <c r="A60" s="89" t="s">
        <v>121</v>
      </c>
      <c r="B60" s="90" t="s">
        <v>132</v>
      </c>
      <c r="C60" s="90" t="s">
        <v>18</v>
      </c>
      <c r="D60" s="90">
        <v>2004</v>
      </c>
      <c r="E60" s="117">
        <v>0.76</v>
      </c>
      <c r="F60" s="90" t="s">
        <v>129</v>
      </c>
      <c r="H60" s="90" t="s">
        <v>130</v>
      </c>
      <c r="I60" s="90" t="s">
        <v>131</v>
      </c>
    </row>
    <row r="61" spans="1:9" s="90" customFormat="1">
      <c r="A61" s="89" t="s">
        <v>121</v>
      </c>
      <c r="B61" s="90" t="s">
        <v>132</v>
      </c>
      <c r="C61" s="90" t="s">
        <v>15</v>
      </c>
      <c r="D61" s="90">
        <v>2017</v>
      </c>
      <c r="E61" s="117">
        <v>0</v>
      </c>
      <c r="F61" s="90" t="s">
        <v>129</v>
      </c>
      <c r="H61" s="90" t="s">
        <v>130</v>
      </c>
      <c r="I61" s="90" t="s">
        <v>131</v>
      </c>
    </row>
    <row r="62" spans="1:9" s="90" customFormat="1">
      <c r="A62" s="89" t="s">
        <v>121</v>
      </c>
      <c r="B62" s="90" t="s">
        <v>132</v>
      </c>
      <c r="C62" s="90" t="s">
        <v>15</v>
      </c>
      <c r="D62" s="90">
        <v>2016</v>
      </c>
      <c r="E62" s="117">
        <v>0</v>
      </c>
      <c r="F62" s="90" t="s">
        <v>129</v>
      </c>
      <c r="H62" s="90" t="s">
        <v>130</v>
      </c>
      <c r="I62" s="90" t="s">
        <v>131</v>
      </c>
    </row>
    <row r="63" spans="1:9" s="90" customFormat="1">
      <c r="A63" s="89" t="s">
        <v>121</v>
      </c>
      <c r="B63" s="90" t="s">
        <v>132</v>
      </c>
      <c r="C63" s="90" t="s">
        <v>15</v>
      </c>
      <c r="D63" s="90">
        <v>2015</v>
      </c>
      <c r="E63" s="117">
        <v>0</v>
      </c>
      <c r="F63" s="90" t="s">
        <v>129</v>
      </c>
      <c r="H63" s="90" t="s">
        <v>130</v>
      </c>
      <c r="I63" s="90" t="s">
        <v>131</v>
      </c>
    </row>
    <row r="64" spans="1:9" s="90" customFormat="1">
      <c r="A64" s="89" t="s">
        <v>121</v>
      </c>
      <c r="B64" s="90" t="s">
        <v>132</v>
      </c>
      <c r="C64" s="90" t="s">
        <v>15</v>
      </c>
      <c r="D64" s="90">
        <v>2014</v>
      </c>
      <c r="E64" s="117">
        <v>0</v>
      </c>
      <c r="F64" s="90" t="s">
        <v>129</v>
      </c>
      <c r="H64" s="90" t="s">
        <v>130</v>
      </c>
      <c r="I64" s="90" t="s">
        <v>131</v>
      </c>
    </row>
    <row r="65" spans="1:9" s="90" customFormat="1">
      <c r="A65" s="89" t="s">
        <v>121</v>
      </c>
      <c r="B65" s="90" t="s">
        <v>132</v>
      </c>
      <c r="C65" s="90" t="s">
        <v>15</v>
      </c>
      <c r="D65" s="90">
        <v>2013</v>
      </c>
      <c r="E65" s="117">
        <v>0.1</v>
      </c>
      <c r="F65" s="90" t="s">
        <v>129</v>
      </c>
      <c r="H65" s="90" t="s">
        <v>130</v>
      </c>
      <c r="I65" s="90" t="s">
        <v>131</v>
      </c>
    </row>
    <row r="66" spans="1:9" s="90" customFormat="1">
      <c r="A66" s="89" t="s">
        <v>121</v>
      </c>
      <c r="B66" s="90" t="s">
        <v>132</v>
      </c>
      <c r="C66" s="90" t="s">
        <v>15</v>
      </c>
      <c r="D66" s="90">
        <v>2012</v>
      </c>
      <c r="E66" s="117">
        <v>0.09</v>
      </c>
      <c r="F66" s="90" t="s">
        <v>129</v>
      </c>
      <c r="H66" s="90" t="s">
        <v>130</v>
      </c>
      <c r="I66" s="90" t="s">
        <v>131</v>
      </c>
    </row>
    <row r="67" spans="1:9" s="90" customFormat="1">
      <c r="A67" s="89" t="s">
        <v>121</v>
      </c>
      <c r="B67" s="90" t="s">
        <v>132</v>
      </c>
      <c r="C67" s="90" t="s">
        <v>15</v>
      </c>
      <c r="D67" s="90">
        <v>2011</v>
      </c>
      <c r="E67" s="117">
        <v>7.0000000000000007E-2</v>
      </c>
      <c r="F67" s="90" t="s">
        <v>129</v>
      </c>
      <c r="H67" s="90" t="s">
        <v>130</v>
      </c>
      <c r="I67" s="90" t="s">
        <v>131</v>
      </c>
    </row>
    <row r="68" spans="1:9" s="90" customFormat="1">
      <c r="A68" s="89" t="s">
        <v>121</v>
      </c>
      <c r="B68" s="90" t="s">
        <v>132</v>
      </c>
      <c r="C68" s="90" t="s">
        <v>15</v>
      </c>
      <c r="D68" s="90">
        <v>2010</v>
      </c>
      <c r="E68" s="117">
        <v>0.11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132</v>
      </c>
      <c r="C69" s="90" t="s">
        <v>15</v>
      </c>
      <c r="D69" s="90">
        <v>2008</v>
      </c>
      <c r="E69" s="117">
        <v>0.23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132</v>
      </c>
      <c r="C70" s="90" t="s">
        <v>15</v>
      </c>
      <c r="D70" s="90">
        <v>2006</v>
      </c>
      <c r="E70" s="117">
        <v>0.21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132</v>
      </c>
      <c r="C71" s="90" t="s">
        <v>15</v>
      </c>
      <c r="D71" s="90">
        <v>2004</v>
      </c>
      <c r="E71" s="117">
        <v>0.28999999999999998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132</v>
      </c>
      <c r="C72" s="90" t="s">
        <v>11</v>
      </c>
      <c r="D72" s="90">
        <v>2017</v>
      </c>
      <c r="E72" s="117">
        <v>0.01</v>
      </c>
      <c r="F72" s="90" t="s">
        <v>129</v>
      </c>
      <c r="H72" s="90" t="s">
        <v>130</v>
      </c>
      <c r="I72" s="90" t="s">
        <v>131</v>
      </c>
    </row>
    <row r="73" spans="1:9" s="90" customFormat="1">
      <c r="A73" s="89" t="s">
        <v>121</v>
      </c>
      <c r="B73" s="90" t="s">
        <v>132</v>
      </c>
      <c r="C73" s="90" t="s">
        <v>11</v>
      </c>
      <c r="D73" s="90">
        <v>2016</v>
      </c>
      <c r="E73" s="117">
        <v>0.02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132</v>
      </c>
      <c r="C74" s="90" t="s">
        <v>11</v>
      </c>
      <c r="D74" s="90">
        <v>2015</v>
      </c>
      <c r="E74" s="117">
        <v>0.3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132</v>
      </c>
      <c r="C75" s="90" t="s">
        <v>11</v>
      </c>
      <c r="D75" s="90">
        <v>2014</v>
      </c>
      <c r="E75" s="117">
        <v>0.04</v>
      </c>
      <c r="F75" s="90" t="s">
        <v>129</v>
      </c>
      <c r="H75" s="90" t="s">
        <v>130</v>
      </c>
      <c r="I75" s="90" t="s">
        <v>131</v>
      </c>
    </row>
    <row r="76" spans="1:9" s="90" customFormat="1">
      <c r="A76" s="89" t="s">
        <v>121</v>
      </c>
      <c r="B76" s="90" t="s">
        <v>132</v>
      </c>
      <c r="C76" s="90" t="s">
        <v>11</v>
      </c>
      <c r="D76" s="90">
        <v>2013</v>
      </c>
      <c r="E76" s="117">
        <v>7.0000000000000007E-2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132</v>
      </c>
      <c r="C77" s="90" t="s">
        <v>11</v>
      </c>
      <c r="D77" s="90">
        <v>2012</v>
      </c>
      <c r="E77" s="117">
        <v>0.04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132</v>
      </c>
      <c r="C78" s="90" t="s">
        <v>11</v>
      </c>
      <c r="D78" s="90">
        <v>2011</v>
      </c>
      <c r="E78" s="117">
        <v>0.03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132</v>
      </c>
      <c r="C79" s="90" t="s">
        <v>11</v>
      </c>
      <c r="D79" s="90">
        <v>2010</v>
      </c>
      <c r="E79" s="117">
        <v>0.03</v>
      </c>
      <c r="F79" s="90" t="s">
        <v>129</v>
      </c>
      <c r="H79" s="90" t="s">
        <v>130</v>
      </c>
      <c r="I79" s="90" t="s">
        <v>131</v>
      </c>
    </row>
    <row r="80" spans="1:9" s="90" customFormat="1">
      <c r="A80" s="89" t="s">
        <v>121</v>
      </c>
      <c r="B80" s="90" t="s">
        <v>132</v>
      </c>
      <c r="C80" s="90" t="s">
        <v>11</v>
      </c>
      <c r="D80" s="90">
        <v>2008</v>
      </c>
      <c r="E80" s="117">
        <v>0.2</v>
      </c>
      <c r="F80" s="90" t="s">
        <v>129</v>
      </c>
      <c r="H80" s="90" t="s">
        <v>130</v>
      </c>
      <c r="I80" s="90" t="s">
        <v>131</v>
      </c>
    </row>
    <row r="81" spans="1:9" s="90" customFormat="1">
      <c r="A81" s="89" t="s">
        <v>121</v>
      </c>
      <c r="B81" s="90" t="s">
        <v>132</v>
      </c>
      <c r="C81" s="90" t="s">
        <v>11</v>
      </c>
      <c r="D81" s="90">
        <v>2006</v>
      </c>
      <c r="E81" s="117">
        <v>0.19</v>
      </c>
      <c r="F81" s="90" t="s">
        <v>129</v>
      </c>
      <c r="H81" s="90" t="s">
        <v>130</v>
      </c>
      <c r="I81" s="90" t="s">
        <v>131</v>
      </c>
    </row>
    <row r="82" spans="1:9" s="95" customFormat="1">
      <c r="A82" s="94" t="s">
        <v>121</v>
      </c>
      <c r="B82" s="95" t="s">
        <v>132</v>
      </c>
      <c r="C82" s="95" t="s">
        <v>11</v>
      </c>
      <c r="D82" s="95">
        <v>2004</v>
      </c>
      <c r="E82" s="118">
        <v>0.24</v>
      </c>
      <c r="F82" s="95" t="s">
        <v>129</v>
      </c>
      <c r="H82" s="95" t="s">
        <v>130</v>
      </c>
      <c r="I82" s="95" t="s">
        <v>131</v>
      </c>
    </row>
    <row r="83" spans="1:9" s="99" customFormat="1">
      <c r="A83" s="98" t="s">
        <v>121</v>
      </c>
      <c r="B83" s="99" t="s">
        <v>133</v>
      </c>
      <c r="C83" s="99" t="s">
        <v>18</v>
      </c>
      <c r="D83" s="99">
        <v>2017</v>
      </c>
      <c r="E83" s="114">
        <v>61022</v>
      </c>
      <c r="F83" s="99" t="s">
        <v>129</v>
      </c>
      <c r="H83" s="99" t="s">
        <v>130</v>
      </c>
      <c r="I83" s="99" t="s">
        <v>131</v>
      </c>
    </row>
    <row r="84" spans="1:9" s="76" customFormat="1">
      <c r="A84" s="75" t="s">
        <v>121</v>
      </c>
      <c r="B84" s="76" t="s">
        <v>133</v>
      </c>
      <c r="C84" s="76" t="s">
        <v>18</v>
      </c>
      <c r="D84" s="76">
        <v>2016</v>
      </c>
      <c r="E84" s="113">
        <v>72246</v>
      </c>
      <c r="F84" s="76" t="s">
        <v>129</v>
      </c>
      <c r="H84" s="76" t="s">
        <v>130</v>
      </c>
      <c r="I84" s="76" t="s">
        <v>131</v>
      </c>
    </row>
    <row r="85" spans="1:9" s="76" customFormat="1">
      <c r="A85" s="75" t="s">
        <v>121</v>
      </c>
      <c r="B85" s="76" t="s">
        <v>133</v>
      </c>
      <c r="C85" s="76" t="s">
        <v>18</v>
      </c>
      <c r="D85" s="76">
        <v>2015</v>
      </c>
      <c r="E85" s="113">
        <v>78257</v>
      </c>
      <c r="F85" s="76" t="s">
        <v>129</v>
      </c>
      <c r="H85" s="76" t="s">
        <v>130</v>
      </c>
      <c r="I85" s="76" t="s">
        <v>131</v>
      </c>
    </row>
    <row r="86" spans="1:9" s="76" customFormat="1">
      <c r="A86" s="75" t="s">
        <v>121</v>
      </c>
      <c r="B86" s="76" t="s">
        <v>133</v>
      </c>
      <c r="C86" s="76" t="s">
        <v>18</v>
      </c>
      <c r="D86" s="76">
        <v>2014</v>
      </c>
      <c r="E86" s="113">
        <v>100852</v>
      </c>
      <c r="F86" s="76" t="s">
        <v>129</v>
      </c>
      <c r="H86" s="76" t="s">
        <v>130</v>
      </c>
      <c r="I86" s="76" t="s">
        <v>131</v>
      </c>
    </row>
    <row r="87" spans="1:9" s="76" customFormat="1">
      <c r="A87" s="75" t="s">
        <v>121</v>
      </c>
      <c r="B87" s="76" t="s">
        <v>133</v>
      </c>
      <c r="C87" s="76" t="s">
        <v>18</v>
      </c>
      <c r="D87" s="76">
        <v>2013</v>
      </c>
      <c r="E87" s="113">
        <v>101866</v>
      </c>
      <c r="F87" s="76" t="s">
        <v>129</v>
      </c>
      <c r="H87" s="76" t="s">
        <v>130</v>
      </c>
      <c r="I87" s="76" t="s">
        <v>131</v>
      </c>
    </row>
    <row r="88" spans="1:9" s="76" customFormat="1">
      <c r="A88" s="75" t="s">
        <v>121</v>
      </c>
      <c r="B88" s="76" t="s">
        <v>133</v>
      </c>
      <c r="C88" s="76" t="s">
        <v>18</v>
      </c>
      <c r="D88" s="76">
        <v>2012</v>
      </c>
      <c r="E88" s="113">
        <v>99653</v>
      </c>
      <c r="F88" s="76" t="s">
        <v>129</v>
      </c>
      <c r="H88" s="76" t="s">
        <v>130</v>
      </c>
      <c r="I88" s="76" t="s">
        <v>131</v>
      </c>
    </row>
    <row r="89" spans="1:9" s="76" customFormat="1">
      <c r="A89" s="75" t="s">
        <v>121</v>
      </c>
      <c r="B89" s="76" t="s">
        <v>133</v>
      </c>
      <c r="C89" s="76" t="s">
        <v>18</v>
      </c>
      <c r="D89" s="76">
        <v>2011</v>
      </c>
      <c r="E89" s="113">
        <v>76307</v>
      </c>
      <c r="F89" s="76" t="s">
        <v>129</v>
      </c>
      <c r="H89" s="76" t="s">
        <v>130</v>
      </c>
      <c r="I89" s="76" t="s">
        <v>131</v>
      </c>
    </row>
    <row r="90" spans="1:9" s="76" customFormat="1">
      <c r="A90" s="75" t="s">
        <v>121</v>
      </c>
      <c r="B90" s="76" t="s">
        <v>133</v>
      </c>
      <c r="C90" s="76" t="s">
        <v>18</v>
      </c>
      <c r="D90" s="76">
        <v>2010</v>
      </c>
      <c r="E90" s="113">
        <v>75193</v>
      </c>
      <c r="F90" s="76" t="s">
        <v>129</v>
      </c>
      <c r="H90" s="76" t="s">
        <v>130</v>
      </c>
      <c r="I90" s="76" t="s">
        <v>131</v>
      </c>
    </row>
    <row r="91" spans="1:9" s="76" customFormat="1">
      <c r="A91" s="75" t="s">
        <v>121</v>
      </c>
      <c r="B91" s="76" t="s">
        <v>133</v>
      </c>
      <c r="C91" s="76" t="s">
        <v>18</v>
      </c>
      <c r="D91" s="76">
        <v>2008</v>
      </c>
      <c r="E91" s="113">
        <v>125180</v>
      </c>
      <c r="F91" s="76" t="s">
        <v>129</v>
      </c>
      <c r="H91" s="76" t="s">
        <v>130</v>
      </c>
      <c r="I91" s="76" t="s">
        <v>131</v>
      </c>
    </row>
    <row r="92" spans="1:9" s="76" customFormat="1">
      <c r="A92" s="75" t="s">
        <v>121</v>
      </c>
      <c r="B92" s="76" t="s">
        <v>133</v>
      </c>
      <c r="C92" s="76" t="s">
        <v>18</v>
      </c>
      <c r="D92" s="76">
        <v>2006</v>
      </c>
      <c r="E92" s="113">
        <v>153277</v>
      </c>
      <c r="F92" s="76" t="s">
        <v>129</v>
      </c>
      <c r="H92" s="76" t="s">
        <v>130</v>
      </c>
      <c r="I92" s="76" t="s">
        <v>131</v>
      </c>
    </row>
    <row r="93" spans="1:9" s="76" customFormat="1">
      <c r="A93" s="75" t="s">
        <v>121</v>
      </c>
      <c r="B93" s="76" t="s">
        <v>133</v>
      </c>
      <c r="C93" s="76" t="s">
        <v>18</v>
      </c>
      <c r="D93" s="76">
        <v>2004</v>
      </c>
      <c r="E93" s="113">
        <v>68995</v>
      </c>
      <c r="F93" s="76" t="s">
        <v>129</v>
      </c>
      <c r="H93" s="76" t="s">
        <v>130</v>
      </c>
      <c r="I93" s="76" t="s">
        <v>131</v>
      </c>
    </row>
    <row r="94" spans="1:9" s="76" customFormat="1">
      <c r="A94" s="75" t="s">
        <v>121</v>
      </c>
      <c r="B94" s="76" t="s">
        <v>133</v>
      </c>
      <c r="C94" s="76" t="s">
        <v>15</v>
      </c>
      <c r="D94" s="76">
        <v>2017</v>
      </c>
      <c r="E94" s="113">
        <v>1823</v>
      </c>
      <c r="F94" s="76" t="s">
        <v>129</v>
      </c>
      <c r="H94" s="76" t="s">
        <v>130</v>
      </c>
      <c r="I94" s="76" t="s">
        <v>131</v>
      </c>
    </row>
    <row r="95" spans="1:9" s="76" customFormat="1">
      <c r="A95" s="75" t="s">
        <v>121</v>
      </c>
      <c r="B95" s="76" t="s">
        <v>133</v>
      </c>
      <c r="C95" s="76" t="s">
        <v>15</v>
      </c>
      <c r="D95" s="76">
        <v>2016</v>
      </c>
      <c r="E95" s="113">
        <v>2421</v>
      </c>
      <c r="F95" s="76" t="s">
        <v>129</v>
      </c>
      <c r="H95" s="76" t="s">
        <v>130</v>
      </c>
      <c r="I95" s="76" t="s">
        <v>131</v>
      </c>
    </row>
    <row r="96" spans="1:9" s="76" customFormat="1">
      <c r="A96" s="75" t="s">
        <v>121</v>
      </c>
      <c r="B96" s="76" t="s">
        <v>133</v>
      </c>
      <c r="C96" s="76" t="s">
        <v>15</v>
      </c>
      <c r="D96" s="76">
        <v>2015</v>
      </c>
      <c r="E96" s="113">
        <v>2356</v>
      </c>
      <c r="F96" s="76" t="s">
        <v>129</v>
      </c>
      <c r="H96" s="76" t="s">
        <v>130</v>
      </c>
      <c r="I96" s="76" t="s">
        <v>131</v>
      </c>
    </row>
    <row r="97" spans="1:9" s="76" customFormat="1">
      <c r="A97" s="75" t="s">
        <v>121</v>
      </c>
      <c r="B97" s="76" t="s">
        <v>133</v>
      </c>
      <c r="C97" s="76" t="s">
        <v>15</v>
      </c>
      <c r="D97" s="76">
        <v>2014</v>
      </c>
      <c r="E97" s="113">
        <v>2282</v>
      </c>
      <c r="F97" s="76" t="s">
        <v>129</v>
      </c>
      <c r="H97" s="76" t="s">
        <v>130</v>
      </c>
      <c r="I97" s="76" t="s">
        <v>131</v>
      </c>
    </row>
    <row r="98" spans="1:9" s="76" customFormat="1">
      <c r="A98" s="75" t="s">
        <v>121</v>
      </c>
      <c r="B98" s="76" t="s">
        <v>133</v>
      </c>
      <c r="C98" s="76" t="s">
        <v>15</v>
      </c>
      <c r="D98" s="76">
        <v>2013</v>
      </c>
      <c r="E98" s="113">
        <v>14908</v>
      </c>
      <c r="F98" s="76" t="s">
        <v>129</v>
      </c>
      <c r="H98" s="76" t="s">
        <v>130</v>
      </c>
      <c r="I98" s="76" t="s">
        <v>131</v>
      </c>
    </row>
    <row r="99" spans="1:9" s="76" customFormat="1">
      <c r="A99" s="75" t="s">
        <v>121</v>
      </c>
      <c r="B99" s="76" t="s">
        <v>133</v>
      </c>
      <c r="C99" s="76" t="s">
        <v>15</v>
      </c>
      <c r="D99" s="76">
        <v>2012</v>
      </c>
      <c r="E99" s="113">
        <v>14791</v>
      </c>
      <c r="F99" s="76" t="s">
        <v>129</v>
      </c>
      <c r="H99" s="76" t="s">
        <v>130</v>
      </c>
      <c r="I99" s="76" t="s">
        <v>131</v>
      </c>
    </row>
    <row r="100" spans="1:9" s="76" customFormat="1">
      <c r="A100" s="75" t="s">
        <v>121</v>
      </c>
      <c r="B100" s="76" t="s">
        <v>133</v>
      </c>
      <c r="C100" s="76" t="s">
        <v>15</v>
      </c>
      <c r="D100" s="76">
        <v>2011</v>
      </c>
      <c r="E100" s="113">
        <v>9611</v>
      </c>
      <c r="F100" s="76" t="s">
        <v>129</v>
      </c>
      <c r="H100" s="76" t="s">
        <v>130</v>
      </c>
      <c r="I100" s="76" t="s">
        <v>131</v>
      </c>
    </row>
    <row r="101" spans="1:9" s="76" customFormat="1">
      <c r="A101" s="75" t="s">
        <v>121</v>
      </c>
      <c r="B101" s="76" t="s">
        <v>133</v>
      </c>
      <c r="C101" s="76" t="s">
        <v>15</v>
      </c>
      <c r="D101" s="76">
        <v>2010</v>
      </c>
      <c r="E101" s="113">
        <v>10697</v>
      </c>
      <c r="F101" s="76" t="s">
        <v>129</v>
      </c>
      <c r="H101" s="76" t="s">
        <v>130</v>
      </c>
      <c r="I101" s="76" t="s">
        <v>131</v>
      </c>
    </row>
    <row r="102" spans="1:9" s="76" customFormat="1">
      <c r="A102" s="75" t="s">
        <v>121</v>
      </c>
      <c r="B102" s="76" t="s">
        <v>133</v>
      </c>
      <c r="C102" s="76" t="s">
        <v>15</v>
      </c>
      <c r="D102" s="76">
        <v>2008</v>
      </c>
      <c r="E102" s="113">
        <v>13212</v>
      </c>
      <c r="F102" s="76" t="s">
        <v>129</v>
      </c>
      <c r="H102" s="76" t="s">
        <v>130</v>
      </c>
      <c r="I102" s="76" t="s">
        <v>131</v>
      </c>
    </row>
    <row r="103" spans="1:9" s="76" customFormat="1">
      <c r="A103" s="75" t="s">
        <v>121</v>
      </c>
      <c r="B103" s="76" t="s">
        <v>133</v>
      </c>
      <c r="C103" s="76" t="s">
        <v>15</v>
      </c>
      <c r="D103" s="76">
        <v>2006</v>
      </c>
      <c r="E103" s="113">
        <v>15165</v>
      </c>
      <c r="F103" s="76" t="s">
        <v>129</v>
      </c>
      <c r="H103" s="76" t="s">
        <v>130</v>
      </c>
      <c r="I103" s="76" t="s">
        <v>131</v>
      </c>
    </row>
    <row r="104" spans="1:9" s="76" customFormat="1">
      <c r="A104" s="75" t="s">
        <v>121</v>
      </c>
      <c r="B104" s="76" t="s">
        <v>133</v>
      </c>
      <c r="C104" s="76" t="s">
        <v>15</v>
      </c>
      <c r="D104" s="76">
        <v>2004</v>
      </c>
      <c r="E104" s="113">
        <v>15006</v>
      </c>
      <c r="F104" s="76" t="s">
        <v>129</v>
      </c>
      <c r="H104" s="76" t="s">
        <v>130</v>
      </c>
      <c r="I104" s="76" t="s">
        <v>131</v>
      </c>
    </row>
    <row r="105" spans="1:9" s="76" customFormat="1">
      <c r="A105" s="75" t="s">
        <v>121</v>
      </c>
      <c r="B105" s="76" t="s">
        <v>133</v>
      </c>
      <c r="C105" s="76" t="s">
        <v>11</v>
      </c>
      <c r="D105" s="76">
        <v>2018</v>
      </c>
      <c r="E105" s="113">
        <v>9825</v>
      </c>
      <c r="F105" s="76" t="s">
        <v>129</v>
      </c>
      <c r="H105" s="76" t="s">
        <v>130</v>
      </c>
      <c r="I105" s="76" t="s">
        <v>24</v>
      </c>
    </row>
    <row r="106" spans="1:9" s="76" customFormat="1">
      <c r="A106" s="75" t="s">
        <v>121</v>
      </c>
      <c r="B106" s="76" t="s">
        <v>133</v>
      </c>
      <c r="C106" s="76" t="s">
        <v>11</v>
      </c>
      <c r="D106" s="76">
        <v>2017</v>
      </c>
      <c r="E106" s="113">
        <v>12407</v>
      </c>
      <c r="F106" s="76" t="s">
        <v>129</v>
      </c>
      <c r="H106" s="76" t="s">
        <v>130</v>
      </c>
      <c r="I106" s="76" t="s">
        <v>131</v>
      </c>
    </row>
    <row r="107" spans="1:9" s="76" customFormat="1">
      <c r="A107" s="75" t="s">
        <v>121</v>
      </c>
      <c r="B107" s="76" t="s">
        <v>133</v>
      </c>
      <c r="C107" s="76" t="s">
        <v>11</v>
      </c>
      <c r="D107" s="76">
        <v>2016</v>
      </c>
      <c r="E107" s="113">
        <v>13199</v>
      </c>
      <c r="F107" s="76" t="s">
        <v>129</v>
      </c>
      <c r="H107" s="76" t="s">
        <v>130</v>
      </c>
      <c r="I107" s="76" t="s">
        <v>131</v>
      </c>
    </row>
    <row r="108" spans="1:9" s="76" customFormat="1">
      <c r="A108" s="75" t="s">
        <v>121</v>
      </c>
      <c r="B108" s="76" t="s">
        <v>133</v>
      </c>
      <c r="C108" s="76" t="s">
        <v>11</v>
      </c>
      <c r="D108" s="76">
        <v>2015</v>
      </c>
      <c r="E108" s="113">
        <v>17088</v>
      </c>
      <c r="F108" s="76" t="s">
        <v>129</v>
      </c>
      <c r="H108" s="76" t="s">
        <v>130</v>
      </c>
      <c r="I108" s="76" t="s">
        <v>131</v>
      </c>
    </row>
    <row r="109" spans="1:9" s="76" customFormat="1">
      <c r="A109" s="75" t="s">
        <v>121</v>
      </c>
      <c r="B109" s="76" t="s">
        <v>133</v>
      </c>
      <c r="C109" s="76" t="s">
        <v>11</v>
      </c>
      <c r="D109" s="76">
        <v>2014</v>
      </c>
      <c r="E109" s="113">
        <v>15681</v>
      </c>
      <c r="F109" s="76" t="s">
        <v>129</v>
      </c>
      <c r="H109" s="76" t="s">
        <v>130</v>
      </c>
      <c r="I109" s="76" t="s">
        <v>131</v>
      </c>
    </row>
    <row r="110" spans="1:9" s="76" customFormat="1">
      <c r="A110" s="75" t="s">
        <v>121</v>
      </c>
      <c r="B110" s="76" t="s">
        <v>133</v>
      </c>
      <c r="C110" s="76" t="s">
        <v>11</v>
      </c>
      <c r="D110" s="76">
        <v>2013</v>
      </c>
      <c r="E110" s="113">
        <v>17422</v>
      </c>
      <c r="F110" s="76" t="s">
        <v>129</v>
      </c>
      <c r="H110" s="76" t="s">
        <v>130</v>
      </c>
      <c r="I110" s="76" t="s">
        <v>131</v>
      </c>
    </row>
    <row r="111" spans="1:9" s="76" customFormat="1">
      <c r="A111" s="75" t="s">
        <v>121</v>
      </c>
      <c r="B111" s="76" t="s">
        <v>133</v>
      </c>
      <c r="C111" s="76" t="s">
        <v>11</v>
      </c>
      <c r="D111" s="76">
        <v>2012</v>
      </c>
      <c r="E111" s="113">
        <v>19255</v>
      </c>
      <c r="F111" s="76" t="s">
        <v>129</v>
      </c>
      <c r="H111" s="76" t="s">
        <v>130</v>
      </c>
      <c r="I111" s="76" t="s">
        <v>131</v>
      </c>
    </row>
    <row r="112" spans="1:9" s="76" customFormat="1">
      <c r="A112" s="75" t="s">
        <v>121</v>
      </c>
      <c r="B112" s="76" t="s">
        <v>133</v>
      </c>
      <c r="C112" s="76" t="s">
        <v>11</v>
      </c>
      <c r="D112" s="76">
        <v>2011</v>
      </c>
      <c r="E112" s="113">
        <v>18360</v>
      </c>
      <c r="F112" s="76" t="s">
        <v>129</v>
      </c>
      <c r="H112" s="76" t="s">
        <v>130</v>
      </c>
      <c r="I112" s="76" t="s">
        <v>131</v>
      </c>
    </row>
    <row r="113" spans="1:9" s="76" customFormat="1">
      <c r="A113" s="75" t="s">
        <v>121</v>
      </c>
      <c r="B113" s="76" t="s">
        <v>133</v>
      </c>
      <c r="C113" s="76" t="s">
        <v>11</v>
      </c>
      <c r="D113" s="76">
        <v>2010</v>
      </c>
      <c r="E113" s="113">
        <v>25921</v>
      </c>
      <c r="F113" s="76" t="s">
        <v>129</v>
      </c>
      <c r="H113" s="76" t="s">
        <v>130</v>
      </c>
      <c r="I113" s="76" t="s">
        <v>131</v>
      </c>
    </row>
    <row r="114" spans="1:9" s="76" customFormat="1">
      <c r="A114" s="75" t="s">
        <v>121</v>
      </c>
      <c r="B114" s="76" t="s">
        <v>133</v>
      </c>
      <c r="C114" s="76" t="s">
        <v>11</v>
      </c>
      <c r="D114" s="76">
        <v>2008</v>
      </c>
      <c r="E114" s="113">
        <v>34845</v>
      </c>
      <c r="F114" s="76" t="s">
        <v>129</v>
      </c>
      <c r="H114" s="76" t="s">
        <v>130</v>
      </c>
      <c r="I114" s="76" t="s">
        <v>131</v>
      </c>
    </row>
    <row r="115" spans="1:9" s="76" customFormat="1">
      <c r="A115" s="75" t="s">
        <v>121</v>
      </c>
      <c r="B115" s="76" t="s">
        <v>133</v>
      </c>
      <c r="C115" s="76" t="s">
        <v>11</v>
      </c>
      <c r="D115" s="76">
        <v>2006</v>
      </c>
      <c r="E115" s="113">
        <v>43706</v>
      </c>
      <c r="F115" s="76" t="s">
        <v>129</v>
      </c>
      <c r="H115" s="76" t="s">
        <v>130</v>
      </c>
      <c r="I115" s="76" t="s">
        <v>131</v>
      </c>
    </row>
    <row r="116" spans="1:9" s="81" customFormat="1">
      <c r="A116" s="80" t="s">
        <v>121</v>
      </c>
      <c r="B116" s="81" t="s">
        <v>133</v>
      </c>
      <c r="C116" s="81" t="s">
        <v>11</v>
      </c>
      <c r="D116" s="81">
        <v>2004</v>
      </c>
      <c r="E116" s="115">
        <v>66700</v>
      </c>
      <c r="F116" s="81" t="s">
        <v>129</v>
      </c>
      <c r="H116" s="81" t="s">
        <v>130</v>
      </c>
      <c r="I116" s="81" t="s">
        <v>131</v>
      </c>
    </row>
    <row r="117" spans="1:9" s="86" customFormat="1">
      <c r="A117" s="85" t="s">
        <v>121</v>
      </c>
      <c r="B117" s="86" t="s">
        <v>134</v>
      </c>
      <c r="C117" s="86" t="s">
        <v>18</v>
      </c>
      <c r="D117" s="86">
        <v>2017</v>
      </c>
      <c r="E117" s="116">
        <v>47661</v>
      </c>
      <c r="F117" s="86" t="s">
        <v>129</v>
      </c>
      <c r="H117" s="86" t="s">
        <v>130</v>
      </c>
      <c r="I117" s="86" t="s">
        <v>131</v>
      </c>
    </row>
    <row r="118" spans="1:9" s="90" customFormat="1">
      <c r="A118" s="89" t="s">
        <v>121</v>
      </c>
      <c r="B118" s="90" t="s">
        <v>134</v>
      </c>
      <c r="C118" s="90" t="s">
        <v>18</v>
      </c>
      <c r="D118" s="90">
        <v>2016</v>
      </c>
      <c r="E118" s="117">
        <v>56173</v>
      </c>
      <c r="F118" s="90" t="s">
        <v>129</v>
      </c>
      <c r="H118" s="90" t="s">
        <v>130</v>
      </c>
      <c r="I118" s="90" t="s">
        <v>131</v>
      </c>
    </row>
    <row r="119" spans="1:9" s="90" customFormat="1">
      <c r="A119" s="89" t="s">
        <v>121</v>
      </c>
      <c r="B119" s="90" t="s">
        <v>134</v>
      </c>
      <c r="C119" s="90" t="s">
        <v>18</v>
      </c>
      <c r="D119" s="90">
        <v>2015</v>
      </c>
      <c r="E119" s="117">
        <v>101918</v>
      </c>
      <c r="F119" s="90" t="s">
        <v>129</v>
      </c>
      <c r="H119" s="90" t="s">
        <v>130</v>
      </c>
      <c r="I119" s="90" t="s">
        <v>131</v>
      </c>
    </row>
    <row r="120" spans="1:9" s="90" customFormat="1">
      <c r="A120" s="89" t="s">
        <v>121</v>
      </c>
      <c r="B120" s="90" t="s">
        <v>134</v>
      </c>
      <c r="C120" s="90" t="s">
        <v>18</v>
      </c>
      <c r="D120" s="90">
        <v>2014</v>
      </c>
      <c r="E120" s="117">
        <v>164089</v>
      </c>
      <c r="F120" s="90" t="s">
        <v>129</v>
      </c>
      <c r="H120" s="90" t="s">
        <v>130</v>
      </c>
      <c r="I120" s="90" t="s">
        <v>131</v>
      </c>
    </row>
    <row r="121" spans="1:9" s="90" customFormat="1">
      <c r="A121" s="89" t="s">
        <v>121</v>
      </c>
      <c r="B121" s="90" t="s">
        <v>134</v>
      </c>
      <c r="C121" s="90" t="s">
        <v>18</v>
      </c>
      <c r="D121" s="90">
        <v>2013</v>
      </c>
      <c r="E121" s="117">
        <v>203403</v>
      </c>
      <c r="F121" s="90" t="s">
        <v>129</v>
      </c>
      <c r="H121" s="90" t="s">
        <v>130</v>
      </c>
      <c r="I121" s="90" t="s">
        <v>131</v>
      </c>
    </row>
    <row r="122" spans="1:9" s="90" customFormat="1">
      <c r="A122" s="89" t="s">
        <v>121</v>
      </c>
      <c r="B122" s="90" t="s">
        <v>134</v>
      </c>
      <c r="C122" s="90" t="s">
        <v>18</v>
      </c>
      <c r="D122" s="90">
        <v>2012</v>
      </c>
      <c r="E122" s="117">
        <v>213024</v>
      </c>
      <c r="F122" s="90" t="s">
        <v>129</v>
      </c>
      <c r="H122" s="90" t="s">
        <v>130</v>
      </c>
      <c r="I122" s="90" t="s">
        <v>131</v>
      </c>
    </row>
    <row r="123" spans="1:9" s="90" customFormat="1">
      <c r="A123" s="89" t="s">
        <v>121</v>
      </c>
      <c r="B123" s="90" t="s">
        <v>134</v>
      </c>
      <c r="C123" s="90" t="s">
        <v>18</v>
      </c>
      <c r="D123" s="90">
        <v>2011</v>
      </c>
      <c r="E123" s="117">
        <v>231562</v>
      </c>
      <c r="F123" s="90" t="s">
        <v>129</v>
      </c>
      <c r="H123" s="90" t="s">
        <v>130</v>
      </c>
      <c r="I123" s="90" t="s">
        <v>131</v>
      </c>
    </row>
    <row r="124" spans="1:9" s="90" customFormat="1">
      <c r="A124" s="89" t="s">
        <v>121</v>
      </c>
      <c r="B124" s="90" t="s">
        <v>134</v>
      </c>
      <c r="C124" s="90" t="s">
        <v>18</v>
      </c>
      <c r="D124" s="90">
        <v>2010</v>
      </c>
      <c r="E124" s="117">
        <v>238181</v>
      </c>
      <c r="F124" s="90" t="s">
        <v>129</v>
      </c>
      <c r="H124" s="90" t="s">
        <v>130</v>
      </c>
      <c r="I124" s="90" t="s">
        <v>131</v>
      </c>
    </row>
    <row r="125" spans="1:9" s="90" customFormat="1">
      <c r="A125" s="89" t="s">
        <v>121</v>
      </c>
      <c r="B125" s="90" t="s">
        <v>134</v>
      </c>
      <c r="C125" s="90" t="s">
        <v>18</v>
      </c>
      <c r="D125" s="90">
        <v>2008</v>
      </c>
      <c r="E125" s="117">
        <v>403504</v>
      </c>
      <c r="F125" s="90" t="s">
        <v>129</v>
      </c>
      <c r="H125" s="90" t="s">
        <v>130</v>
      </c>
      <c r="I125" s="90" t="s">
        <v>131</v>
      </c>
    </row>
    <row r="126" spans="1:9" s="90" customFormat="1">
      <c r="A126" s="89" t="s">
        <v>121</v>
      </c>
      <c r="B126" s="90" t="s">
        <v>134</v>
      </c>
      <c r="C126" s="90" t="s">
        <v>18</v>
      </c>
      <c r="D126" s="90">
        <v>2006</v>
      </c>
      <c r="E126" s="117">
        <v>813342</v>
      </c>
      <c r="F126" s="90" t="s">
        <v>129</v>
      </c>
      <c r="H126" s="90" t="s">
        <v>130</v>
      </c>
      <c r="I126" s="90" t="s">
        <v>131</v>
      </c>
    </row>
    <row r="127" spans="1:9" s="90" customFormat="1">
      <c r="A127" s="89" t="s">
        <v>121</v>
      </c>
      <c r="B127" s="90" t="s">
        <v>134</v>
      </c>
      <c r="C127" s="90" t="s">
        <v>18</v>
      </c>
      <c r="D127" s="90">
        <v>2004</v>
      </c>
      <c r="E127" s="117">
        <v>286048</v>
      </c>
      <c r="F127" s="90" t="s">
        <v>129</v>
      </c>
      <c r="H127" s="90" t="s">
        <v>130</v>
      </c>
      <c r="I127" s="90" t="s">
        <v>131</v>
      </c>
    </row>
    <row r="128" spans="1:9" s="90" customFormat="1">
      <c r="A128" s="89" t="s">
        <v>121</v>
      </c>
      <c r="B128" s="90" t="s">
        <v>134</v>
      </c>
      <c r="C128" s="90" t="s">
        <v>15</v>
      </c>
      <c r="D128" s="90">
        <v>2017</v>
      </c>
      <c r="E128" s="117">
        <v>559</v>
      </c>
      <c r="F128" s="90" t="s">
        <v>129</v>
      </c>
      <c r="H128" s="90" t="s">
        <v>130</v>
      </c>
      <c r="I128" s="90" t="s">
        <v>131</v>
      </c>
    </row>
    <row r="129" spans="1:9" s="90" customFormat="1">
      <c r="A129" s="89" t="s">
        <v>121</v>
      </c>
      <c r="B129" s="90" t="s">
        <v>134</v>
      </c>
      <c r="C129" s="90" t="s">
        <v>15</v>
      </c>
      <c r="D129" s="90">
        <v>2016</v>
      </c>
      <c r="E129" s="117">
        <v>1095</v>
      </c>
      <c r="F129" s="90" t="s">
        <v>129</v>
      </c>
      <c r="H129" s="90" t="s">
        <v>130</v>
      </c>
      <c r="I129" s="92" t="s">
        <v>131</v>
      </c>
    </row>
    <row r="130" spans="1:9" s="90" customFormat="1">
      <c r="A130" s="89" t="s">
        <v>121</v>
      </c>
      <c r="B130" s="90" t="s">
        <v>134</v>
      </c>
      <c r="C130" s="90" t="s">
        <v>15</v>
      </c>
      <c r="D130" s="90">
        <v>2015</v>
      </c>
      <c r="E130" s="117">
        <v>1317</v>
      </c>
      <c r="F130" s="90" t="s">
        <v>129</v>
      </c>
      <c r="H130" s="90" t="s">
        <v>130</v>
      </c>
      <c r="I130" s="90" t="s">
        <v>131</v>
      </c>
    </row>
    <row r="131" spans="1:9" s="90" customFormat="1">
      <c r="A131" s="89" t="s">
        <v>121</v>
      </c>
      <c r="B131" s="90" t="s">
        <v>134</v>
      </c>
      <c r="C131" s="90" t="s">
        <v>15</v>
      </c>
      <c r="D131" s="90">
        <v>2014</v>
      </c>
      <c r="E131" s="117">
        <v>1812</v>
      </c>
      <c r="F131" s="90" t="s">
        <v>129</v>
      </c>
      <c r="H131" s="90" t="s">
        <v>130</v>
      </c>
      <c r="I131" s="90" t="s">
        <v>131</v>
      </c>
    </row>
    <row r="132" spans="1:9" s="90" customFormat="1">
      <c r="A132" s="89" t="s">
        <v>121</v>
      </c>
      <c r="B132" s="90" t="s">
        <v>134</v>
      </c>
      <c r="C132" s="90" t="s">
        <v>15</v>
      </c>
      <c r="D132" s="90">
        <v>2013</v>
      </c>
      <c r="E132" s="117">
        <v>14812</v>
      </c>
      <c r="F132" s="90" t="s">
        <v>129</v>
      </c>
      <c r="H132" s="90" t="s">
        <v>130</v>
      </c>
      <c r="I132" s="90" t="s">
        <v>131</v>
      </c>
    </row>
    <row r="133" spans="1:9" s="90" customFormat="1">
      <c r="A133" s="89" t="s">
        <v>121</v>
      </c>
      <c r="B133" s="90" t="s">
        <v>134</v>
      </c>
      <c r="C133" s="90" t="s">
        <v>15</v>
      </c>
      <c r="D133" s="90">
        <v>2012</v>
      </c>
      <c r="E133" s="117">
        <v>15296</v>
      </c>
      <c r="F133" s="90" t="s">
        <v>129</v>
      </c>
      <c r="H133" s="90" t="s">
        <v>130</v>
      </c>
      <c r="I133" s="90" t="s">
        <v>131</v>
      </c>
    </row>
    <row r="134" spans="1:9" s="90" customFormat="1">
      <c r="A134" s="89" t="s">
        <v>121</v>
      </c>
      <c r="B134" s="90" t="s">
        <v>134</v>
      </c>
      <c r="C134" s="90" t="s">
        <v>15</v>
      </c>
      <c r="D134" s="90">
        <v>2011</v>
      </c>
      <c r="E134" s="117">
        <v>12346</v>
      </c>
      <c r="F134" s="90" t="s">
        <v>129</v>
      </c>
      <c r="H134" s="90" t="s">
        <v>130</v>
      </c>
      <c r="I134" s="90" t="s">
        <v>131</v>
      </c>
    </row>
    <row r="135" spans="1:9" s="90" customFormat="1">
      <c r="A135" s="89" t="s">
        <v>121</v>
      </c>
      <c r="B135" s="90" t="s">
        <v>134</v>
      </c>
      <c r="C135" s="90" t="s">
        <v>15</v>
      </c>
      <c r="D135" s="90">
        <v>2010</v>
      </c>
      <c r="E135" s="117">
        <v>16911</v>
      </c>
      <c r="F135" s="90" t="s">
        <v>129</v>
      </c>
      <c r="H135" s="90" t="s">
        <v>130</v>
      </c>
      <c r="I135" s="90" t="s">
        <v>131</v>
      </c>
    </row>
    <row r="136" spans="1:9" s="90" customFormat="1">
      <c r="A136" s="89" t="s">
        <v>121</v>
      </c>
      <c r="B136" s="90" t="s">
        <v>134</v>
      </c>
      <c r="C136" s="90" t="s">
        <v>15</v>
      </c>
      <c r="D136" s="90">
        <v>2008</v>
      </c>
      <c r="E136" s="117">
        <v>50072</v>
      </c>
      <c r="F136" s="90" t="s">
        <v>129</v>
      </c>
      <c r="H136" s="90" t="s">
        <v>130</v>
      </c>
      <c r="I136" s="90" t="s">
        <v>131</v>
      </c>
    </row>
    <row r="137" spans="1:9" s="90" customFormat="1">
      <c r="A137" s="89" t="s">
        <v>121</v>
      </c>
      <c r="B137" s="90" t="s">
        <v>134</v>
      </c>
      <c r="C137" s="90" t="s">
        <v>15</v>
      </c>
      <c r="D137" s="90">
        <v>2006</v>
      </c>
      <c r="E137" s="117">
        <v>46345</v>
      </c>
      <c r="F137" s="90" t="s">
        <v>129</v>
      </c>
      <c r="H137" s="90" t="s">
        <v>130</v>
      </c>
      <c r="I137" s="90" t="s">
        <v>131</v>
      </c>
    </row>
    <row r="138" spans="1:9" s="90" customFormat="1">
      <c r="A138" s="89" t="s">
        <v>121</v>
      </c>
      <c r="B138" s="90" t="s">
        <v>134</v>
      </c>
      <c r="C138" s="90" t="s">
        <v>15</v>
      </c>
      <c r="D138" s="90">
        <v>2004</v>
      </c>
      <c r="E138" s="117">
        <v>53018</v>
      </c>
      <c r="F138" s="90" t="s">
        <v>129</v>
      </c>
      <c r="H138" s="90" t="s">
        <v>130</v>
      </c>
      <c r="I138" s="90" t="s">
        <v>131</v>
      </c>
    </row>
    <row r="139" spans="1:9" s="90" customFormat="1">
      <c r="A139" s="89" t="s">
        <v>121</v>
      </c>
      <c r="B139" s="90" t="s">
        <v>134</v>
      </c>
      <c r="C139" s="90" t="s">
        <v>11</v>
      </c>
      <c r="D139" s="90">
        <v>2018</v>
      </c>
      <c r="E139" s="117">
        <v>1907</v>
      </c>
      <c r="F139" s="90" t="s">
        <v>129</v>
      </c>
      <c r="H139" s="90" t="s">
        <v>130</v>
      </c>
      <c r="I139" s="90" t="s">
        <v>24</v>
      </c>
    </row>
    <row r="140" spans="1:9" s="90" customFormat="1">
      <c r="A140" s="89" t="s">
        <v>121</v>
      </c>
      <c r="B140" s="90" t="s">
        <v>134</v>
      </c>
      <c r="C140" s="90" t="s">
        <v>11</v>
      </c>
      <c r="D140" s="90">
        <v>2017</v>
      </c>
      <c r="E140" s="117">
        <v>2401</v>
      </c>
      <c r="F140" s="90" t="s">
        <v>129</v>
      </c>
      <c r="H140" s="90" t="s">
        <v>130</v>
      </c>
      <c r="I140" s="90" t="s">
        <v>131</v>
      </c>
    </row>
    <row r="141" spans="1:9" s="90" customFormat="1">
      <c r="A141" s="89" t="s">
        <v>121</v>
      </c>
      <c r="B141" s="90" t="s">
        <v>134</v>
      </c>
      <c r="C141" s="90" t="s">
        <v>11</v>
      </c>
      <c r="D141" s="90">
        <v>2016</v>
      </c>
      <c r="E141" s="117">
        <v>3682</v>
      </c>
      <c r="F141" s="90" t="s">
        <v>129</v>
      </c>
      <c r="H141" s="90" t="s">
        <v>130</v>
      </c>
      <c r="I141" s="90" t="s">
        <v>131</v>
      </c>
    </row>
    <row r="142" spans="1:9" s="90" customFormat="1">
      <c r="A142" s="89" t="s">
        <v>121</v>
      </c>
      <c r="B142" s="90" t="s">
        <v>134</v>
      </c>
      <c r="C142" s="90" t="s">
        <v>11</v>
      </c>
      <c r="D142" s="90">
        <v>2015</v>
      </c>
      <c r="E142" s="117">
        <v>4742</v>
      </c>
      <c r="F142" s="90" t="s">
        <v>129</v>
      </c>
      <c r="H142" s="90" t="s">
        <v>130</v>
      </c>
      <c r="I142" s="90" t="s">
        <v>131</v>
      </c>
    </row>
    <row r="143" spans="1:9" s="90" customFormat="1">
      <c r="A143" s="89" t="s">
        <v>121</v>
      </c>
      <c r="B143" s="90" t="s">
        <v>134</v>
      </c>
      <c r="C143" s="90" t="s">
        <v>11</v>
      </c>
      <c r="D143" s="90">
        <v>2014</v>
      </c>
      <c r="E143" s="117">
        <v>7116</v>
      </c>
      <c r="F143" s="90" t="s">
        <v>129</v>
      </c>
      <c r="H143" s="90" t="s">
        <v>130</v>
      </c>
      <c r="I143" s="90" t="s">
        <v>131</v>
      </c>
    </row>
    <row r="144" spans="1:9" s="90" customFormat="1">
      <c r="A144" s="89" t="s">
        <v>121</v>
      </c>
      <c r="B144" s="90" t="s">
        <v>134</v>
      </c>
      <c r="C144" s="90" t="s">
        <v>11</v>
      </c>
      <c r="D144" s="90">
        <v>2013</v>
      </c>
      <c r="E144" s="117">
        <v>4745</v>
      </c>
      <c r="F144" s="90" t="s">
        <v>129</v>
      </c>
      <c r="H144" s="90" t="s">
        <v>130</v>
      </c>
      <c r="I144" s="90" t="s">
        <v>131</v>
      </c>
    </row>
    <row r="145" spans="1:9" s="90" customFormat="1">
      <c r="A145" s="89" t="s">
        <v>121</v>
      </c>
      <c r="B145" s="90" t="s">
        <v>134</v>
      </c>
      <c r="C145" s="90" t="s">
        <v>11</v>
      </c>
      <c r="D145" s="90">
        <v>2012</v>
      </c>
      <c r="E145" s="117">
        <v>10797</v>
      </c>
      <c r="F145" s="90" t="s">
        <v>129</v>
      </c>
      <c r="H145" s="90" t="s">
        <v>130</v>
      </c>
      <c r="I145" s="90" t="s">
        <v>131</v>
      </c>
    </row>
    <row r="146" spans="1:9" s="90" customFormat="1">
      <c r="A146" s="89" t="s">
        <v>121</v>
      </c>
      <c r="B146" s="90" t="s">
        <v>134</v>
      </c>
      <c r="C146" s="90" t="s">
        <v>11</v>
      </c>
      <c r="D146" s="90">
        <v>2011</v>
      </c>
      <c r="E146" s="117">
        <v>16203</v>
      </c>
      <c r="F146" s="90" t="s">
        <v>129</v>
      </c>
      <c r="H146" s="90" t="s">
        <v>130</v>
      </c>
      <c r="I146" s="90" t="s">
        <v>131</v>
      </c>
    </row>
    <row r="147" spans="1:9" s="90" customFormat="1">
      <c r="A147" s="89" t="s">
        <v>121</v>
      </c>
      <c r="B147" s="90" t="s">
        <v>134</v>
      </c>
      <c r="C147" s="90" t="s">
        <v>11</v>
      </c>
      <c r="D147" s="90">
        <v>2010</v>
      </c>
      <c r="E147" s="117">
        <v>36944</v>
      </c>
      <c r="F147" s="90" t="s">
        <v>129</v>
      </c>
      <c r="H147" s="90" t="s">
        <v>130</v>
      </c>
      <c r="I147" s="90" t="s">
        <v>131</v>
      </c>
    </row>
    <row r="148" spans="1:9" s="90" customFormat="1">
      <c r="A148" s="89" t="s">
        <v>121</v>
      </c>
      <c r="B148" s="90" t="s">
        <v>134</v>
      </c>
      <c r="C148" s="90" t="s">
        <v>11</v>
      </c>
      <c r="D148" s="90">
        <v>2008</v>
      </c>
      <c r="E148" s="117">
        <v>48974</v>
      </c>
      <c r="F148" s="90" t="s">
        <v>129</v>
      </c>
      <c r="H148" s="90" t="s">
        <v>130</v>
      </c>
      <c r="I148" s="90" t="s">
        <v>131</v>
      </c>
    </row>
    <row r="149" spans="1:9" s="90" customFormat="1">
      <c r="A149" s="89" t="s">
        <v>121</v>
      </c>
      <c r="B149" s="90" t="s">
        <v>134</v>
      </c>
      <c r="C149" s="90" t="s">
        <v>11</v>
      </c>
      <c r="D149" s="90">
        <v>2006</v>
      </c>
      <c r="E149" s="117">
        <v>66712</v>
      </c>
      <c r="F149" s="90" t="s">
        <v>129</v>
      </c>
      <c r="H149" s="90" t="s">
        <v>130</v>
      </c>
      <c r="I149" s="90" t="s">
        <v>131</v>
      </c>
    </row>
    <row r="150" spans="1:9" s="95" customFormat="1">
      <c r="A150" s="94" t="s">
        <v>121</v>
      </c>
      <c r="B150" s="95" t="s">
        <v>134</v>
      </c>
      <c r="C150" s="95" t="s">
        <v>11</v>
      </c>
      <c r="D150" s="95">
        <v>2004</v>
      </c>
      <c r="E150" s="118">
        <v>129461</v>
      </c>
      <c r="F150" s="95" t="s">
        <v>129</v>
      </c>
      <c r="H150" s="95" t="s">
        <v>130</v>
      </c>
      <c r="I150" s="95" t="s">
        <v>131</v>
      </c>
    </row>
    <row r="151" spans="1:9" s="99" customFormat="1">
      <c r="A151" s="98" t="s">
        <v>135</v>
      </c>
      <c r="B151" s="99" t="s">
        <v>136</v>
      </c>
      <c r="C151" s="99" t="s">
        <v>11</v>
      </c>
      <c r="D151" s="99">
        <v>2014</v>
      </c>
      <c r="E151" s="114">
        <v>0</v>
      </c>
      <c r="F151" s="99" t="s">
        <v>137</v>
      </c>
      <c r="G151" s="99" cm="1">
        <f t="array" ref="G151">E151/(VLOOKUP(D151,net_generation!$A:$D,MATCH(C151,net_generation!$1:$1,FALSE),FALSE)/10^6)</f>
        <v>0</v>
      </c>
      <c r="H151" s="99" t="s">
        <v>238</v>
      </c>
      <c r="I151" s="99" t="s">
        <v>24</v>
      </c>
    </row>
    <row r="152" spans="1:9" s="76" customFormat="1">
      <c r="A152" s="75" t="s">
        <v>135</v>
      </c>
      <c r="B152" s="76" t="s">
        <v>136</v>
      </c>
      <c r="C152" s="76" t="s">
        <v>11</v>
      </c>
      <c r="D152" s="76">
        <v>2015</v>
      </c>
      <c r="E152" s="113">
        <v>2</v>
      </c>
      <c r="F152" s="76" t="s">
        <v>137</v>
      </c>
      <c r="G152" s="99" cm="1">
        <f t="array" ref="G152">E152/(VLOOKUP(D152,net_generation!$A:$D,MATCH(C152,net_generation!$1:$1,FALSE),FALSE)/10^6)</f>
        <v>1.0064330546672847E-2</v>
      </c>
      <c r="H152" s="99" t="s">
        <v>238</v>
      </c>
      <c r="I152" s="76" t="s">
        <v>24</v>
      </c>
    </row>
    <row r="153" spans="1:9" s="76" customFormat="1">
      <c r="A153" s="75" t="s">
        <v>135</v>
      </c>
      <c r="B153" s="76" t="s">
        <v>136</v>
      </c>
      <c r="C153" s="76" t="s">
        <v>11</v>
      </c>
      <c r="D153" s="76">
        <v>2016</v>
      </c>
      <c r="E153" s="113">
        <v>0</v>
      </c>
      <c r="F153" s="76" t="s">
        <v>137</v>
      </c>
      <c r="G153" s="99" cm="1">
        <f t="array" ref="G153">E153/(VLOOKUP(D153,net_generation!$A:$D,MATCH(C153,net_generation!$1:$1,FALSE),FALSE)/10^6)</f>
        <v>0</v>
      </c>
      <c r="H153" s="99" t="s">
        <v>238</v>
      </c>
      <c r="I153" s="76" t="s">
        <v>24</v>
      </c>
    </row>
    <row r="154" spans="1:9" s="76" customFormat="1">
      <c r="A154" s="75" t="s">
        <v>135</v>
      </c>
      <c r="B154" s="76" t="s">
        <v>136</v>
      </c>
      <c r="C154" s="76" t="s">
        <v>11</v>
      </c>
      <c r="D154" s="76">
        <v>2017</v>
      </c>
      <c r="E154" s="113">
        <v>1</v>
      </c>
      <c r="F154" s="76" t="s">
        <v>137</v>
      </c>
      <c r="G154" s="99" cm="1">
        <f t="array" ref="G154">E154/(VLOOKUP(D154,net_generation!$A:$D,MATCH(C154,net_generation!$1:$1,FALSE),FALSE)/10^6)</f>
        <v>5.2865298938119592E-3</v>
      </c>
      <c r="H154" s="99" t="s">
        <v>238</v>
      </c>
      <c r="I154" s="76" t="s">
        <v>24</v>
      </c>
    </row>
    <row r="155" spans="1:9" s="76" customFormat="1">
      <c r="A155" s="75" t="s">
        <v>135</v>
      </c>
      <c r="B155" s="76" t="s">
        <v>136</v>
      </c>
      <c r="C155" s="76" t="s">
        <v>11</v>
      </c>
      <c r="D155" s="76">
        <v>2018</v>
      </c>
      <c r="E155" s="113">
        <v>0</v>
      </c>
      <c r="F155" s="76" t="s">
        <v>137</v>
      </c>
      <c r="G155" s="99" cm="1">
        <f t="array" ref="G155">E155/(VLOOKUP(D155,net_generation!$A:$D,MATCH(C155,net_generation!$1:$1,FALSE),FALSE)/10^6)</f>
        <v>0</v>
      </c>
      <c r="H155" s="99" t="s">
        <v>238</v>
      </c>
      <c r="I155" s="76" t="s">
        <v>24</v>
      </c>
    </row>
    <row r="156" spans="1:9" s="76" customFormat="1">
      <c r="A156" s="75" t="s">
        <v>135</v>
      </c>
      <c r="B156" s="76" t="s">
        <v>136</v>
      </c>
      <c r="C156" s="76" t="s">
        <v>15</v>
      </c>
      <c r="D156" s="76">
        <v>2014</v>
      </c>
      <c r="E156" s="113">
        <v>592</v>
      </c>
      <c r="F156" s="76" t="s">
        <v>137</v>
      </c>
      <c r="G156" s="99" cm="1">
        <f t="array" ref="G156">E156/(VLOOKUP(D156,net_generation!$A:$D,MATCH(C156,net_generation!$1:$1,FALSE),FALSE)/10^6)</f>
        <v>3.3263857691212166</v>
      </c>
      <c r="H156" s="99" t="s">
        <v>238</v>
      </c>
      <c r="I156" s="79" t="s">
        <v>17</v>
      </c>
    </row>
    <row r="157" spans="1:9" s="76" customFormat="1">
      <c r="A157" s="75" t="s">
        <v>135</v>
      </c>
      <c r="B157" s="76" t="s">
        <v>136</v>
      </c>
      <c r="C157" s="76" t="s">
        <v>15</v>
      </c>
      <c r="D157" s="76">
        <v>2015</v>
      </c>
      <c r="E157" s="113">
        <v>726</v>
      </c>
      <c r="F157" s="76" t="s">
        <v>137</v>
      </c>
      <c r="G157" s="99" cm="1">
        <f t="array" ref="G157">E157/(VLOOKUP(D157,net_generation!$A:$D,MATCH(C157,net_generation!$1:$1,FALSE),FALSE)/10^6)</f>
        <v>4.0325954435012825</v>
      </c>
      <c r="H157" s="99" t="s">
        <v>238</v>
      </c>
      <c r="I157" s="79" t="s">
        <v>17</v>
      </c>
    </row>
    <row r="158" spans="1:9" s="76" customFormat="1">
      <c r="A158" s="75" t="s">
        <v>135</v>
      </c>
      <c r="B158" s="76" t="s">
        <v>136</v>
      </c>
      <c r="C158" s="76" t="s">
        <v>15</v>
      </c>
      <c r="D158" s="76">
        <v>2016</v>
      </c>
      <c r="E158" s="113">
        <v>777</v>
      </c>
      <c r="F158" s="76" t="s">
        <v>137</v>
      </c>
      <c r="G158" s="99" cm="1">
        <f t="array" ref="G158">E158/(VLOOKUP(D158,net_generation!$A:$D,MATCH(C158,net_generation!$1:$1,FALSE),FALSE)/10^6)</f>
        <v>4.1582916882372434</v>
      </c>
      <c r="H158" s="99" t="s">
        <v>238</v>
      </c>
      <c r="I158" s="79" t="s">
        <v>17</v>
      </c>
    </row>
    <row r="159" spans="1:9" s="76" customFormat="1">
      <c r="A159" s="75" t="s">
        <v>135</v>
      </c>
      <c r="B159" s="76" t="s">
        <v>136</v>
      </c>
      <c r="C159" s="76" t="s">
        <v>15</v>
      </c>
      <c r="D159" s="76">
        <v>2017</v>
      </c>
      <c r="E159" s="113">
        <v>746</v>
      </c>
      <c r="F159" s="76" t="s">
        <v>137</v>
      </c>
      <c r="G159" s="99" cm="1">
        <f t="array" ref="G159">E159/(VLOOKUP(D159,net_generation!$A:$D,MATCH(C159,net_generation!$1:$1,FALSE),FALSE)/10^6)</f>
        <v>3.8309669185761495</v>
      </c>
      <c r="H159" s="99" t="s">
        <v>238</v>
      </c>
      <c r="I159" s="79" t="s">
        <v>17</v>
      </c>
    </row>
    <row r="160" spans="1:9" s="76" customFormat="1">
      <c r="A160" s="75" t="s">
        <v>135</v>
      </c>
      <c r="B160" s="76" t="s">
        <v>136</v>
      </c>
      <c r="C160" s="76" t="s">
        <v>15</v>
      </c>
      <c r="D160" s="76">
        <v>2018</v>
      </c>
      <c r="E160" s="113">
        <v>805</v>
      </c>
      <c r="F160" s="76" t="s">
        <v>137</v>
      </c>
      <c r="G160" s="99" cm="1">
        <f t="array" ref="G160">E160/(VLOOKUP(D160,net_generation!$A:$D,MATCH(C160,net_generation!$1:$1,FALSE),FALSE)/10^6)</f>
        <v>4.1446989043578553</v>
      </c>
      <c r="H160" s="99" t="s">
        <v>238</v>
      </c>
      <c r="I160" s="79" t="s">
        <v>17</v>
      </c>
    </row>
    <row r="161" spans="1:9" s="76" customFormat="1">
      <c r="A161" s="75" t="s">
        <v>135</v>
      </c>
      <c r="B161" s="76" t="s">
        <v>136</v>
      </c>
      <c r="C161" s="76" t="s">
        <v>18</v>
      </c>
      <c r="D161" s="76">
        <v>2014</v>
      </c>
      <c r="E161" s="113">
        <v>26</v>
      </c>
      <c r="F161" s="76" t="s">
        <v>137</v>
      </c>
      <c r="G161" s="99" cm="1">
        <f t="array" ref="G161">E161/(VLOOKUP(D161,net_generation!$A:$D,MATCH(C161,net_generation!$1:$1,FALSE),FALSE)/10^6)</f>
        <v>0.10635382280635014</v>
      </c>
      <c r="H161" s="99" t="s">
        <v>238</v>
      </c>
      <c r="I161" s="79" t="s">
        <v>139</v>
      </c>
    </row>
    <row r="162" spans="1:9" s="76" customFormat="1">
      <c r="A162" s="75" t="s">
        <v>135</v>
      </c>
      <c r="B162" s="76" t="s">
        <v>136</v>
      </c>
      <c r="C162" s="76" t="s">
        <v>18</v>
      </c>
      <c r="D162" s="76">
        <v>2015</v>
      </c>
      <c r="E162" s="113">
        <v>23</v>
      </c>
      <c r="F162" s="76" t="s">
        <v>137</v>
      </c>
      <c r="G162" s="99" cm="1">
        <f t="array" ref="G162">E162/(VLOOKUP(D162,net_generation!$A:$D,MATCH(C162,net_generation!$1:$1,FALSE),FALSE)/10^6)</f>
        <v>0.10515775949963195</v>
      </c>
      <c r="H162" s="99" t="s">
        <v>238</v>
      </c>
      <c r="I162" s="79" t="s">
        <v>140</v>
      </c>
    </row>
    <row r="163" spans="1:9" s="76" customFormat="1">
      <c r="A163" s="75" t="s">
        <v>135</v>
      </c>
      <c r="B163" s="76" t="s">
        <v>136</v>
      </c>
      <c r="C163" s="76" t="s">
        <v>18</v>
      </c>
      <c r="D163" s="76">
        <v>2016</v>
      </c>
      <c r="E163" s="113">
        <v>23</v>
      </c>
      <c r="F163" s="76" t="s">
        <v>137</v>
      </c>
      <c r="G163" s="99" cm="1">
        <f t="array" ref="G163">E163/(VLOOKUP(D163,net_generation!$A:$D,MATCH(C163,net_generation!$1:$1,FALSE),FALSE)/10^6)</f>
        <v>0.10488633513464213</v>
      </c>
      <c r="H163" s="99" t="s">
        <v>238</v>
      </c>
      <c r="I163" s="79" t="s">
        <v>141</v>
      </c>
    </row>
    <row r="164" spans="1:9" s="76" customFormat="1">
      <c r="A164" s="75" t="s">
        <v>135</v>
      </c>
      <c r="B164" s="76" t="s">
        <v>136</v>
      </c>
      <c r="C164" s="76" t="s">
        <v>18</v>
      </c>
      <c r="D164" s="76">
        <v>2017</v>
      </c>
      <c r="E164" s="113">
        <v>18</v>
      </c>
      <c r="F164" s="76" t="s">
        <v>137</v>
      </c>
      <c r="G164" s="99" cm="1">
        <f t="array" ref="G164">E164/(VLOOKUP(D164,net_generation!$A:$D,MATCH(C164,net_generation!$1:$1,FALSE),FALSE)/10^6)</f>
        <v>7.9198511067991931E-2</v>
      </c>
      <c r="H164" s="99" t="s">
        <v>238</v>
      </c>
      <c r="I164" s="79" t="s">
        <v>142</v>
      </c>
    </row>
    <row r="165" spans="1:9" s="81" customFormat="1">
      <c r="A165" s="80" t="s">
        <v>135</v>
      </c>
      <c r="B165" s="81" t="s">
        <v>136</v>
      </c>
      <c r="C165" s="81" t="s">
        <v>18</v>
      </c>
      <c r="D165" s="81">
        <v>2018</v>
      </c>
      <c r="E165" s="115">
        <v>28</v>
      </c>
      <c r="F165" s="81" t="s">
        <v>137</v>
      </c>
      <c r="G165" s="99" cm="1">
        <f t="array" ref="G165">E165/(VLOOKUP(D165,net_generation!$A:$D,MATCH(C165,net_generation!$1:$1,FALSE),FALSE)/10^6)</f>
        <v>0.12010569300984868</v>
      </c>
      <c r="H165" s="99" t="s">
        <v>238</v>
      </c>
      <c r="I165" s="84" t="s">
        <v>19</v>
      </c>
    </row>
    <row r="166" spans="1:9" s="69" customFormat="1">
      <c r="A166" s="119" t="s">
        <v>135</v>
      </c>
      <c r="B166" s="120" t="s">
        <v>143</v>
      </c>
      <c r="C166" s="120" t="s">
        <v>11</v>
      </c>
      <c r="D166" s="120">
        <v>2014</v>
      </c>
      <c r="E166" s="121"/>
      <c r="F166" s="120" t="s">
        <v>129</v>
      </c>
      <c r="G166" s="120" cm="1">
        <f t="array" ref="G166">E166/(VLOOKUP(D166,net_generation!$A:$D,MATCH(C166,net_generation!$1:$1,FALSE),FALSE)/10^6)</f>
        <v>0</v>
      </c>
      <c r="H166" s="120" t="s">
        <v>239</v>
      </c>
      <c r="I166" s="122"/>
    </row>
    <row r="167" spans="1:9" s="44" customFormat="1">
      <c r="A167" s="70" t="s">
        <v>135</v>
      </c>
      <c r="B167" s="71" t="s">
        <v>143</v>
      </c>
      <c r="C167" s="71" t="s">
        <v>11</v>
      </c>
      <c r="D167" s="71">
        <v>2015</v>
      </c>
      <c r="E167" s="123"/>
      <c r="F167" s="71" t="s">
        <v>129</v>
      </c>
      <c r="G167" s="120" cm="1">
        <f t="array" ref="G167">E167/(VLOOKUP(D167,net_generation!$A:$D,MATCH(C167,net_generation!$1:$1,FALSE),FALSE)/10^6)</f>
        <v>0</v>
      </c>
      <c r="H167" s="120" t="s">
        <v>239</v>
      </c>
      <c r="I167" s="73"/>
    </row>
    <row r="168" spans="1:9" s="44" customFormat="1">
      <c r="A168" s="70" t="s">
        <v>135</v>
      </c>
      <c r="B168" s="71" t="s">
        <v>143</v>
      </c>
      <c r="C168" s="71" t="s">
        <v>11</v>
      </c>
      <c r="D168" s="71">
        <v>2016</v>
      </c>
      <c r="E168" s="123"/>
      <c r="F168" s="71" t="s">
        <v>129</v>
      </c>
      <c r="G168" s="120" cm="1">
        <f t="array" ref="G168">E168/(VLOOKUP(D168,net_generation!$A:$D,MATCH(C168,net_generation!$1:$1,FALSE),FALSE)/10^6)</f>
        <v>0</v>
      </c>
      <c r="H168" s="120" t="s">
        <v>239</v>
      </c>
      <c r="I168" s="73"/>
    </row>
    <row r="169" spans="1:9" s="90" customFormat="1">
      <c r="A169" s="89" t="s">
        <v>135</v>
      </c>
      <c r="B169" s="90" t="s">
        <v>143</v>
      </c>
      <c r="C169" s="90" t="s">
        <v>11</v>
      </c>
      <c r="D169" s="90">
        <v>2017</v>
      </c>
      <c r="E169" s="117">
        <v>37207.5</v>
      </c>
      <c r="F169" s="90" t="s">
        <v>129</v>
      </c>
      <c r="G169" s="120" cm="1">
        <f t="array" ref="G169">E169/(VLOOKUP(D169,net_generation!$A:$D,MATCH(C169,net_generation!$1:$1,FALSE),FALSE)/10^6)</f>
        <v>196.69856102400846</v>
      </c>
      <c r="H169" s="120" t="s">
        <v>239</v>
      </c>
      <c r="I169" s="90" t="s">
        <v>24</v>
      </c>
    </row>
    <row r="170" spans="1:9" s="90" customFormat="1">
      <c r="A170" s="89" t="s">
        <v>135</v>
      </c>
      <c r="B170" s="90" t="s">
        <v>143</v>
      </c>
      <c r="C170" s="90" t="s">
        <v>11</v>
      </c>
      <c r="D170" s="90">
        <v>2018</v>
      </c>
      <c r="E170" s="117">
        <v>147153.20000000001</v>
      </c>
      <c r="F170" s="90" t="s">
        <v>129</v>
      </c>
      <c r="G170" s="120" cm="1">
        <f t="array" ref="G170">E170/(VLOOKUP(D170,net_generation!$A:$D,MATCH(C170,net_generation!$1:$1,FALSE),FALSE)/10^6)</f>
        <v>762.11132740250468</v>
      </c>
      <c r="H170" s="120" t="s">
        <v>239</v>
      </c>
      <c r="I170" s="90" t="s">
        <v>24</v>
      </c>
    </row>
    <row r="171" spans="1:9" s="44" customFormat="1">
      <c r="A171" s="70" t="s">
        <v>135</v>
      </c>
      <c r="B171" s="71" t="s">
        <v>143</v>
      </c>
      <c r="C171" s="71" t="s">
        <v>18</v>
      </c>
      <c r="D171" s="71">
        <v>2014</v>
      </c>
      <c r="E171" s="123"/>
      <c r="F171" s="71" t="s">
        <v>129</v>
      </c>
      <c r="G171" s="120" cm="1">
        <f t="array" ref="G171">E171/(VLOOKUP(D171,net_generation!$A:$D,MATCH(C171,net_generation!$1:$1,FALSE),FALSE)/10^6)</f>
        <v>0</v>
      </c>
      <c r="H171" s="120" t="s">
        <v>239</v>
      </c>
      <c r="I171" s="71"/>
    </row>
    <row r="172" spans="1:9" s="90" customFormat="1">
      <c r="A172" s="89" t="s">
        <v>135</v>
      </c>
      <c r="B172" s="90" t="s">
        <v>143</v>
      </c>
      <c r="C172" s="90" t="s">
        <v>18</v>
      </c>
      <c r="D172" s="90">
        <v>2015</v>
      </c>
      <c r="E172" s="117">
        <v>88000</v>
      </c>
      <c r="F172" s="90" t="s">
        <v>129</v>
      </c>
      <c r="G172" s="120" cm="1">
        <f t="array" ref="G172">E172/(VLOOKUP(D172,net_generation!$A:$D,MATCH(C172,net_generation!$1:$1,FALSE),FALSE)/10^6)</f>
        <v>402.34273199859183</v>
      </c>
      <c r="H172" s="120" t="s">
        <v>239</v>
      </c>
      <c r="I172" s="90" t="s">
        <v>144</v>
      </c>
    </row>
    <row r="173" spans="1:9" s="90" customFormat="1">
      <c r="A173" s="89" t="s">
        <v>135</v>
      </c>
      <c r="B173" s="90" t="s">
        <v>143</v>
      </c>
      <c r="C173" s="90" t="s">
        <v>18</v>
      </c>
      <c r="D173" s="90">
        <v>2016</v>
      </c>
      <c r="E173" s="117">
        <v>102000</v>
      </c>
      <c r="F173" s="90" t="s">
        <v>129</v>
      </c>
      <c r="G173" s="120" cm="1">
        <f t="array" ref="G173">E173/(VLOOKUP(D173,net_generation!$A:$D,MATCH(C173,net_generation!$1:$1,FALSE),FALSE)/10^6)</f>
        <v>465.14809494493466</v>
      </c>
      <c r="H173" s="120" t="s">
        <v>239</v>
      </c>
      <c r="I173" s="90" t="s">
        <v>144</v>
      </c>
    </row>
    <row r="174" spans="1:9" s="90" customFormat="1">
      <c r="A174" s="89" t="s">
        <v>135</v>
      </c>
      <c r="B174" s="90" t="s">
        <v>143</v>
      </c>
      <c r="C174" s="90" t="s">
        <v>18</v>
      </c>
      <c r="D174" s="90">
        <v>2017</v>
      </c>
      <c r="E174" s="117">
        <v>109000</v>
      </c>
      <c r="F174" s="90" t="s">
        <v>129</v>
      </c>
      <c r="G174" s="120" cm="1">
        <f t="array" ref="G174">E174/(VLOOKUP(D174,net_generation!$A:$D,MATCH(C174,net_generation!$1:$1,FALSE),FALSE)/10^6)</f>
        <v>479.59098368950669</v>
      </c>
      <c r="H174" s="120" t="s">
        <v>239</v>
      </c>
      <c r="I174" s="90" t="s">
        <v>144</v>
      </c>
    </row>
    <row r="175" spans="1:9" s="90" customFormat="1">
      <c r="A175" s="89" t="s">
        <v>135</v>
      </c>
      <c r="B175" s="90" t="s">
        <v>143</v>
      </c>
      <c r="C175" s="90" t="s">
        <v>18</v>
      </c>
      <c r="D175" s="90">
        <v>2018</v>
      </c>
      <c r="E175" s="117">
        <v>104000</v>
      </c>
      <c r="F175" s="90" t="s">
        <v>129</v>
      </c>
      <c r="G175" s="120" cm="1">
        <f t="array" ref="G175">E175/(VLOOKUP(D175,net_generation!$A:$D,MATCH(C175,net_generation!$1:$1,FALSE),FALSE)/10^6)</f>
        <v>446.10685975086648</v>
      </c>
      <c r="H175" s="120" t="s">
        <v>239</v>
      </c>
      <c r="I175" s="90" t="s">
        <v>144</v>
      </c>
    </row>
    <row r="176" spans="1:9" s="44" customFormat="1">
      <c r="A176" s="70" t="s">
        <v>135</v>
      </c>
      <c r="B176" s="71" t="s">
        <v>143</v>
      </c>
      <c r="C176" s="71" t="s">
        <v>15</v>
      </c>
      <c r="D176" s="71">
        <v>2014</v>
      </c>
      <c r="E176" s="123"/>
      <c r="F176" s="71" t="s">
        <v>129</v>
      </c>
      <c r="G176" s="120" cm="1">
        <f t="array" ref="G176">E176/(VLOOKUP(D176,net_generation!$A:$D,MATCH(C176,net_generation!$1:$1,FALSE),FALSE)/10^6)</f>
        <v>0</v>
      </c>
      <c r="H176" s="120" t="s">
        <v>239</v>
      </c>
      <c r="I176" s="71"/>
    </row>
    <row r="177" spans="1:9" s="44" customFormat="1">
      <c r="A177" s="70" t="s">
        <v>135</v>
      </c>
      <c r="B177" s="71" t="s">
        <v>143</v>
      </c>
      <c r="C177" s="71" t="s">
        <v>15</v>
      </c>
      <c r="D177" s="71">
        <v>2015</v>
      </c>
      <c r="E177" s="123"/>
      <c r="F177" s="71" t="s">
        <v>129</v>
      </c>
      <c r="G177" s="120" cm="1">
        <f t="array" ref="G177">E177/(VLOOKUP(D177,net_generation!$A:$D,MATCH(C177,net_generation!$1:$1,FALSE),FALSE)/10^6)</f>
        <v>0</v>
      </c>
      <c r="H177" s="120" t="s">
        <v>239</v>
      </c>
      <c r="I177" s="71"/>
    </row>
    <row r="178" spans="1:9" s="90" customFormat="1">
      <c r="A178" s="89" t="s">
        <v>135</v>
      </c>
      <c r="B178" s="90" t="s">
        <v>143</v>
      </c>
      <c r="C178" s="90" t="s">
        <v>15</v>
      </c>
      <c r="D178" s="90">
        <v>2016</v>
      </c>
      <c r="E178" s="117">
        <v>104000</v>
      </c>
      <c r="F178" s="90" t="s">
        <v>129</v>
      </c>
      <c r="G178" s="86" cm="1">
        <f t="array" ref="G178">E178/(VLOOKUP(D178,net_generation!$A:$D,MATCH(C178,net_generation!$1:$1,FALSE),FALSE)/10^6)</f>
        <v>556.57958246676105</v>
      </c>
      <c r="H178" s="86" t="s">
        <v>239</v>
      </c>
    </row>
    <row r="179" spans="1:9" s="90" customFormat="1">
      <c r="A179" s="89" t="s">
        <v>135</v>
      </c>
      <c r="B179" s="90" t="s">
        <v>143</v>
      </c>
      <c r="C179" s="90" t="s">
        <v>15</v>
      </c>
      <c r="D179" s="90">
        <v>2017</v>
      </c>
      <c r="E179" s="117">
        <v>90000</v>
      </c>
      <c r="F179" s="90" t="s">
        <v>129</v>
      </c>
      <c r="G179" s="86" cm="1">
        <f t="array" ref="G179">E179/(VLOOKUP(D179,net_generation!$A:$D,MATCH(C179,net_generation!$1:$1,FALSE),FALSE)/10^6)</f>
        <v>462.18099553867756</v>
      </c>
      <c r="H179" s="86" t="s">
        <v>239</v>
      </c>
    </row>
    <row r="180" spans="1:9" s="95" customFormat="1">
      <c r="A180" s="94" t="s">
        <v>135</v>
      </c>
      <c r="B180" s="95" t="s">
        <v>143</v>
      </c>
      <c r="C180" s="95" t="s">
        <v>15</v>
      </c>
      <c r="D180" s="95">
        <v>2018</v>
      </c>
      <c r="E180" s="118">
        <v>112000</v>
      </c>
      <c r="F180" s="95" t="s">
        <v>129</v>
      </c>
      <c r="G180" s="86" cm="1">
        <f t="array" ref="G180">E180/(VLOOKUP(D180,net_generation!$A:$D,MATCH(C180,net_generation!$1:$1,FALSE),FALSE)/10^6)</f>
        <v>576.65376060631024</v>
      </c>
      <c r="H180" s="86" t="s">
        <v>239</v>
      </c>
    </row>
    <row r="181" spans="1:9" s="69" customFormat="1">
      <c r="A181" s="119" t="s">
        <v>135</v>
      </c>
      <c r="B181" s="120" t="s">
        <v>145</v>
      </c>
      <c r="C181" s="120" t="s">
        <v>11</v>
      </c>
      <c r="D181" s="120">
        <v>2014</v>
      </c>
      <c r="E181" s="121"/>
      <c r="F181" s="120" t="s">
        <v>129</v>
      </c>
      <c r="G181" s="120" cm="1">
        <f t="array" ref="G181">E181/(VLOOKUP(D181,net_generation!$A:$D,MATCH(C181,net_generation!$1:$1,FALSE),FALSE)/10^6)</f>
        <v>0</v>
      </c>
      <c r="H181" s="120" t="s">
        <v>239</v>
      </c>
      <c r="I181" s="120"/>
    </row>
    <row r="182" spans="1:9" s="44" customFormat="1">
      <c r="A182" s="70" t="s">
        <v>135</v>
      </c>
      <c r="B182" s="71" t="s">
        <v>145</v>
      </c>
      <c r="C182" s="71" t="s">
        <v>11</v>
      </c>
      <c r="D182" s="71">
        <v>2015</v>
      </c>
      <c r="E182" s="123"/>
      <c r="F182" s="71" t="s">
        <v>129</v>
      </c>
      <c r="G182" s="120" cm="1">
        <f t="array" ref="G182">E182/(VLOOKUP(D182,net_generation!$A:$D,MATCH(C182,net_generation!$1:$1,FALSE),FALSE)/10^6)</f>
        <v>0</v>
      </c>
      <c r="H182" s="120" t="s">
        <v>239</v>
      </c>
      <c r="I182" s="71"/>
    </row>
    <row r="183" spans="1:9" s="44" customFormat="1">
      <c r="A183" s="70" t="s">
        <v>135</v>
      </c>
      <c r="B183" s="71" t="s">
        <v>145</v>
      </c>
      <c r="C183" s="71" t="s">
        <v>11</v>
      </c>
      <c r="D183" s="71">
        <v>2016</v>
      </c>
      <c r="E183" s="123"/>
      <c r="F183" s="71" t="s">
        <v>129</v>
      </c>
      <c r="G183" s="120" cm="1">
        <f t="array" ref="G183">E183/(VLOOKUP(D183,net_generation!$A:$D,MATCH(C183,net_generation!$1:$1,FALSE),FALSE)/10^6)</f>
        <v>0</v>
      </c>
      <c r="H183" s="120" t="s">
        <v>239</v>
      </c>
      <c r="I183" s="71"/>
    </row>
    <row r="184" spans="1:9" s="76" customFormat="1">
      <c r="A184" s="75" t="s">
        <v>135</v>
      </c>
      <c r="B184" s="76" t="s">
        <v>145</v>
      </c>
      <c r="C184" s="76" t="s">
        <v>11</v>
      </c>
      <c r="D184" s="76">
        <v>2017</v>
      </c>
      <c r="E184" s="113">
        <v>105.2</v>
      </c>
      <c r="F184" s="76" t="s">
        <v>129</v>
      </c>
      <c r="G184" s="120" cm="1">
        <f t="array" ref="G184">E184/(VLOOKUP(D184,net_generation!$A:$D,MATCH(C184,net_generation!$1:$1,FALSE),FALSE)/10^6)</f>
        <v>0.55614294482901805</v>
      </c>
      <c r="H184" s="120" t="s">
        <v>239</v>
      </c>
      <c r="I184" s="76" t="s">
        <v>24</v>
      </c>
    </row>
    <row r="185" spans="1:9" s="76" customFormat="1">
      <c r="A185" s="75" t="s">
        <v>135</v>
      </c>
      <c r="B185" s="76" t="s">
        <v>145</v>
      </c>
      <c r="C185" s="76" t="s">
        <v>11</v>
      </c>
      <c r="D185" s="76">
        <v>2018</v>
      </c>
      <c r="E185" s="113">
        <v>222.2</v>
      </c>
      <c r="F185" s="76" t="s">
        <v>129</v>
      </c>
      <c r="G185" s="120" cm="1">
        <f t="array" ref="G185">E185/(VLOOKUP(D185,net_generation!$A:$D,MATCH(C185,net_generation!$1:$1,FALSE),FALSE)/10^6)</f>
        <v>1.1507812059053864</v>
      </c>
      <c r="H185" s="120" t="s">
        <v>239</v>
      </c>
      <c r="I185" s="76" t="s">
        <v>24</v>
      </c>
    </row>
    <row r="186" spans="1:9" s="44" customFormat="1">
      <c r="A186" s="70" t="s">
        <v>135</v>
      </c>
      <c r="B186" s="71" t="s">
        <v>145</v>
      </c>
      <c r="C186" s="71" t="s">
        <v>18</v>
      </c>
      <c r="D186" s="71">
        <v>2014</v>
      </c>
      <c r="E186" s="123"/>
      <c r="F186" s="71" t="s">
        <v>129</v>
      </c>
      <c r="G186" s="120" cm="1">
        <f t="array" ref="G186">E186/(VLOOKUP(D186,net_generation!$A:$D,MATCH(C186,net_generation!$1:$1,FALSE),FALSE)/10^6)</f>
        <v>0</v>
      </c>
      <c r="H186" s="120" t="s">
        <v>239</v>
      </c>
      <c r="I186" s="71"/>
    </row>
    <row r="187" spans="1:9" s="76" customFormat="1">
      <c r="A187" s="75" t="s">
        <v>135</v>
      </c>
      <c r="B187" s="76" t="s">
        <v>145</v>
      </c>
      <c r="C187" s="76" t="s">
        <v>18</v>
      </c>
      <c r="D187" s="76">
        <v>2015</v>
      </c>
      <c r="E187" s="113">
        <v>317</v>
      </c>
      <c r="F187" s="76" t="s">
        <v>129</v>
      </c>
      <c r="G187" s="120" cm="1">
        <f t="array" ref="G187">E187/(VLOOKUP(D187,net_generation!$A:$D,MATCH(C187,net_generation!$1:$1,FALSE),FALSE)/10^6)</f>
        <v>1.4493482504949273</v>
      </c>
      <c r="H187" s="120" t="s">
        <v>239</v>
      </c>
      <c r="I187" s="76" t="s">
        <v>144</v>
      </c>
    </row>
    <row r="188" spans="1:9" s="76" customFormat="1">
      <c r="A188" s="75" t="s">
        <v>135</v>
      </c>
      <c r="B188" s="76" t="s">
        <v>145</v>
      </c>
      <c r="C188" s="76" t="s">
        <v>18</v>
      </c>
      <c r="D188" s="76">
        <v>2016</v>
      </c>
      <c r="E188" s="113">
        <v>1195</v>
      </c>
      <c r="F188" s="76" t="s">
        <v>129</v>
      </c>
      <c r="G188" s="120" cm="1">
        <f t="array" ref="G188">E188/(VLOOKUP(D188,net_generation!$A:$D,MATCH(C188,net_generation!$1:$1,FALSE),FALSE)/10^6)</f>
        <v>5.4495291515607542</v>
      </c>
      <c r="H188" s="120" t="s">
        <v>239</v>
      </c>
      <c r="I188" s="76" t="s">
        <v>144</v>
      </c>
    </row>
    <row r="189" spans="1:9" s="76" customFormat="1">
      <c r="A189" s="75" t="s">
        <v>135</v>
      </c>
      <c r="B189" s="76" t="s">
        <v>145</v>
      </c>
      <c r="C189" s="76" t="s">
        <v>18</v>
      </c>
      <c r="D189" s="76">
        <v>2017</v>
      </c>
      <c r="E189" s="113">
        <v>126</v>
      </c>
      <c r="F189" s="76" t="s">
        <v>129</v>
      </c>
      <c r="G189" s="120" cm="1">
        <f t="array" ref="G189">E189/(VLOOKUP(D189,net_generation!$A:$D,MATCH(C189,net_generation!$1:$1,FALSE),FALSE)/10^6)</f>
        <v>0.55438957747594353</v>
      </c>
      <c r="H189" s="120" t="s">
        <v>239</v>
      </c>
      <c r="I189" s="76" t="s">
        <v>144</v>
      </c>
    </row>
    <row r="190" spans="1:9" s="76" customFormat="1">
      <c r="A190" s="75" t="s">
        <v>135</v>
      </c>
      <c r="B190" s="76" t="s">
        <v>145</v>
      </c>
      <c r="C190" s="76" t="s">
        <v>18</v>
      </c>
      <c r="D190" s="76">
        <v>2018</v>
      </c>
      <c r="E190" s="113">
        <v>281</v>
      </c>
      <c r="F190" s="76" t="s">
        <v>129</v>
      </c>
      <c r="G190" s="120" cm="1">
        <f t="array" ref="G190">E190/(VLOOKUP(D190,net_generation!$A:$D,MATCH(C190,net_generation!$1:$1,FALSE),FALSE)/10^6)</f>
        <v>1.2053464191345529</v>
      </c>
      <c r="H190" s="120" t="s">
        <v>239</v>
      </c>
      <c r="I190" s="76" t="s">
        <v>144</v>
      </c>
    </row>
    <row r="191" spans="1:9" s="44" customFormat="1">
      <c r="A191" s="70" t="s">
        <v>135</v>
      </c>
      <c r="B191" s="71" t="s">
        <v>145</v>
      </c>
      <c r="C191" s="71" t="s">
        <v>15</v>
      </c>
      <c r="D191" s="71">
        <v>2014</v>
      </c>
      <c r="E191" s="123"/>
      <c r="F191" s="71" t="s">
        <v>129</v>
      </c>
      <c r="G191" s="120" cm="1">
        <f t="array" ref="G191">E191/(VLOOKUP(D191,net_generation!$A:$D,MATCH(C191,net_generation!$1:$1,FALSE),FALSE)/10^6)</f>
        <v>0</v>
      </c>
      <c r="H191" s="120" t="s">
        <v>239</v>
      </c>
      <c r="I191" s="71"/>
    </row>
    <row r="192" spans="1:9" s="44" customFormat="1">
      <c r="A192" s="70" t="s">
        <v>135</v>
      </c>
      <c r="B192" s="71" t="s">
        <v>145</v>
      </c>
      <c r="C192" s="71" t="s">
        <v>15</v>
      </c>
      <c r="D192" s="71">
        <v>2015</v>
      </c>
      <c r="E192" s="123"/>
      <c r="F192" s="71" t="s">
        <v>129</v>
      </c>
      <c r="G192" s="120" cm="1">
        <f t="array" ref="G192">E192/(VLOOKUP(D192,net_generation!$A:$D,MATCH(C192,net_generation!$1:$1,FALSE),FALSE)/10^6)</f>
        <v>0</v>
      </c>
      <c r="H192" s="120" t="s">
        <v>239</v>
      </c>
      <c r="I192" s="71"/>
    </row>
    <row r="193" spans="1:9" s="76" customFormat="1">
      <c r="A193" s="75" t="s">
        <v>135</v>
      </c>
      <c r="B193" s="76" t="s">
        <v>145</v>
      </c>
      <c r="C193" s="76" t="s">
        <v>15</v>
      </c>
      <c r="D193" s="76">
        <v>2016</v>
      </c>
      <c r="E193" s="113">
        <v>3668</v>
      </c>
      <c r="F193" s="76" t="s">
        <v>129</v>
      </c>
      <c r="G193" s="120" cm="1">
        <f t="array" ref="G193">E193/(VLOOKUP(D193,net_generation!$A:$D,MATCH(C193,net_generation!$1:$1,FALSE),FALSE)/10^6)</f>
        <v>19.630133735462302</v>
      </c>
      <c r="H193" s="120" t="s">
        <v>239</v>
      </c>
      <c r="I193" s="76" t="s">
        <v>146</v>
      </c>
    </row>
    <row r="194" spans="1:9" s="76" customFormat="1">
      <c r="A194" s="75" t="s">
        <v>135</v>
      </c>
      <c r="B194" s="76" t="s">
        <v>145</v>
      </c>
      <c r="C194" s="76" t="s">
        <v>15</v>
      </c>
      <c r="D194" s="76">
        <v>2017</v>
      </c>
      <c r="E194" s="113">
        <v>854</v>
      </c>
      <c r="F194" s="76" t="s">
        <v>129</v>
      </c>
      <c r="G194" s="120" cm="1">
        <f t="array" ref="G194">E194/(VLOOKUP(D194,net_generation!$A:$D,MATCH(C194,net_generation!$1:$1,FALSE),FALSE)/10^6)</f>
        <v>4.3855841132225626</v>
      </c>
      <c r="H194" s="120" t="s">
        <v>239</v>
      </c>
      <c r="I194" s="76" t="s">
        <v>146</v>
      </c>
    </row>
    <row r="195" spans="1:9" s="81" customFormat="1">
      <c r="A195" s="80" t="s">
        <v>135</v>
      </c>
      <c r="B195" s="81" t="s">
        <v>145</v>
      </c>
      <c r="C195" s="81" t="s">
        <v>15</v>
      </c>
      <c r="D195" s="81">
        <v>2018</v>
      </c>
      <c r="E195" s="115">
        <v>1460</v>
      </c>
      <c r="F195" s="81" t="s">
        <v>129</v>
      </c>
      <c r="G195" s="120" cm="1">
        <f t="array" ref="G195">E195/(VLOOKUP(D195,net_generation!$A:$D,MATCH(C195,net_generation!$1:$1,FALSE),FALSE)/10^6)</f>
        <v>7.517093665046545</v>
      </c>
      <c r="H195" s="120" t="s">
        <v>239</v>
      </c>
      <c r="I195" s="81" t="s">
        <v>146</v>
      </c>
    </row>
    <row r="196" spans="1:9" s="86" customFormat="1">
      <c r="A196" s="85" t="s">
        <v>147</v>
      </c>
      <c r="B196" s="86" t="s">
        <v>148</v>
      </c>
      <c r="C196" s="86" t="s">
        <v>11</v>
      </c>
      <c r="D196" s="86">
        <v>2014</v>
      </c>
      <c r="E196" s="124">
        <v>1752000000000</v>
      </c>
      <c r="F196" s="86" t="s">
        <v>149</v>
      </c>
      <c r="G196" s="86" cm="1">
        <f t="array" ref="G196">E196/VLOOKUP(D196,net_generation!$A:$D,MATCH(C196,net_generation!$1:$1,FALSE),FALSE)</f>
        <v>9403.0915851620703</v>
      </c>
      <c r="H196" s="86" t="s">
        <v>150</v>
      </c>
      <c r="I196" s="86" t="s">
        <v>24</v>
      </c>
    </row>
    <row r="197" spans="1:9" s="90" customFormat="1">
      <c r="A197" s="89" t="s">
        <v>147</v>
      </c>
      <c r="B197" s="90" t="s">
        <v>148</v>
      </c>
      <c r="C197" s="90" t="s">
        <v>11</v>
      </c>
      <c r="D197" s="90">
        <v>2015</v>
      </c>
      <c r="E197" s="125">
        <v>1857000000000</v>
      </c>
      <c r="F197" s="90" t="s">
        <v>149</v>
      </c>
      <c r="G197" s="90" cm="1">
        <f t="array" ref="G197">E197/VLOOKUP(D197,net_generation!$A:$D,MATCH(C197,net_generation!$1:$1,FALSE),FALSE)</f>
        <v>9344.7309125857391</v>
      </c>
      <c r="H197" s="90" t="s">
        <v>150</v>
      </c>
      <c r="I197" s="90" t="s">
        <v>24</v>
      </c>
    </row>
    <row r="198" spans="1:9" s="90" customFormat="1">
      <c r="A198" s="89" t="s">
        <v>147</v>
      </c>
      <c r="B198" s="90" t="s">
        <v>148</v>
      </c>
      <c r="C198" s="90" t="s">
        <v>11</v>
      </c>
      <c r="D198" s="90">
        <v>2016</v>
      </c>
      <c r="E198" s="125">
        <v>1960000000000</v>
      </c>
      <c r="F198" s="90" t="s">
        <v>149</v>
      </c>
      <c r="G198" s="90" cm="1">
        <f t="array" ref="G198">E198/VLOOKUP(D198,net_generation!$A:$D,MATCH(C198,net_generation!$1:$1,FALSE),FALSE)</f>
        <v>10119.989984720933</v>
      </c>
      <c r="H198" s="90" t="s">
        <v>150</v>
      </c>
      <c r="I198" s="90" t="s">
        <v>24</v>
      </c>
    </row>
    <row r="199" spans="1:9" s="90" customFormat="1">
      <c r="A199" s="89" t="s">
        <v>147</v>
      </c>
      <c r="B199" s="90" t="s">
        <v>148</v>
      </c>
      <c r="C199" s="90" t="s">
        <v>11</v>
      </c>
      <c r="D199" s="90">
        <v>2017</v>
      </c>
      <c r="E199" s="125">
        <v>2025000000000</v>
      </c>
      <c r="F199" s="90" t="s">
        <v>149</v>
      </c>
      <c r="G199" s="90" cm="1">
        <f t="array" ref="G199">E199/VLOOKUP(D199,net_generation!$A:$D,MATCH(C199,net_generation!$1:$1,FALSE),FALSE)</f>
        <v>10705.223034969216</v>
      </c>
      <c r="H199" s="90" t="s">
        <v>150</v>
      </c>
      <c r="I199" s="90" t="s">
        <v>24</v>
      </c>
    </row>
    <row r="200" spans="1:9" s="90" customFormat="1">
      <c r="A200" s="89" t="s">
        <v>147</v>
      </c>
      <c r="B200" s="90" t="s">
        <v>148</v>
      </c>
      <c r="C200" s="90" t="s">
        <v>11</v>
      </c>
      <c r="D200" s="90">
        <v>2018</v>
      </c>
      <c r="E200" s="125">
        <v>1960000000000</v>
      </c>
      <c r="F200" s="90" t="s">
        <v>149</v>
      </c>
      <c r="G200" s="90" cm="1">
        <f t="array" ref="G200">E200/VLOOKUP(D200,net_generation!$A:$D,MATCH(C200,net_generation!$1:$1,FALSE),FALSE)</f>
        <v>10150.905326618171</v>
      </c>
      <c r="H200" s="90" t="s">
        <v>150</v>
      </c>
      <c r="I200" s="90" t="s">
        <v>24</v>
      </c>
    </row>
    <row r="201" spans="1:9" s="90" customFormat="1">
      <c r="A201" s="89" t="s">
        <v>147</v>
      </c>
      <c r="B201" s="90" t="s">
        <v>148</v>
      </c>
      <c r="C201" s="90" t="s">
        <v>15</v>
      </c>
      <c r="D201" s="90">
        <v>2014</v>
      </c>
      <c r="E201" s="117">
        <v>13849574000000</v>
      </c>
      <c r="F201" s="90" t="s">
        <v>149</v>
      </c>
      <c r="G201" s="90" cm="1">
        <f t="array" ref="G201">E201/VLOOKUP(D201,net_generation!$A:$D,MATCH(C201,net_generation!$1:$1,FALSE),FALSE)</f>
        <v>77819.300442552718</v>
      </c>
      <c r="H201" s="90" t="s">
        <v>150</v>
      </c>
      <c r="I201" s="92" t="s">
        <v>151</v>
      </c>
    </row>
    <row r="202" spans="1:9" s="90" customFormat="1">
      <c r="A202" s="89" t="s">
        <v>147</v>
      </c>
      <c r="B202" s="90" t="s">
        <v>148</v>
      </c>
      <c r="C202" s="90" t="s">
        <v>15</v>
      </c>
      <c r="D202" s="90">
        <v>2015</v>
      </c>
      <c r="E202" s="117">
        <v>13440737000000</v>
      </c>
      <c r="F202" s="90" t="s">
        <v>149</v>
      </c>
      <c r="G202" s="90" cm="1">
        <f t="array" ref="G202">E202/VLOOKUP(D202,net_generation!$A:$D,MATCH(C202,net_generation!$1:$1,FALSE),FALSE)</f>
        <v>74657.100252753575</v>
      </c>
      <c r="H202" s="90" t="s">
        <v>150</v>
      </c>
      <c r="I202" s="92" t="s">
        <v>152</v>
      </c>
    </row>
    <row r="203" spans="1:9" s="90" customFormat="1">
      <c r="A203" s="89" t="s">
        <v>147</v>
      </c>
      <c r="B203" s="90" t="s">
        <v>148</v>
      </c>
      <c r="C203" s="90" t="s">
        <v>15</v>
      </c>
      <c r="D203" s="90">
        <v>2016</v>
      </c>
      <c r="E203" s="117">
        <v>13456099000000</v>
      </c>
      <c r="F203" s="90" t="s">
        <v>149</v>
      </c>
      <c r="G203" s="90" cm="1">
        <f t="array" ref="G203">E203/VLOOKUP(D203,net_generation!$A:$D,MATCH(C203,net_generation!$1:$1,FALSE),FALSE)</f>
        <v>72013.365029340392</v>
      </c>
      <c r="H203" s="90" t="s">
        <v>150</v>
      </c>
      <c r="I203" s="92" t="s">
        <v>153</v>
      </c>
    </row>
    <row r="204" spans="1:9" s="90" customFormat="1">
      <c r="A204" s="89" t="s">
        <v>147</v>
      </c>
      <c r="B204" s="90" t="s">
        <v>148</v>
      </c>
      <c r="C204" s="90" t="s">
        <v>15</v>
      </c>
      <c r="D204" s="90">
        <v>2017</v>
      </c>
      <c r="E204" s="126">
        <v>15833678000000</v>
      </c>
      <c r="F204" s="90" t="s">
        <v>149</v>
      </c>
      <c r="G204" s="90" cm="1">
        <f t="array" ref="G204">E204/VLOOKUP(D204,net_generation!$A:$D,MATCH(C204,net_generation!$1:$1,FALSE),FALSE)</f>
        <v>81311.38956754285</v>
      </c>
      <c r="H204" s="90" t="s">
        <v>150</v>
      </c>
      <c r="I204" s="92" t="s">
        <v>154</v>
      </c>
    </row>
    <row r="205" spans="1:9" s="90" customFormat="1">
      <c r="A205" s="89" t="s">
        <v>147</v>
      </c>
      <c r="B205" s="90" t="s">
        <v>148</v>
      </c>
      <c r="C205" s="90" t="s">
        <v>15</v>
      </c>
      <c r="D205" s="90">
        <v>2018</v>
      </c>
      <c r="E205" s="117">
        <v>18986062000000</v>
      </c>
      <c r="F205" s="90" t="s">
        <v>149</v>
      </c>
      <c r="G205" s="90" cm="1">
        <f t="array" ref="G205">E205/VLOOKUP(D205,net_generation!$A:$D,MATCH(C205,net_generation!$1:$1,FALSE),FALSE)</f>
        <v>97753.429030397892</v>
      </c>
      <c r="H205" s="90" t="s">
        <v>150</v>
      </c>
      <c r="I205" s="92" t="s">
        <v>23</v>
      </c>
    </row>
    <row r="206" spans="1:9" s="90" customFormat="1">
      <c r="A206" s="89" t="s">
        <v>147</v>
      </c>
      <c r="B206" s="90" t="s">
        <v>148</v>
      </c>
      <c r="C206" s="90" t="s">
        <v>18</v>
      </c>
      <c r="D206" s="90">
        <v>2014</v>
      </c>
      <c r="E206" s="117">
        <v>5799000000000</v>
      </c>
      <c r="F206" s="90" t="s">
        <v>149</v>
      </c>
      <c r="G206" s="90" cm="1">
        <f t="array" ref="G206">E206/VLOOKUP(D206,net_generation!$A:$D,MATCH(C206,net_generation!$1:$1,FALSE),FALSE)</f>
        <v>23720.993017462479</v>
      </c>
      <c r="H206" s="90" t="s">
        <v>150</v>
      </c>
      <c r="I206" s="92" t="s">
        <v>139</v>
      </c>
    </row>
    <row r="207" spans="1:9" s="90" customFormat="1">
      <c r="A207" s="89" t="s">
        <v>147</v>
      </c>
      <c r="B207" s="90" t="s">
        <v>148</v>
      </c>
      <c r="C207" s="90" t="s">
        <v>18</v>
      </c>
      <c r="D207" s="90">
        <v>2015</v>
      </c>
      <c r="E207" s="117">
        <v>6250000000000</v>
      </c>
      <c r="F207" s="90" t="s">
        <v>149</v>
      </c>
      <c r="G207" s="90" cm="1">
        <f t="array" ref="G207">E207/VLOOKUP(D207,net_generation!$A:$D,MATCH(C207,net_generation!$1:$1,FALSE),FALSE)</f>
        <v>28575.478124899986</v>
      </c>
      <c r="H207" s="90" t="s">
        <v>150</v>
      </c>
      <c r="I207" s="92" t="s">
        <v>140</v>
      </c>
    </row>
    <row r="208" spans="1:9" s="90" customFormat="1">
      <c r="A208" s="89" t="s">
        <v>147</v>
      </c>
      <c r="B208" s="90" t="s">
        <v>148</v>
      </c>
      <c r="C208" s="90" t="s">
        <v>18</v>
      </c>
      <c r="D208" s="90">
        <v>2016</v>
      </c>
      <c r="E208" s="117">
        <v>5341000000000</v>
      </c>
      <c r="F208" s="90" t="s">
        <v>149</v>
      </c>
      <c r="G208" s="90" cm="1">
        <f t="array" ref="G208">E208/VLOOKUP(D208,net_generation!$A:$D,MATCH(C208,net_generation!$1:$1,FALSE),FALSE)</f>
        <v>24356.431128440159</v>
      </c>
      <c r="H208" s="90" t="s">
        <v>150</v>
      </c>
      <c r="I208" s="92" t="s">
        <v>141</v>
      </c>
    </row>
    <row r="209" spans="1:9" s="90" customFormat="1">
      <c r="A209" s="89" t="s">
        <v>147</v>
      </c>
      <c r="B209" s="90" t="s">
        <v>148</v>
      </c>
      <c r="C209" s="90" t="s">
        <v>18</v>
      </c>
      <c r="D209" s="90">
        <v>2017</v>
      </c>
      <c r="E209" s="117">
        <v>5293000000000</v>
      </c>
      <c r="F209" s="90" t="s">
        <v>149</v>
      </c>
      <c r="G209" s="90" cm="1">
        <f t="array" ref="G209">E209/VLOOKUP(D209,net_generation!$A:$D,MATCH(C209,net_generation!$1:$1,FALSE),FALSE)</f>
        <v>23288.762171271181</v>
      </c>
      <c r="H209" s="90" t="s">
        <v>150</v>
      </c>
      <c r="I209" s="92" t="s">
        <v>142</v>
      </c>
    </row>
    <row r="210" spans="1:9" s="95" customFormat="1">
      <c r="A210" s="94" t="s">
        <v>147</v>
      </c>
      <c r="B210" s="95" t="s">
        <v>148</v>
      </c>
      <c r="C210" s="95" t="s">
        <v>18</v>
      </c>
      <c r="D210" s="95">
        <v>2018</v>
      </c>
      <c r="E210" s="118">
        <v>4991000000000</v>
      </c>
      <c r="F210" s="95" t="s">
        <v>149</v>
      </c>
      <c r="G210" s="95" cm="1">
        <f t="array" ref="G210">E210/VLOOKUP(D210,net_generation!$A:$D,MATCH(C210,net_generation!$1:$1,FALSE),FALSE)</f>
        <v>21408.839779005524</v>
      </c>
      <c r="H210" s="95" t="s">
        <v>150</v>
      </c>
      <c r="I210" s="97" t="s">
        <v>19</v>
      </c>
    </row>
    <row r="211" spans="1:9" s="99" customFormat="1">
      <c r="A211" s="98" t="s">
        <v>147</v>
      </c>
      <c r="B211" s="99" t="s">
        <v>155</v>
      </c>
      <c r="C211" s="99" t="s">
        <v>11</v>
      </c>
      <c r="D211" s="99">
        <v>2014</v>
      </c>
      <c r="E211" s="127">
        <v>1.6</v>
      </c>
      <c r="F211" s="128" t="s">
        <v>156</v>
      </c>
      <c r="G211" s="114">
        <v>1.6</v>
      </c>
      <c r="H211" s="129" t="s">
        <v>156</v>
      </c>
      <c r="I211" s="99" t="s">
        <v>24</v>
      </c>
    </row>
    <row r="212" spans="1:9" s="76" customFormat="1">
      <c r="A212" s="75" t="s">
        <v>147</v>
      </c>
      <c r="B212" s="76" t="s">
        <v>155</v>
      </c>
      <c r="C212" s="76" t="s">
        <v>11</v>
      </c>
      <c r="D212" s="76">
        <v>2015</v>
      </c>
      <c r="E212" s="130">
        <v>2.2000000000000002</v>
      </c>
      <c r="F212" s="131" t="s">
        <v>156</v>
      </c>
      <c r="G212" s="113">
        <v>2.2000000000000002</v>
      </c>
      <c r="H212" s="132" t="s">
        <v>156</v>
      </c>
      <c r="I212" s="76" t="s">
        <v>24</v>
      </c>
    </row>
    <row r="213" spans="1:9" s="76" customFormat="1">
      <c r="A213" s="75" t="s">
        <v>147</v>
      </c>
      <c r="B213" s="76" t="s">
        <v>155</v>
      </c>
      <c r="C213" s="76" t="s">
        <v>11</v>
      </c>
      <c r="D213" s="76">
        <v>2016</v>
      </c>
      <c r="E213" s="130">
        <v>1.5</v>
      </c>
      <c r="F213" s="131" t="s">
        <v>156</v>
      </c>
      <c r="G213" s="113">
        <v>1.5</v>
      </c>
      <c r="H213" s="132" t="s">
        <v>156</v>
      </c>
      <c r="I213" s="76" t="s">
        <v>24</v>
      </c>
    </row>
    <row r="214" spans="1:9" s="76" customFormat="1">
      <c r="A214" s="75" t="s">
        <v>147</v>
      </c>
      <c r="B214" s="76" t="s">
        <v>155</v>
      </c>
      <c r="C214" s="76" t="s">
        <v>11</v>
      </c>
      <c r="D214" s="76">
        <v>2017</v>
      </c>
      <c r="E214" s="130">
        <v>1.5</v>
      </c>
      <c r="F214" s="131" t="s">
        <v>156</v>
      </c>
      <c r="G214" s="113">
        <v>1.5</v>
      </c>
      <c r="H214" s="132" t="s">
        <v>156</v>
      </c>
      <c r="I214" s="76" t="s">
        <v>24</v>
      </c>
    </row>
    <row r="215" spans="1:9" s="76" customFormat="1">
      <c r="A215" s="75" t="s">
        <v>147</v>
      </c>
      <c r="B215" s="76" t="s">
        <v>155</v>
      </c>
      <c r="C215" s="76" t="s">
        <v>11</v>
      </c>
      <c r="D215" s="76">
        <v>2018</v>
      </c>
      <c r="E215" s="130">
        <v>1.5</v>
      </c>
      <c r="F215" s="131" t="s">
        <v>156</v>
      </c>
      <c r="G215" s="113">
        <v>1.5</v>
      </c>
      <c r="H215" s="132" t="s">
        <v>156</v>
      </c>
      <c r="I215" s="76" t="s">
        <v>24</v>
      </c>
    </row>
    <row r="216" spans="1:9" s="76" customFormat="1" ht="16.5" customHeight="1">
      <c r="A216" s="75" t="s">
        <v>147</v>
      </c>
      <c r="B216" s="76" t="s">
        <v>155</v>
      </c>
      <c r="C216" s="76" t="s">
        <v>15</v>
      </c>
      <c r="D216" s="76">
        <v>2014</v>
      </c>
      <c r="E216" s="113">
        <f>233408/13849574 * 100</f>
        <v>1.6853081546046109</v>
      </c>
      <c r="F216" s="131" t="s">
        <v>156</v>
      </c>
      <c r="G216" s="113">
        <v>1.6853081546046109</v>
      </c>
      <c r="H216" s="132" t="s">
        <v>156</v>
      </c>
      <c r="I216" s="79" t="s">
        <v>151</v>
      </c>
    </row>
    <row r="217" spans="1:9" s="76" customFormat="1">
      <c r="A217" s="75" t="s">
        <v>147</v>
      </c>
      <c r="B217" s="76" t="s">
        <v>155</v>
      </c>
      <c r="C217" s="76" t="s">
        <v>15</v>
      </c>
      <c r="D217" s="76">
        <v>2015</v>
      </c>
      <c r="E217" s="113">
        <f>250513/13440737 *100</f>
        <v>1.8638338061372675</v>
      </c>
      <c r="F217" s="131" t="s">
        <v>156</v>
      </c>
      <c r="G217" s="113">
        <v>1.8638338061372675</v>
      </c>
      <c r="H217" s="132" t="s">
        <v>156</v>
      </c>
      <c r="I217" s="79" t="s">
        <v>152</v>
      </c>
    </row>
    <row r="218" spans="1:9" s="76" customFormat="1">
      <c r="A218" s="75" t="s">
        <v>147</v>
      </c>
      <c r="B218" s="76" t="s">
        <v>155</v>
      </c>
      <c r="C218" s="76" t="s">
        <v>15</v>
      </c>
      <c r="D218" s="76">
        <v>2016</v>
      </c>
      <c r="E218" s="113">
        <f>234351/13456099 *100</f>
        <v>1.741596877371369</v>
      </c>
      <c r="F218" s="131" t="s">
        <v>156</v>
      </c>
      <c r="G218" s="113">
        <v>1.741596877371369</v>
      </c>
      <c r="H218" s="132" t="s">
        <v>156</v>
      </c>
      <c r="I218" s="79" t="s">
        <v>153</v>
      </c>
    </row>
    <row r="219" spans="1:9" s="76" customFormat="1">
      <c r="A219" s="75" t="s">
        <v>147</v>
      </c>
      <c r="B219" s="76" t="s">
        <v>155</v>
      </c>
      <c r="C219" s="76" t="s">
        <v>15</v>
      </c>
      <c r="D219" s="76">
        <v>2017</v>
      </c>
      <c r="E219" s="113">
        <f>221516/15833678 *100</f>
        <v>1.3990179666404736</v>
      </c>
      <c r="F219" s="131" t="s">
        <v>156</v>
      </c>
      <c r="G219" s="113">
        <v>1.3990179666404736</v>
      </c>
      <c r="H219" s="132" t="s">
        <v>156</v>
      </c>
      <c r="I219" s="79" t="s">
        <v>154</v>
      </c>
    </row>
    <row r="220" spans="1:9" s="76" customFormat="1">
      <c r="A220" s="75" t="s">
        <v>147</v>
      </c>
      <c r="B220" s="76" t="s">
        <v>155</v>
      </c>
      <c r="C220" s="76" t="s">
        <v>15</v>
      </c>
      <c r="D220" s="76">
        <v>2018</v>
      </c>
      <c r="E220" s="113">
        <f>228422/18986062 *100</f>
        <v>1.2031036241217372</v>
      </c>
      <c r="F220" s="131" t="s">
        <v>156</v>
      </c>
      <c r="G220" s="113">
        <v>1.2031036241217372</v>
      </c>
      <c r="H220" s="132" t="s">
        <v>156</v>
      </c>
      <c r="I220" s="79" t="s">
        <v>23</v>
      </c>
    </row>
    <row r="221" spans="1:9" s="76" customFormat="1">
      <c r="A221" s="75" t="s">
        <v>147</v>
      </c>
      <c r="B221" s="76" t="s">
        <v>155</v>
      </c>
      <c r="C221" s="76" t="s">
        <v>18</v>
      </c>
      <c r="D221" s="76">
        <v>2014</v>
      </c>
      <c r="E221" s="113">
        <f>93/5799*100</f>
        <v>1.603724780134506</v>
      </c>
      <c r="F221" s="131" t="s">
        <v>156</v>
      </c>
      <c r="G221" s="113">
        <v>1.603724780134506</v>
      </c>
      <c r="H221" s="132" t="s">
        <v>156</v>
      </c>
      <c r="I221" s="79" t="s">
        <v>139</v>
      </c>
    </row>
    <row r="222" spans="1:9" s="76" customFormat="1">
      <c r="A222" s="75" t="s">
        <v>147</v>
      </c>
      <c r="B222" s="76" t="s">
        <v>155</v>
      </c>
      <c r="C222" s="76" t="s">
        <v>18</v>
      </c>
      <c r="D222" s="76">
        <v>2015</v>
      </c>
      <c r="E222" s="113">
        <f>79/6250*100</f>
        <v>1.264</v>
      </c>
      <c r="F222" s="131" t="s">
        <v>156</v>
      </c>
      <c r="G222" s="113">
        <v>1.264</v>
      </c>
      <c r="H222" s="132" t="s">
        <v>156</v>
      </c>
      <c r="I222" s="79" t="s">
        <v>140</v>
      </c>
    </row>
    <row r="223" spans="1:9" s="76" customFormat="1">
      <c r="A223" s="75" t="s">
        <v>147</v>
      </c>
      <c r="B223" s="76" t="s">
        <v>155</v>
      </c>
      <c r="C223" s="76" t="s">
        <v>18</v>
      </c>
      <c r="D223" s="76">
        <v>2016</v>
      </c>
      <c r="E223" s="113">
        <f>74/5341*100</f>
        <v>1.3855083317730763</v>
      </c>
      <c r="F223" s="131" t="s">
        <v>156</v>
      </c>
      <c r="G223" s="113">
        <v>1.3855083317730763</v>
      </c>
      <c r="H223" s="132" t="s">
        <v>156</v>
      </c>
      <c r="I223" s="79" t="s">
        <v>141</v>
      </c>
    </row>
    <row r="224" spans="1:9" s="76" customFormat="1">
      <c r="A224" s="75" t="s">
        <v>147</v>
      </c>
      <c r="B224" s="76" t="s">
        <v>155</v>
      </c>
      <c r="C224" s="76" t="s">
        <v>18</v>
      </c>
      <c r="D224" s="76">
        <v>2017</v>
      </c>
      <c r="E224" s="113">
        <f>71/5293*100</f>
        <v>1.3413942943510295</v>
      </c>
      <c r="F224" s="131" t="s">
        <v>156</v>
      </c>
      <c r="G224" s="113">
        <v>1.3413942943510295</v>
      </c>
      <c r="H224" s="132" t="s">
        <v>156</v>
      </c>
      <c r="I224" s="79" t="s">
        <v>142</v>
      </c>
    </row>
    <row r="225" spans="1:9" s="81" customFormat="1">
      <c r="A225" s="80" t="s">
        <v>147</v>
      </c>
      <c r="B225" s="81" t="s">
        <v>155</v>
      </c>
      <c r="C225" s="81" t="s">
        <v>18</v>
      </c>
      <c r="D225" s="81">
        <v>2018</v>
      </c>
      <c r="E225" s="115">
        <f>84/4991*100</f>
        <v>1.6830294530154277</v>
      </c>
      <c r="F225" s="133" t="s">
        <v>156</v>
      </c>
      <c r="G225" s="115">
        <v>1.6830294530154277</v>
      </c>
      <c r="H225" s="134" t="s">
        <v>156</v>
      </c>
      <c r="I225" s="84" t="s">
        <v>19</v>
      </c>
    </row>
  </sheetData>
  <autoFilter ref="A1:I225" xr:uid="{3614E37E-F4C3-4B0E-9466-023FE8460AE8}">
    <sortState xmlns:xlrd2="http://schemas.microsoft.com/office/spreadsheetml/2017/richdata2" ref="A2:I225">
      <sortCondition ref="A1:A225"/>
    </sortState>
  </autoFilter>
  <hyperlinks>
    <hyperlink ref="I34" r:id="rId1" xr:uid="{1E817B52-5468-704F-B248-AB437D0051D0}"/>
    <hyperlink ref="I74:I78" r:id="rId2" display="http://www.nexteraenergy.com/sustainability/overview/about-this-report/by-the-numbers.html" xr:uid="{5594FAC6-F836-C649-8CA7-FB06A136ECC0}"/>
    <hyperlink ref="I32" r:id="rId3" xr:uid="{0AA518A6-7067-0240-9790-2977CB60168C}"/>
    <hyperlink ref="I13" r:id="rId4" display="http://www.nexteraenergy.com/sustainability/overview/about-this-report/by-the-numbers.html" xr:uid="{2ABA8732-60B7-3A46-9312-52AA3978B4FD}"/>
    <hyperlink ref="I81:I88" r:id="rId5" display="http://www.nexteraenergy.com/sustainability/overview/about-this-report/by-the-numbers.html" xr:uid="{93790957-7441-8548-A40E-ECD1F9C605D7}"/>
    <hyperlink ref="I22" r:id="rId6" display="http://www.nexteraenergy.com/sustainability/overview/about-this-report/by-the-numbers.html" xr:uid="{14A9E3EF-2756-054E-B957-C15AE3FB6EEA}"/>
    <hyperlink ref="I206" r:id="rId7" xr:uid="{17D194B0-7458-8546-BFB0-20C5F776005B}"/>
    <hyperlink ref="I207" r:id="rId8" xr:uid="{69940E42-D6CF-6C43-87EC-077A10365A98}"/>
    <hyperlink ref="I209" r:id="rId9" xr:uid="{8A9EECD0-C4F7-124B-B7F3-0837975EE25F}"/>
    <hyperlink ref="I210" r:id="rId10" xr:uid="{121B47E9-0C80-024E-9985-6FAFD113F7A4}"/>
    <hyperlink ref="I208" r:id="rId11" xr:uid="{BB500498-EEE6-704F-B40E-0C5F09953BF4}"/>
    <hyperlink ref="I205" r:id="rId12" xr:uid="{42CAFD53-FED5-5D43-B263-7AFD1209F6B7}"/>
    <hyperlink ref="I7:I10" r:id="rId13" display="https://www.exeloncorp.com/sustainability/interactive-csr?year=2015&amp;page=78" xr:uid="{76DC9F7E-7430-2F4C-B6D1-0E7AF12BAF40}"/>
    <hyperlink ref="I220" r:id="rId14" xr:uid="{80590D10-D0A2-B44A-AE9B-08DCD4AF5EDA}"/>
    <hyperlink ref="I22:I25" r:id="rId15" display="https://www.exeloncorp.com/sustainability/interactive-csr?year=2015&amp;page=78" xr:uid="{EAE5C01F-6726-A643-9899-992D64E44BD4}"/>
    <hyperlink ref="I221" r:id="rId16" xr:uid="{1B77036B-8B35-5243-BFC6-9C42E6A12BFD}"/>
    <hyperlink ref="I222" r:id="rId17" xr:uid="{A6C754A8-C02A-2344-917E-3CF37F9F93DB}"/>
    <hyperlink ref="I224" r:id="rId18" xr:uid="{6ADED631-F502-9643-B340-B22BCD39E7E8}"/>
    <hyperlink ref="I225" r:id="rId19" xr:uid="{54E4F566-0F44-7745-85C2-6FDC7C8B9770}"/>
    <hyperlink ref="I223" r:id="rId20" xr:uid="{49F66E58-4A9F-8B4A-8526-22F27CB7BAFE}"/>
    <hyperlink ref="I156" r:id="rId21" xr:uid="{2C6F6FC2-2E4F-834F-91A7-D2A6AA04D20A}"/>
    <hyperlink ref="I157" r:id="rId22" xr:uid="{49E7C0CE-F3C8-F041-971A-11F56118F271}"/>
    <hyperlink ref="I159" r:id="rId23" xr:uid="{F59A8BF9-3A53-9D46-865C-500333A46E10}"/>
    <hyperlink ref="I160" r:id="rId24" xr:uid="{3EDB58FA-332F-C847-B335-E0C087DC5FCE}"/>
    <hyperlink ref="I158" r:id="rId25" xr:uid="{88B18766-78B9-8148-9D46-9A81D65515CF}"/>
    <hyperlink ref="I161" r:id="rId26" xr:uid="{6200E155-FD86-C849-8559-7DE74760A3D6}"/>
    <hyperlink ref="I162" r:id="rId27" xr:uid="{0D16D446-9DFE-2D4C-83A9-B81381F26D99}"/>
    <hyperlink ref="I164" r:id="rId28" xr:uid="{545CAF64-2F52-B949-88EE-18A9E90DD3BD}"/>
    <hyperlink ref="I165" r:id="rId29" xr:uid="{F6AD3DE8-72D9-BB40-9F94-26BC158C70BB}"/>
    <hyperlink ref="I163" r:id="rId30" xr:uid="{45438481-D2F3-F94D-BBD0-A2AC5A7F9225}"/>
    <hyperlink ref="I129" r:id="rId31" location="overlay-context=content/benchmarking-air-emissions-past-reports" xr:uid="{3938173A-F615-CF4D-90BE-5643DF689620}"/>
    <hyperlink ref="I23" r:id="rId32" xr:uid="{B5A00297-8866-4742-93F2-CADA60289F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52A2-FDB9-5544-904A-EFAF117E6BFC}">
  <dimension ref="A1:I148"/>
  <sheetViews>
    <sheetView zoomScale="69" workbookViewId="0">
      <selection activeCell="F46" sqref="F46"/>
    </sheetView>
  </sheetViews>
  <sheetFormatPr defaultColWidth="11" defaultRowHeight="15"/>
  <cols>
    <col min="1" max="1" width="11" style="1"/>
    <col min="2" max="2" width="31.625" style="1" bestFit="1" customWidth="1"/>
    <col min="3" max="3" width="11" style="1"/>
    <col min="4" max="4" width="11.5" style="1" bestFit="1" customWidth="1"/>
    <col min="5" max="5" width="29.625" style="52" bestFit="1" customWidth="1"/>
    <col min="6" max="6" width="37.5" style="1" bestFit="1" customWidth="1"/>
    <col min="7" max="7" width="17.3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 ht="14.25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12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90" t="s">
        <v>12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90" t="s">
        <v>12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90" t="s">
        <v>12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90" t="s">
        <v>12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90" t="s">
        <v>12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90" t="s">
        <v>12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90" t="s">
        <v>12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90" t="s">
        <v>12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90" t="s">
        <v>12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90" t="s">
        <v>12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90" t="s">
        <v>12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90" t="s">
        <v>12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90" t="s">
        <v>12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95" t="s">
        <v>12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86" customFormat="1">
      <c r="A56" s="85" t="s">
        <v>36</v>
      </c>
      <c r="B56" s="86" t="s">
        <v>40</v>
      </c>
      <c r="C56" s="86" t="s">
        <v>18</v>
      </c>
      <c r="D56" s="86">
        <v>2019</v>
      </c>
      <c r="E56" s="107">
        <v>5284510</v>
      </c>
      <c r="F56" s="86" t="s">
        <v>41</v>
      </c>
      <c r="G56" s="86" t="e" cm="1">
        <f t="array" ref="G56">E56/VLOOKUP(D56,operating_revenue!$A:$D,MATCH(C56,operating_revenue!$1:$1,FALSE),FALSE) *100</f>
        <v>#N/A</v>
      </c>
      <c r="H56" s="86" t="s">
        <v>42</v>
      </c>
      <c r="I56" s="86" t="s">
        <v>43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2018</v>
      </c>
      <c r="E57" s="91">
        <v>5345592</v>
      </c>
      <c r="F57" s="90" t="s">
        <v>41</v>
      </c>
      <c r="G57" s="90" cm="1">
        <f t="array" ref="G57">E57/VLOOKUP(D57,operating_revenue!$A:$D,MATCH(C57,operating_revenue!$1:$1,FALSE),FALSE) *100</f>
        <v>1.4857946522875089E-2</v>
      </c>
      <c r="H57" s="90" t="s">
        <v>42</v>
      </c>
      <c r="I57" s="90" t="s">
        <v>44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2017</v>
      </c>
      <c r="E58" s="91">
        <v>6631595</v>
      </c>
      <c r="F58" s="90" t="s">
        <v>41</v>
      </c>
      <c r="G58" s="90" cm="1">
        <f t="array" ref="G58">E58/VLOOKUP(D58,operating_revenue!$A:$D,MATCH(C58,operating_revenue!$1:$1,FALSE),FALSE) *100</f>
        <v>1.9761591870790868E-2</v>
      </c>
      <c r="H58" s="90" t="s">
        <v>42</v>
      </c>
      <c r="I58" s="90" t="s">
        <v>45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2016</v>
      </c>
      <c r="E59" s="91">
        <v>6770000</v>
      </c>
      <c r="F59" s="90" t="s">
        <v>41</v>
      </c>
      <c r="G59" s="90" cm="1">
        <f t="array" ref="G59">E59/VLOOKUP(D59,operating_revenue!$A:$D,MATCH(C59,operating_revenue!$1:$1,FALSE),FALSE) *100</f>
        <v>2.1588010204081635E-2</v>
      </c>
      <c r="H59" s="90" t="s">
        <v>42</v>
      </c>
      <c r="I59" s="90" t="s">
        <v>46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2015</v>
      </c>
      <c r="E60" s="91">
        <v>5762000</v>
      </c>
      <c r="F60" s="90" t="s">
        <v>41</v>
      </c>
      <c r="G60" s="90" cm="1">
        <f t="array" ref="G60">E60/VLOOKUP(D60,operating_revenue!$A:$D,MATCH(C60,operating_revenue!$1:$1,FALSE),FALSE) *100</f>
        <v>1.9567358304750909E-2</v>
      </c>
      <c r="H60" s="90" t="s">
        <v>42</v>
      </c>
      <c r="I60" s="90" t="s">
        <v>47</v>
      </c>
    </row>
    <row r="61" spans="1:9" s="90" customFormat="1">
      <c r="A61" s="89" t="s">
        <v>36</v>
      </c>
      <c r="B61" s="90" t="s">
        <v>40</v>
      </c>
      <c r="C61" s="90" t="s">
        <v>18</v>
      </c>
      <c r="D61" s="90">
        <v>2014</v>
      </c>
      <c r="E61" s="91">
        <v>5870000</v>
      </c>
      <c r="F61" s="90" t="s">
        <v>41</v>
      </c>
      <c r="G61" s="90" cm="1">
        <f t="array" ref="G61">E61/VLOOKUP(D61,operating_revenue!$A:$D,MATCH(C61,operating_revenue!$1:$1,FALSE),FALSE) *100</f>
        <v>2.1400707280615407E-2</v>
      </c>
      <c r="H61" s="90" t="s">
        <v>42</v>
      </c>
      <c r="I61" s="90" t="s">
        <v>48</v>
      </c>
    </row>
    <row r="62" spans="1:9" s="90" customFormat="1">
      <c r="A62" s="89" t="s">
        <v>36</v>
      </c>
      <c r="B62" s="90" t="s">
        <v>40</v>
      </c>
      <c r="C62" s="90" t="s">
        <v>18</v>
      </c>
      <c r="D62" s="90">
        <v>2013</v>
      </c>
      <c r="E62" s="91">
        <v>5990000</v>
      </c>
      <c r="F62" s="90" t="s">
        <v>41</v>
      </c>
      <c r="G62" s="90" t="e" cm="1">
        <f t="array" ref="G62">E62/VLOOKUP(D62,operating_revenue!$A:$D,MATCH(C62,operating_revenue!$1:$1,FALSE),FALSE) *100</f>
        <v>#N/A</v>
      </c>
      <c r="H62" s="90" t="s">
        <v>42</v>
      </c>
      <c r="I62" s="90" t="s">
        <v>49</v>
      </c>
    </row>
    <row r="63" spans="1:9" s="90" customFormat="1">
      <c r="A63" s="89" t="s">
        <v>36</v>
      </c>
      <c r="B63" s="90" t="s">
        <v>40</v>
      </c>
      <c r="C63" s="90" t="s">
        <v>18</v>
      </c>
      <c r="D63" s="90">
        <v>2012</v>
      </c>
      <c r="E63" s="91">
        <v>7250000</v>
      </c>
      <c r="F63" s="90" t="s">
        <v>41</v>
      </c>
      <c r="G63" s="90" t="e" cm="1">
        <f t="array" ref="G63">E63/VLOOKUP(D63,operating_revenue!$A:$D,MATCH(C63,operating_revenue!$1:$1,FALSE),FALSE) *100</f>
        <v>#N/A</v>
      </c>
      <c r="H63" s="90" t="s">
        <v>42</v>
      </c>
      <c r="I63" s="90" t="s">
        <v>50</v>
      </c>
    </row>
    <row r="64" spans="1:9" s="90" customFormat="1">
      <c r="A64" s="89" t="s">
        <v>36</v>
      </c>
      <c r="B64" s="90" t="s">
        <v>40</v>
      </c>
      <c r="C64" s="90" t="s">
        <v>18</v>
      </c>
      <c r="D64" s="90">
        <v>2011</v>
      </c>
      <c r="E64" s="91">
        <v>6340000</v>
      </c>
      <c r="F64" s="90" t="s">
        <v>41</v>
      </c>
      <c r="G64" s="90" t="e" cm="1">
        <f t="array" ref="G64">E64/VLOOKUP(D64,operating_revenue!$A:$D,MATCH(C64,operating_revenue!$1:$1,FALSE),FALSE) *100</f>
        <v>#N/A</v>
      </c>
      <c r="H64" s="90" t="s">
        <v>42</v>
      </c>
      <c r="I64" s="90" t="s">
        <v>51</v>
      </c>
    </row>
    <row r="65" spans="1:9" s="90" customFormat="1">
      <c r="A65" s="89" t="s">
        <v>36</v>
      </c>
      <c r="B65" s="90" t="s">
        <v>40</v>
      </c>
      <c r="C65" s="90" t="s">
        <v>18</v>
      </c>
      <c r="D65" s="90">
        <v>2010</v>
      </c>
      <c r="E65" s="91">
        <v>6500000</v>
      </c>
      <c r="F65" s="90" t="s">
        <v>41</v>
      </c>
      <c r="G65" s="90" t="e" cm="1">
        <f t="array" ref="G65">E65/VLOOKUP(D65,operating_revenue!$A:$D,MATCH(C65,operating_revenue!$1:$1,FALSE),FALSE) *100</f>
        <v>#N/A</v>
      </c>
      <c r="H65" s="90" t="s">
        <v>42</v>
      </c>
      <c r="I65" s="90" t="s">
        <v>52</v>
      </c>
    </row>
    <row r="66" spans="1:9" s="90" customFormat="1">
      <c r="A66" s="89" t="s">
        <v>36</v>
      </c>
      <c r="B66" s="90" t="s">
        <v>40</v>
      </c>
      <c r="C66" s="90" t="s">
        <v>18</v>
      </c>
      <c r="D66" s="90">
        <v>2009</v>
      </c>
      <c r="E66" s="91">
        <v>5880516</v>
      </c>
      <c r="F66" s="90" t="s">
        <v>41</v>
      </c>
      <c r="G66" s="90" t="e" cm="1">
        <f t="array" ref="G66">E66/VLOOKUP(D66,operating_revenue!$A:$D,MATCH(C66,operating_revenue!$1:$1,FALSE),FALSE) *100</f>
        <v>#N/A</v>
      </c>
      <c r="H66" s="90" t="s">
        <v>42</v>
      </c>
      <c r="I66" s="90" t="s">
        <v>53</v>
      </c>
    </row>
    <row r="67" spans="1:9" s="90" customFormat="1">
      <c r="A67" s="89" t="s">
        <v>36</v>
      </c>
      <c r="B67" s="90" t="s">
        <v>40</v>
      </c>
      <c r="C67" s="90" t="s">
        <v>18</v>
      </c>
      <c r="D67" s="90">
        <v>2008</v>
      </c>
      <c r="E67" s="91">
        <v>5089998</v>
      </c>
      <c r="F67" s="90" t="s">
        <v>41</v>
      </c>
      <c r="G67" s="90" t="e" cm="1">
        <f t="array" ref="G67">E67/VLOOKUP(D67,operating_revenue!$A:$D,MATCH(C67,operating_revenue!$1:$1,FALSE),FALSE) *100</f>
        <v>#N/A</v>
      </c>
      <c r="H67" s="90" t="s">
        <v>42</v>
      </c>
      <c r="I67" s="90" t="s">
        <v>54</v>
      </c>
    </row>
    <row r="68" spans="1:9" s="90" customFormat="1">
      <c r="A68" s="89" t="s">
        <v>36</v>
      </c>
      <c r="B68" s="90" t="s">
        <v>40</v>
      </c>
      <c r="C68" s="90" t="s">
        <v>18</v>
      </c>
      <c r="D68" s="90">
        <v>2007</v>
      </c>
      <c r="E68" s="91">
        <v>2799720</v>
      </c>
      <c r="F68" s="90" t="s">
        <v>41</v>
      </c>
      <c r="G68" s="90" t="e" cm="1">
        <f t="array" ref="G68">E68/VLOOKUP(D68,operating_revenue!$A:$D,MATCH(C68,operating_revenue!$1:$1,FALSE),FALSE) *100</f>
        <v>#N/A</v>
      </c>
      <c r="H68" s="90" t="s">
        <v>42</v>
      </c>
      <c r="I68" s="90" t="s">
        <v>55</v>
      </c>
    </row>
    <row r="69" spans="1:9" s="90" customFormat="1">
      <c r="A69" s="89" t="s">
        <v>36</v>
      </c>
      <c r="B69" s="90" t="s">
        <v>40</v>
      </c>
      <c r="C69" s="90" t="s">
        <v>18</v>
      </c>
      <c r="D69" s="90">
        <v>2006</v>
      </c>
      <c r="E69" s="91">
        <v>2118152</v>
      </c>
      <c r="F69" s="90" t="s">
        <v>41</v>
      </c>
      <c r="G69" s="90" t="e" cm="1">
        <f t="array" ref="G69">E69/VLOOKUP(D69,operating_revenue!$A:$D,MATCH(C69,operating_revenue!$1:$1,FALSE),FALSE) *100</f>
        <v>#N/A</v>
      </c>
      <c r="H69" s="90" t="s">
        <v>42</v>
      </c>
      <c r="I69" s="90" t="s">
        <v>56</v>
      </c>
    </row>
    <row r="70" spans="1:9" s="90" customFormat="1">
      <c r="A70" s="89" t="s">
        <v>36</v>
      </c>
      <c r="B70" s="90" t="s">
        <v>40</v>
      </c>
      <c r="C70" s="90" t="s">
        <v>18</v>
      </c>
      <c r="D70" s="90">
        <v>2005</v>
      </c>
      <c r="E70" s="91">
        <v>2160000</v>
      </c>
      <c r="F70" s="90" t="s">
        <v>41</v>
      </c>
      <c r="G70" s="90" t="e" cm="1">
        <f t="array" ref="G70">E70/VLOOKUP(D70,operating_revenue!$A:$D,MATCH(C70,operating_revenue!$1:$1,FALSE),FALSE) *100</f>
        <v>#N/A</v>
      </c>
      <c r="H70" s="90" t="s">
        <v>42</v>
      </c>
      <c r="I70" s="90" t="s">
        <v>57</v>
      </c>
    </row>
    <row r="71" spans="1:9" s="90" customFormat="1">
      <c r="A71" s="89" t="s">
        <v>36</v>
      </c>
      <c r="B71" s="90" t="s">
        <v>40</v>
      </c>
      <c r="C71" s="90" t="s">
        <v>18</v>
      </c>
      <c r="D71" s="90">
        <v>2004</v>
      </c>
      <c r="E71" s="91">
        <v>1870000</v>
      </c>
      <c r="F71" s="90" t="s">
        <v>41</v>
      </c>
      <c r="G71" s="90" t="e" cm="1">
        <f t="array" ref="G71">E71/VLOOKUP(D71,operating_revenue!$A:$D,MATCH(C71,operating_revenue!$1:$1,FALSE),FALSE) *100</f>
        <v>#N/A</v>
      </c>
      <c r="H71" s="90" t="s">
        <v>42</v>
      </c>
      <c r="I71" s="90" t="s">
        <v>58</v>
      </c>
    </row>
    <row r="72" spans="1:9" s="90" customFormat="1">
      <c r="A72" s="89" t="s">
        <v>36</v>
      </c>
      <c r="B72" s="90" t="s">
        <v>40</v>
      </c>
      <c r="C72" s="90" t="s">
        <v>18</v>
      </c>
      <c r="D72" s="90">
        <v>2003</v>
      </c>
      <c r="E72" s="91">
        <v>2000000</v>
      </c>
      <c r="F72" s="90" t="s">
        <v>41</v>
      </c>
      <c r="G72" s="90" t="e" cm="1">
        <f t="array" ref="G72">E72/VLOOKUP(D72,operating_revenue!$A:$D,MATCH(C72,operating_revenue!$1:$1,FALSE),FALSE) *100</f>
        <v>#N/A</v>
      </c>
      <c r="H72" s="90" t="s">
        <v>42</v>
      </c>
      <c r="I72" s="90" t="s">
        <v>59</v>
      </c>
    </row>
    <row r="73" spans="1:9" s="90" customFormat="1">
      <c r="A73" s="89" t="s">
        <v>36</v>
      </c>
      <c r="B73" s="90" t="s">
        <v>40</v>
      </c>
      <c r="C73" s="90" t="s">
        <v>15</v>
      </c>
      <c r="D73" s="90">
        <v>2019</v>
      </c>
      <c r="E73" s="91">
        <v>6005000</v>
      </c>
      <c r="F73" s="90" t="s">
        <v>41</v>
      </c>
      <c r="G73" s="90" t="e" cm="1">
        <f t="array" ref="G73">E73/VLOOKUP(D73,operating_revenue!$A:$D,MATCH(C73,operating_revenue!$1:$1,FALSE),FALSE) *100</f>
        <v>#N/A</v>
      </c>
      <c r="H73" s="90" t="s">
        <v>42</v>
      </c>
      <c r="I73" s="90" t="s">
        <v>60</v>
      </c>
    </row>
    <row r="74" spans="1:9" s="90" customFormat="1">
      <c r="A74" s="89" t="s">
        <v>36</v>
      </c>
      <c r="B74" s="90" t="s">
        <v>40</v>
      </c>
      <c r="C74" s="90" t="s">
        <v>15</v>
      </c>
      <c r="D74" s="90">
        <v>2018</v>
      </c>
      <c r="E74" s="91">
        <v>5625000</v>
      </c>
      <c r="F74" s="90" t="s">
        <v>41</v>
      </c>
      <c r="G74" s="90" cm="1">
        <f t="array" ref="G74">E74/VLOOKUP(D74,operating_revenue!$A:$D,MATCH(C74,operating_revenue!$1:$1,FALSE),FALSE) *100</f>
        <v>2.2939521226703639E-2</v>
      </c>
      <c r="H74" s="90" t="s">
        <v>42</v>
      </c>
      <c r="I74" s="90" t="s">
        <v>61</v>
      </c>
    </row>
    <row r="75" spans="1:9" s="90" customFormat="1">
      <c r="A75" s="89" t="s">
        <v>36</v>
      </c>
      <c r="B75" s="90" t="s">
        <v>40</v>
      </c>
      <c r="C75" s="90" t="s">
        <v>15</v>
      </c>
      <c r="D75" s="90">
        <v>2017</v>
      </c>
      <c r="E75" s="91">
        <v>4520000</v>
      </c>
      <c r="F75" s="90" t="s">
        <v>41</v>
      </c>
      <c r="G75" s="90" cm="1">
        <f t="array" ref="G75">E75/VLOOKUP(D75,operating_revenue!$A:$D,MATCH(C75,operating_revenue!$1:$1,FALSE),FALSE) *100</f>
        <v>1.9180988754508806E-2</v>
      </c>
      <c r="H75" s="90" t="s">
        <v>42</v>
      </c>
      <c r="I75" s="90" t="s">
        <v>62</v>
      </c>
    </row>
    <row r="76" spans="1:9" s="90" customFormat="1">
      <c r="A76" s="89" t="s">
        <v>36</v>
      </c>
      <c r="B76" s="90" t="s">
        <v>40</v>
      </c>
      <c r="C76" s="90" t="s">
        <v>15</v>
      </c>
      <c r="D76" s="90">
        <v>2016</v>
      </c>
      <c r="E76" s="91">
        <v>5230000</v>
      </c>
      <c r="F76" s="90" t="s">
        <v>41</v>
      </c>
      <c r="G76" s="90" cm="1">
        <f t="array" ref="G76">E76/VLOOKUP(D76,operating_revenue!$A:$D,MATCH(C76,operating_revenue!$1:$1,FALSE),FALSE) *100</f>
        <v>2.2996086707998065E-2</v>
      </c>
      <c r="H76" s="90" t="s">
        <v>42</v>
      </c>
      <c r="I76" s="90" t="s">
        <v>63</v>
      </c>
    </row>
    <row r="77" spans="1:9" s="90" customFormat="1">
      <c r="A77" s="89" t="s">
        <v>36</v>
      </c>
      <c r="B77" s="90" t="s">
        <v>40</v>
      </c>
      <c r="C77" s="90" t="s">
        <v>15</v>
      </c>
      <c r="D77" s="90">
        <v>2015</v>
      </c>
      <c r="E77" s="91">
        <v>6100000</v>
      </c>
      <c r="F77" s="90" t="s">
        <v>41</v>
      </c>
      <c r="G77" s="90" cm="1">
        <f t="array" ref="G77">E77/VLOOKUP(D77,operating_revenue!$A:$D,MATCH(C77,operating_revenue!$1:$1,FALSE),FALSE) *100</f>
        <v>2.7267444459344689E-2</v>
      </c>
      <c r="H77" s="90" t="s">
        <v>42</v>
      </c>
      <c r="I77" s="90" t="s">
        <v>64</v>
      </c>
    </row>
    <row r="78" spans="1:9" s="90" customFormat="1">
      <c r="A78" s="89" t="s">
        <v>36</v>
      </c>
      <c r="B78" s="90" t="s">
        <v>40</v>
      </c>
      <c r="C78" s="90" t="s">
        <v>15</v>
      </c>
      <c r="D78" s="90">
        <v>2014</v>
      </c>
      <c r="E78" s="91">
        <v>5135000</v>
      </c>
      <c r="F78" s="90" t="s">
        <v>41</v>
      </c>
      <c r="G78" s="90" cm="1">
        <f t="array" ref="G78">E78/VLOOKUP(D78,operating_revenue!$A:$D,MATCH(C78,operating_revenue!$1:$1,FALSE),FALSE) *100</f>
        <v>2.3278480438823156E-2</v>
      </c>
      <c r="H78" s="90" t="s">
        <v>42</v>
      </c>
      <c r="I78" s="90" t="s">
        <v>65</v>
      </c>
    </row>
    <row r="79" spans="1:9" s="90" customFormat="1">
      <c r="A79" s="89" t="s">
        <v>36</v>
      </c>
      <c r="B79" s="90" t="s">
        <v>40</v>
      </c>
      <c r="C79" s="90" t="s">
        <v>15</v>
      </c>
      <c r="D79" s="90">
        <v>2013</v>
      </c>
      <c r="E79" s="91">
        <v>4780000</v>
      </c>
      <c r="F79" s="90" t="s">
        <v>41</v>
      </c>
      <c r="G79" s="90" t="e" cm="1">
        <f t="array" ref="G79">E79/VLOOKUP(D79,operating_revenue!$A:$D,MATCH(C79,operating_revenue!$1:$1,FALSE),FALSE) *100</f>
        <v>#N/A</v>
      </c>
      <c r="H79" s="90" t="s">
        <v>42</v>
      </c>
      <c r="I79" s="90" t="s">
        <v>66</v>
      </c>
    </row>
    <row r="80" spans="1:9" s="90" customFormat="1">
      <c r="A80" s="89" t="s">
        <v>36</v>
      </c>
      <c r="B80" s="90" t="s">
        <v>40</v>
      </c>
      <c r="C80" s="90" t="s">
        <v>15</v>
      </c>
      <c r="D80" s="90">
        <v>2012</v>
      </c>
      <c r="E80" s="91">
        <v>7779350</v>
      </c>
      <c r="F80" s="90" t="s">
        <v>41</v>
      </c>
      <c r="G80" s="90" t="e" cm="1">
        <f t="array" ref="G80">E80/VLOOKUP(D80,operating_revenue!$A:$D,MATCH(C80,operating_revenue!$1:$1,FALSE),FALSE) *100</f>
        <v>#N/A</v>
      </c>
      <c r="H80" s="90" t="s">
        <v>42</v>
      </c>
      <c r="I80" s="90" t="s">
        <v>67</v>
      </c>
    </row>
    <row r="81" spans="1:9" s="90" customFormat="1">
      <c r="A81" s="89" t="s">
        <v>36</v>
      </c>
      <c r="B81" s="90" t="s">
        <v>40</v>
      </c>
      <c r="C81" s="90" t="s">
        <v>15</v>
      </c>
      <c r="D81" s="90">
        <v>2011</v>
      </c>
      <c r="E81" s="91">
        <v>9273154</v>
      </c>
      <c r="F81" s="90" t="s">
        <v>41</v>
      </c>
      <c r="G81" s="90" t="e" cm="1">
        <f t="array" ref="G81">E81/VLOOKUP(D81,operating_revenue!$A:$D,MATCH(C81,operating_revenue!$1:$1,FALSE),FALSE) *100</f>
        <v>#N/A</v>
      </c>
      <c r="H81" s="90" t="s">
        <v>42</v>
      </c>
      <c r="I81" s="90" t="s">
        <v>68</v>
      </c>
    </row>
    <row r="82" spans="1:9" s="90" customFormat="1">
      <c r="A82" s="89" t="s">
        <v>36</v>
      </c>
      <c r="B82" s="90" t="s">
        <v>40</v>
      </c>
      <c r="C82" s="90" t="s">
        <v>15</v>
      </c>
      <c r="D82" s="90">
        <v>2010</v>
      </c>
      <c r="E82" s="91">
        <v>3711797</v>
      </c>
      <c r="F82" s="90" t="s">
        <v>41</v>
      </c>
      <c r="G82" s="90" t="e" cm="1">
        <f t="array" ref="G82">E82/VLOOKUP(D82,operating_revenue!$A:$D,MATCH(C82,operating_revenue!$1:$1,FALSE),FALSE) *100</f>
        <v>#N/A</v>
      </c>
      <c r="H82" s="90" t="s">
        <v>42</v>
      </c>
      <c r="I82" s="90" t="s">
        <v>69</v>
      </c>
    </row>
    <row r="83" spans="1:9" s="90" customFormat="1">
      <c r="A83" s="89" t="s">
        <v>36</v>
      </c>
      <c r="B83" s="90" t="s">
        <v>40</v>
      </c>
      <c r="C83" s="90" t="s">
        <v>15</v>
      </c>
      <c r="D83" s="90">
        <v>2009</v>
      </c>
      <c r="E83" s="91">
        <v>4573000</v>
      </c>
      <c r="F83" s="90" t="s">
        <v>41</v>
      </c>
      <c r="G83" s="90" t="e" cm="1">
        <f t="array" ref="G83">E83/VLOOKUP(D83,operating_revenue!$A:$D,MATCH(C83,operating_revenue!$1:$1,FALSE),FALSE) *100</f>
        <v>#N/A</v>
      </c>
      <c r="H83" s="90" t="s">
        <v>42</v>
      </c>
      <c r="I83" s="90" t="s">
        <v>70</v>
      </c>
    </row>
    <row r="84" spans="1:9" s="90" customFormat="1">
      <c r="A84" s="89" t="s">
        <v>36</v>
      </c>
      <c r="B84" s="90" t="s">
        <v>40</v>
      </c>
      <c r="C84" s="90" t="s">
        <v>15</v>
      </c>
      <c r="D84" s="90">
        <v>2008</v>
      </c>
      <c r="E84" s="91">
        <v>4499130</v>
      </c>
      <c r="F84" s="90" t="s">
        <v>41</v>
      </c>
      <c r="G84" s="90" t="e" cm="1">
        <f t="array" ref="G84">E84/VLOOKUP(D84,operating_revenue!$A:$D,MATCH(C84,operating_revenue!$1:$1,FALSE),FALSE) *100</f>
        <v>#N/A</v>
      </c>
      <c r="H84" s="90" t="s">
        <v>42</v>
      </c>
      <c r="I84" s="90" t="s">
        <v>71</v>
      </c>
    </row>
    <row r="85" spans="1:9" s="90" customFormat="1">
      <c r="A85" s="89" t="s">
        <v>36</v>
      </c>
      <c r="B85" s="90" t="s">
        <v>40</v>
      </c>
      <c r="C85" s="90" t="s">
        <v>15</v>
      </c>
      <c r="D85" s="90">
        <v>2007</v>
      </c>
      <c r="E85" s="91">
        <v>3902321</v>
      </c>
      <c r="F85" s="90" t="s">
        <v>41</v>
      </c>
      <c r="G85" s="90" t="e" cm="1">
        <f t="array" ref="G85">E85/VLOOKUP(D85,operating_revenue!$A:$D,MATCH(C85,operating_revenue!$1:$1,FALSE),FALSE) *100</f>
        <v>#N/A</v>
      </c>
      <c r="H85" s="90" t="s">
        <v>42</v>
      </c>
      <c r="I85" s="90" t="s">
        <v>72</v>
      </c>
    </row>
    <row r="86" spans="1:9" s="90" customFormat="1">
      <c r="A86" s="89" t="s">
        <v>36</v>
      </c>
      <c r="B86" s="90" t="s">
        <v>40</v>
      </c>
      <c r="C86" s="90" t="s">
        <v>15</v>
      </c>
      <c r="D86" s="90">
        <v>2006</v>
      </c>
      <c r="E86" s="91">
        <v>1329014</v>
      </c>
      <c r="F86" s="90" t="s">
        <v>41</v>
      </c>
      <c r="G86" s="90" t="e" cm="1">
        <f t="array" ref="G86">E86/VLOOKUP(D86,operating_revenue!$A:$D,MATCH(C86,operating_revenue!$1:$1,FALSE),FALSE) *100</f>
        <v>#N/A</v>
      </c>
      <c r="H86" s="90" t="s">
        <v>42</v>
      </c>
      <c r="I86" s="90" t="s">
        <v>73</v>
      </c>
    </row>
    <row r="87" spans="1:9" s="90" customFormat="1">
      <c r="A87" s="89" t="s">
        <v>36</v>
      </c>
      <c r="B87" s="90" t="s">
        <v>40</v>
      </c>
      <c r="C87" s="90" t="s">
        <v>15</v>
      </c>
      <c r="D87" s="90">
        <v>2005</v>
      </c>
      <c r="E87" s="91">
        <v>1875000</v>
      </c>
      <c r="F87" s="90" t="s">
        <v>41</v>
      </c>
      <c r="G87" s="90" t="e" cm="1">
        <f t="array" ref="G87">E87/VLOOKUP(D87,operating_revenue!$A:$D,MATCH(C87,operating_revenue!$1:$1,FALSE),FALSE) *100</f>
        <v>#N/A</v>
      </c>
      <c r="H87" s="90" t="s">
        <v>42</v>
      </c>
      <c r="I87" s="90" t="s">
        <v>74</v>
      </c>
    </row>
    <row r="88" spans="1:9" s="90" customFormat="1">
      <c r="A88" s="89" t="s">
        <v>36</v>
      </c>
      <c r="B88" s="90" t="s">
        <v>40</v>
      </c>
      <c r="C88" s="90" t="s">
        <v>15</v>
      </c>
      <c r="D88" s="90">
        <v>2004</v>
      </c>
      <c r="E88" s="91">
        <v>1142000</v>
      </c>
      <c r="F88" s="90" t="s">
        <v>41</v>
      </c>
      <c r="G88" s="90" t="e" cm="1">
        <f t="array" ref="G88">E88/VLOOKUP(D88,operating_revenue!$A:$D,MATCH(C88,operating_revenue!$1:$1,FALSE),FALSE) *100</f>
        <v>#N/A</v>
      </c>
      <c r="H88" s="90" t="s">
        <v>42</v>
      </c>
      <c r="I88" s="90" t="s">
        <v>75</v>
      </c>
    </row>
    <row r="89" spans="1:9" s="90" customFormat="1">
      <c r="A89" s="89" t="s">
        <v>36</v>
      </c>
      <c r="B89" s="90" t="s">
        <v>40</v>
      </c>
      <c r="C89" s="90" t="s">
        <v>15</v>
      </c>
      <c r="D89" s="90">
        <v>2003</v>
      </c>
      <c r="E89" s="91">
        <v>2924400</v>
      </c>
      <c r="F89" s="90" t="s">
        <v>41</v>
      </c>
      <c r="G89" s="90" t="e" cm="1">
        <f t="array" ref="G89">E89/VLOOKUP(D89,operating_revenue!$A:$D,MATCH(C89,operating_revenue!$1:$1,FALSE),FALSE) *100</f>
        <v>#N/A</v>
      </c>
      <c r="H89" s="90" t="s">
        <v>42</v>
      </c>
      <c r="I89" s="90" t="s">
        <v>76</v>
      </c>
    </row>
    <row r="90" spans="1:9" s="90" customFormat="1">
      <c r="A90" s="89" t="s">
        <v>36</v>
      </c>
      <c r="B90" s="90" t="s">
        <v>40</v>
      </c>
      <c r="C90" s="90" t="s">
        <v>11</v>
      </c>
      <c r="D90" s="90">
        <v>2019</v>
      </c>
      <c r="E90" s="91">
        <v>4100000</v>
      </c>
      <c r="F90" s="90" t="s">
        <v>41</v>
      </c>
      <c r="G90" s="90" t="e" cm="1">
        <f t="array" ref="G90">E90/VLOOKUP(D90,operating_revenue!$A:$D,MATCH(C90,operating_revenue!$1:$1,FALSE),FALSE) *100</f>
        <v>#N/A</v>
      </c>
      <c r="H90" s="90" t="s">
        <v>42</v>
      </c>
      <c r="I90" s="90" t="s">
        <v>77</v>
      </c>
    </row>
    <row r="91" spans="1:9" s="90" customFormat="1">
      <c r="A91" s="89" t="s">
        <v>36</v>
      </c>
      <c r="B91" s="90" t="s">
        <v>40</v>
      </c>
      <c r="C91" s="90" t="s">
        <v>11</v>
      </c>
      <c r="D91" s="90">
        <v>2018</v>
      </c>
      <c r="E91" s="91">
        <v>3470000</v>
      </c>
      <c r="F91" s="90" t="s">
        <v>41</v>
      </c>
      <c r="G91" s="90" cm="1">
        <f t="array" ref="G91">E91/VLOOKUP(D91,operating_revenue!$A:$D,MATCH(C91,operating_revenue!$1:$1,FALSE),FALSE) *100</f>
        <v>2.0778443113772457E-2</v>
      </c>
      <c r="H91" s="90" t="s">
        <v>42</v>
      </c>
      <c r="I91" s="90" t="s">
        <v>78</v>
      </c>
    </row>
    <row r="92" spans="1:9" s="90" customFormat="1">
      <c r="A92" s="89" t="s">
        <v>36</v>
      </c>
      <c r="B92" s="90" t="s">
        <v>40</v>
      </c>
      <c r="C92" s="90" t="s">
        <v>11</v>
      </c>
      <c r="D92" s="90">
        <v>2017</v>
      </c>
      <c r="E92" s="91">
        <v>4090000</v>
      </c>
      <c r="F92" s="90" t="s">
        <v>41</v>
      </c>
      <c r="G92" s="90" cm="1">
        <f t="array" ref="G92">E92/VLOOKUP(D92,operating_revenue!$A:$D,MATCH(C92,operating_revenue!$1:$1,FALSE),FALSE) *100</f>
        <v>2.377906976744186E-2</v>
      </c>
      <c r="H92" s="90" t="s">
        <v>42</v>
      </c>
      <c r="I92" s="90" t="s">
        <v>79</v>
      </c>
    </row>
    <row r="93" spans="1:9" s="90" customFormat="1">
      <c r="A93" s="89" t="s">
        <v>36</v>
      </c>
      <c r="B93" s="90" t="s">
        <v>40</v>
      </c>
      <c r="C93" s="90" t="s">
        <v>11</v>
      </c>
      <c r="D93" s="90">
        <v>2016</v>
      </c>
      <c r="E93" s="91">
        <v>2810000</v>
      </c>
      <c r="F93" s="90" t="s">
        <v>41</v>
      </c>
      <c r="G93" s="90" cm="1">
        <f t="array" ref="G93">E93/VLOOKUP(D93,operating_revenue!$A:$D,MATCH(C93,operating_revenue!$1:$1,FALSE),FALSE) *100</f>
        <v>1.7453416149068323E-2</v>
      </c>
      <c r="H93" s="90" t="s">
        <v>42</v>
      </c>
      <c r="I93" s="90" t="s">
        <v>80</v>
      </c>
    </row>
    <row r="94" spans="1:9" s="90" customFormat="1">
      <c r="A94" s="89" t="s">
        <v>36</v>
      </c>
      <c r="B94" s="90" t="s">
        <v>40</v>
      </c>
      <c r="C94" s="90" t="s">
        <v>11</v>
      </c>
      <c r="D94" s="90">
        <v>2015</v>
      </c>
      <c r="E94" s="91">
        <v>2410000</v>
      </c>
      <c r="F94" s="90" t="s">
        <v>41</v>
      </c>
      <c r="G94" s="90" cm="1">
        <f t="array" ref="G94">E94/VLOOKUP(D94,operating_revenue!$A:$D,MATCH(C94,operating_revenue!$1:$1,FALSE),FALSE) *100</f>
        <v>1.3771428571428572E-2</v>
      </c>
      <c r="H94" s="90" t="s">
        <v>42</v>
      </c>
      <c r="I94" s="90" t="s">
        <v>81</v>
      </c>
    </row>
    <row r="95" spans="1:9" s="90" customFormat="1">
      <c r="A95" s="89" t="s">
        <v>36</v>
      </c>
      <c r="B95" s="90" t="s">
        <v>40</v>
      </c>
      <c r="C95" s="90" t="s">
        <v>11</v>
      </c>
      <c r="D95" s="90">
        <v>2014</v>
      </c>
      <c r="E95" s="91">
        <v>4790000</v>
      </c>
      <c r="F95" s="90" t="s">
        <v>41</v>
      </c>
      <c r="G95" s="90" cm="1">
        <f t="array" ref="G95">E95/VLOOKUP(D95,operating_revenue!$A:$D,MATCH(C95,operating_revenue!$1:$1,FALSE),FALSE) *100</f>
        <v>2.8176470588235296E-2</v>
      </c>
      <c r="H95" s="90" t="s">
        <v>42</v>
      </c>
      <c r="I95" s="90" t="s">
        <v>82</v>
      </c>
    </row>
    <row r="96" spans="1:9" s="90" customFormat="1">
      <c r="A96" s="89" t="s">
        <v>36</v>
      </c>
      <c r="B96" s="90" t="s">
        <v>40</v>
      </c>
      <c r="C96" s="90" t="s">
        <v>11</v>
      </c>
      <c r="D96" s="90">
        <v>2013</v>
      </c>
      <c r="E96" s="91">
        <v>3950000</v>
      </c>
      <c r="F96" s="90" t="s">
        <v>41</v>
      </c>
      <c r="G96" s="90" t="e" cm="1">
        <f t="array" ref="G96">E96/VLOOKUP(D96,operating_revenue!$A:$D,MATCH(C96,operating_revenue!$1:$1,FALSE),FALSE) *100</f>
        <v>#N/A</v>
      </c>
      <c r="H96" s="90" t="s">
        <v>42</v>
      </c>
      <c r="I96" s="90" t="s">
        <v>83</v>
      </c>
    </row>
    <row r="97" spans="1:9" s="90" customFormat="1">
      <c r="A97" s="89" t="s">
        <v>36</v>
      </c>
      <c r="B97" s="90" t="s">
        <v>40</v>
      </c>
      <c r="C97" s="90" t="s">
        <v>11</v>
      </c>
      <c r="D97" s="90">
        <v>2012</v>
      </c>
      <c r="E97" s="91">
        <v>4620000</v>
      </c>
      <c r="F97" s="90" t="s">
        <v>41</v>
      </c>
      <c r="G97" s="90" t="e" cm="1">
        <f t="array" ref="G97">E97/VLOOKUP(D97,operating_revenue!$A:$D,MATCH(C97,operating_revenue!$1:$1,FALSE),FALSE) *100</f>
        <v>#N/A</v>
      </c>
      <c r="H97" s="90" t="s">
        <v>42</v>
      </c>
      <c r="I97" s="90" t="s">
        <v>84</v>
      </c>
    </row>
    <row r="98" spans="1:9" s="90" customFormat="1">
      <c r="A98" s="89" t="s">
        <v>36</v>
      </c>
      <c r="B98" s="90" t="s">
        <v>40</v>
      </c>
      <c r="C98" s="90" t="s">
        <v>11</v>
      </c>
      <c r="D98" s="90">
        <v>2011</v>
      </c>
      <c r="E98" s="91">
        <v>2460000</v>
      </c>
      <c r="F98" s="90" t="s">
        <v>41</v>
      </c>
      <c r="G98" s="90" t="e" cm="1">
        <f t="array" ref="G98">E98/VLOOKUP(D98,operating_revenue!$A:$D,MATCH(C98,operating_revenue!$1:$1,FALSE),FALSE) *100</f>
        <v>#N/A</v>
      </c>
      <c r="H98" s="90" t="s">
        <v>42</v>
      </c>
      <c r="I98" s="90" t="s">
        <v>85</v>
      </c>
    </row>
    <row r="99" spans="1:9" s="90" customFormat="1">
      <c r="A99" s="89" t="s">
        <v>36</v>
      </c>
      <c r="B99" s="90" t="s">
        <v>40</v>
      </c>
      <c r="C99" s="90" t="s">
        <v>11</v>
      </c>
      <c r="D99" s="90">
        <v>2010</v>
      </c>
      <c r="E99" s="91">
        <v>3280000</v>
      </c>
      <c r="F99" s="90" t="s">
        <v>41</v>
      </c>
      <c r="G99" s="90" t="e" cm="1">
        <f t="array" ref="G99">E99/VLOOKUP(D99,operating_revenue!$A:$D,MATCH(C99,operating_revenue!$1:$1,FALSE),FALSE) *100</f>
        <v>#N/A</v>
      </c>
      <c r="H99" s="90" t="s">
        <v>42</v>
      </c>
      <c r="I99" s="90" t="s">
        <v>86</v>
      </c>
    </row>
    <row r="100" spans="1:9" s="90" customFormat="1">
      <c r="A100" s="89" t="s">
        <v>36</v>
      </c>
      <c r="B100" s="90" t="s">
        <v>40</v>
      </c>
      <c r="C100" s="90" t="s">
        <v>11</v>
      </c>
      <c r="D100" s="90">
        <v>2009</v>
      </c>
      <c r="E100" s="91">
        <v>3450000</v>
      </c>
      <c r="F100" s="90" t="s">
        <v>41</v>
      </c>
      <c r="G100" s="90" t="e" cm="1">
        <f t="array" ref="G100">E100/VLOOKUP(D100,operating_revenue!$A:$D,MATCH(C100,operating_revenue!$1:$1,FALSE),FALSE) *100</f>
        <v>#N/A</v>
      </c>
      <c r="H100" s="90" t="s">
        <v>42</v>
      </c>
      <c r="I100" s="90" t="s">
        <v>87</v>
      </c>
    </row>
    <row r="101" spans="1:9" s="90" customFormat="1">
      <c r="A101" s="89" t="s">
        <v>36</v>
      </c>
      <c r="B101" s="90" t="s">
        <v>40</v>
      </c>
      <c r="C101" s="90" t="s">
        <v>11</v>
      </c>
      <c r="D101" s="90">
        <v>2008</v>
      </c>
      <c r="E101" s="91">
        <v>3080000</v>
      </c>
      <c r="F101" s="90" t="s">
        <v>41</v>
      </c>
      <c r="G101" s="90" t="e" cm="1">
        <f t="array" ref="G101">E101/VLOOKUP(D101,operating_revenue!$A:$D,MATCH(C101,operating_revenue!$1:$1,FALSE),FALSE) *100</f>
        <v>#N/A</v>
      </c>
      <c r="H101" s="90" t="s">
        <v>42</v>
      </c>
      <c r="I101" s="90" t="s">
        <v>88</v>
      </c>
    </row>
    <row r="102" spans="1:9" s="90" customFormat="1">
      <c r="A102" s="89" t="s">
        <v>36</v>
      </c>
      <c r="B102" s="90" t="s">
        <v>40</v>
      </c>
      <c r="C102" s="90" t="s">
        <v>11</v>
      </c>
      <c r="D102" s="90">
        <v>2007</v>
      </c>
      <c r="E102" s="91">
        <v>2560000</v>
      </c>
      <c r="F102" s="90" t="s">
        <v>41</v>
      </c>
      <c r="G102" s="90" t="e" cm="1">
        <f t="array" ref="G102">E102/VLOOKUP(D102,operating_revenue!$A:$D,MATCH(C102,operating_revenue!$1:$1,FALSE),FALSE) *100</f>
        <v>#N/A</v>
      </c>
      <c r="H102" s="90" t="s">
        <v>42</v>
      </c>
      <c r="I102" s="90" t="s">
        <v>89</v>
      </c>
    </row>
    <row r="103" spans="1:9" s="90" customFormat="1">
      <c r="A103" s="89" t="s">
        <v>36</v>
      </c>
      <c r="B103" s="90" t="s">
        <v>40</v>
      </c>
      <c r="C103" s="90" t="s">
        <v>11</v>
      </c>
      <c r="D103" s="90">
        <v>2006</v>
      </c>
      <c r="E103" s="91">
        <v>2740000</v>
      </c>
      <c r="F103" s="90" t="s">
        <v>41</v>
      </c>
      <c r="G103" s="90" t="e" cm="1">
        <f t="array" ref="G103">E103/VLOOKUP(D103,operating_revenue!$A:$D,MATCH(C103,operating_revenue!$1:$1,FALSE),FALSE) *100</f>
        <v>#N/A</v>
      </c>
      <c r="H103" s="90" t="s">
        <v>42</v>
      </c>
      <c r="I103" s="90" t="s">
        <v>90</v>
      </c>
    </row>
    <row r="104" spans="1:9" s="90" customFormat="1">
      <c r="A104" s="89" t="s">
        <v>36</v>
      </c>
      <c r="B104" s="90" t="s">
        <v>40</v>
      </c>
      <c r="C104" s="90" t="s">
        <v>11</v>
      </c>
      <c r="D104" s="90">
        <v>2005</v>
      </c>
      <c r="E104" s="91">
        <v>1860000</v>
      </c>
      <c r="F104" s="90" t="s">
        <v>41</v>
      </c>
      <c r="G104" s="90" t="e" cm="1">
        <f t="array" ref="G104">E104/VLOOKUP(D104,operating_revenue!$A:$D,MATCH(C104,operating_revenue!$1:$1,FALSE),FALSE) *100</f>
        <v>#N/A</v>
      </c>
      <c r="H104" s="90" t="s">
        <v>42</v>
      </c>
      <c r="I104" s="90" t="s">
        <v>91</v>
      </c>
    </row>
    <row r="105" spans="1:9" s="90" customFormat="1">
      <c r="A105" s="89" t="s">
        <v>36</v>
      </c>
      <c r="B105" s="90" t="s">
        <v>40</v>
      </c>
      <c r="C105" s="90" t="s">
        <v>11</v>
      </c>
      <c r="D105" s="90">
        <v>2004</v>
      </c>
      <c r="E105" s="91">
        <v>1460000</v>
      </c>
      <c r="F105" s="90" t="s">
        <v>41</v>
      </c>
      <c r="G105" s="90" t="e" cm="1">
        <f t="array" ref="G105">E105/VLOOKUP(D105,operating_revenue!$A:$D,MATCH(C105,operating_revenue!$1:$1,FALSE),FALSE) *100</f>
        <v>#N/A</v>
      </c>
      <c r="H105" s="90" t="s">
        <v>42</v>
      </c>
      <c r="I105" s="90" t="s">
        <v>92</v>
      </c>
    </row>
    <row r="106" spans="1:9" s="90" customFormat="1">
      <c r="A106" s="89" t="s">
        <v>36</v>
      </c>
      <c r="B106" s="90" t="s">
        <v>40</v>
      </c>
      <c r="C106" s="90" t="s">
        <v>11</v>
      </c>
      <c r="D106" s="90">
        <v>2003</v>
      </c>
      <c r="E106" s="91">
        <v>1560000</v>
      </c>
      <c r="F106" s="90" t="s">
        <v>41</v>
      </c>
      <c r="G106" s="90" t="e" cm="1">
        <f t="array" ref="G106">E106/VLOOKUP(D106,operating_revenue!$A:$D,MATCH(C106,operating_revenue!$1:$1,FALSE),FALSE) *100</f>
        <v>#N/A</v>
      </c>
      <c r="H106" s="90" t="s">
        <v>42</v>
      </c>
      <c r="I106" s="90" t="s">
        <v>93</v>
      </c>
    </row>
    <row r="107" spans="1:9" s="90" customFormat="1">
      <c r="A107" s="89" t="s">
        <v>36</v>
      </c>
      <c r="B107" s="90" t="s">
        <v>40</v>
      </c>
      <c r="C107" s="90" t="s">
        <v>34</v>
      </c>
      <c r="D107" s="90">
        <v>2019</v>
      </c>
      <c r="E107" s="91">
        <v>900000</v>
      </c>
      <c r="F107" s="90" t="s">
        <v>41</v>
      </c>
      <c r="G107" s="90" t="e" cm="1">
        <f t="array" ref="G107">E107/VLOOKUP(D107,operating_revenue!$A:$D,MATCH(C107,operating_revenue!$1:$1,FALSE),FALSE) *100</f>
        <v>#N/A</v>
      </c>
      <c r="H107" s="90" t="s">
        <v>42</v>
      </c>
      <c r="I107" s="90" t="s">
        <v>94</v>
      </c>
    </row>
    <row r="108" spans="1:9" s="90" customFormat="1">
      <c r="A108" s="89" t="s">
        <v>36</v>
      </c>
      <c r="B108" s="90" t="s">
        <v>40</v>
      </c>
      <c r="C108" s="90" t="s">
        <v>34</v>
      </c>
      <c r="D108" s="90">
        <v>2018</v>
      </c>
      <c r="E108" s="91">
        <v>1200000</v>
      </c>
      <c r="F108" s="90" t="s">
        <v>41</v>
      </c>
      <c r="G108" s="90" t="e" cm="1">
        <f t="array" ref="G108">E108/VLOOKUP(D108,operating_revenue!$A:$D,MATCH(C108,operating_revenue!$1:$1,FALSE),FALSE) *100</f>
        <v>#N/A</v>
      </c>
      <c r="H108" s="90" t="s">
        <v>42</v>
      </c>
      <c r="I108" s="90" t="s">
        <v>94</v>
      </c>
    </row>
    <row r="109" spans="1:9" s="90" customFormat="1">
      <c r="A109" s="89" t="s">
        <v>36</v>
      </c>
      <c r="B109" s="90" t="s">
        <v>40</v>
      </c>
      <c r="C109" s="90" t="s">
        <v>34</v>
      </c>
      <c r="D109" s="90">
        <v>2017</v>
      </c>
      <c r="E109" s="91">
        <v>1230000</v>
      </c>
      <c r="F109" s="90" t="s">
        <v>41</v>
      </c>
      <c r="G109" s="90" t="e" cm="1">
        <f t="array" ref="G109">E109/VLOOKUP(D109,operating_revenue!$A:$D,MATCH(C109,operating_revenue!$1:$1,FALSE),FALSE) *100</f>
        <v>#N/A</v>
      </c>
      <c r="H109" s="90" t="s">
        <v>42</v>
      </c>
      <c r="I109" s="90" t="s">
        <v>95</v>
      </c>
    </row>
    <row r="110" spans="1:9" s="90" customFormat="1">
      <c r="A110" s="89" t="s">
        <v>36</v>
      </c>
      <c r="B110" s="90" t="s">
        <v>40</v>
      </c>
      <c r="C110" s="90" t="s">
        <v>34</v>
      </c>
      <c r="D110" s="90">
        <v>2016</v>
      </c>
      <c r="E110" s="91">
        <v>1050000</v>
      </c>
      <c r="F110" s="90" t="s">
        <v>41</v>
      </c>
      <c r="G110" s="90" t="e" cm="1">
        <f t="array" ref="G110">E110/VLOOKUP(D110,operating_revenue!$A:$D,MATCH(C110,operating_revenue!$1:$1,FALSE),FALSE) *100</f>
        <v>#N/A</v>
      </c>
      <c r="H110" s="90" t="s">
        <v>42</v>
      </c>
      <c r="I110" s="90" t="s">
        <v>96</v>
      </c>
    </row>
    <row r="111" spans="1:9" s="90" customFormat="1">
      <c r="A111" s="89" t="s">
        <v>36</v>
      </c>
      <c r="B111" s="90" t="s">
        <v>40</v>
      </c>
      <c r="C111" s="90" t="s">
        <v>34</v>
      </c>
      <c r="D111" s="90">
        <v>2015</v>
      </c>
      <c r="E111" s="91">
        <v>920000</v>
      </c>
      <c r="F111" s="90" t="s">
        <v>41</v>
      </c>
      <c r="G111" s="90" t="e" cm="1">
        <f t="array" ref="G111">E111/VLOOKUP(D111,operating_revenue!$A:$D,MATCH(C111,operating_revenue!$1:$1,FALSE),FALSE) *100</f>
        <v>#N/A</v>
      </c>
      <c r="H111" s="90" t="s">
        <v>42</v>
      </c>
      <c r="I111" s="90" t="s">
        <v>97</v>
      </c>
    </row>
    <row r="112" spans="1:9" s="90" customFormat="1">
      <c r="A112" s="89" t="s">
        <v>36</v>
      </c>
      <c r="B112" s="90" t="s">
        <v>40</v>
      </c>
      <c r="C112" s="90" t="s">
        <v>34</v>
      </c>
      <c r="D112" s="90">
        <v>2014</v>
      </c>
      <c r="E112" s="91">
        <v>850000</v>
      </c>
      <c r="F112" s="90" t="s">
        <v>41</v>
      </c>
      <c r="G112" s="90" t="e" cm="1">
        <f t="array" ref="G112">E112/VLOOKUP(D112,operating_revenue!$A:$D,MATCH(C112,operating_revenue!$1:$1,FALSE),FALSE) *100</f>
        <v>#N/A</v>
      </c>
      <c r="H112" s="90" t="s">
        <v>42</v>
      </c>
      <c r="I112" s="90" t="s">
        <v>98</v>
      </c>
    </row>
    <row r="113" spans="1:9" s="90" customFormat="1">
      <c r="A113" s="89" t="s">
        <v>36</v>
      </c>
      <c r="B113" s="90" t="s">
        <v>40</v>
      </c>
      <c r="C113" s="90" t="s">
        <v>34</v>
      </c>
      <c r="D113" s="90">
        <v>2013</v>
      </c>
      <c r="E113" s="91">
        <v>780000</v>
      </c>
      <c r="F113" s="90" t="s">
        <v>41</v>
      </c>
      <c r="G113" s="90" t="e" cm="1">
        <f t="array" ref="G113">E113/VLOOKUP(D113,operating_revenue!$A:$D,MATCH(C113,operating_revenue!$1:$1,FALSE),FALSE) *100</f>
        <v>#N/A</v>
      </c>
      <c r="H113" s="90" t="s">
        <v>42</v>
      </c>
      <c r="I113" s="90" t="s">
        <v>99</v>
      </c>
    </row>
    <row r="114" spans="1:9" s="90" customFormat="1">
      <c r="A114" s="89" t="s">
        <v>36</v>
      </c>
      <c r="B114" s="90" t="s">
        <v>40</v>
      </c>
      <c r="C114" s="90" t="s">
        <v>34</v>
      </c>
      <c r="D114" s="90">
        <v>2012</v>
      </c>
      <c r="E114" s="91">
        <v>1051000</v>
      </c>
      <c r="F114" s="90" t="s">
        <v>41</v>
      </c>
      <c r="G114" s="90" t="e" cm="1">
        <f t="array" ref="G114">E114/VLOOKUP(D114,operating_revenue!$A:$D,MATCH(C114,operating_revenue!$1:$1,FALSE),FALSE) *100</f>
        <v>#N/A</v>
      </c>
      <c r="H114" s="90" t="s">
        <v>42</v>
      </c>
      <c r="I114" s="90" t="s">
        <v>100</v>
      </c>
    </row>
    <row r="115" spans="1:9" s="90" customFormat="1">
      <c r="A115" s="89" t="s">
        <v>36</v>
      </c>
      <c r="B115" s="90" t="s">
        <v>40</v>
      </c>
      <c r="C115" s="90" t="s">
        <v>34</v>
      </c>
      <c r="D115" s="90">
        <v>2011</v>
      </c>
      <c r="E115" s="91">
        <v>829031</v>
      </c>
      <c r="F115" s="90" t="s">
        <v>41</v>
      </c>
      <c r="G115" s="90" t="e" cm="1">
        <f t="array" ref="G115">E115/VLOOKUP(D115,operating_revenue!$A:$D,MATCH(C115,operating_revenue!$1:$1,FALSE),FALSE) *100</f>
        <v>#N/A</v>
      </c>
      <c r="H115" s="90" t="s">
        <v>42</v>
      </c>
      <c r="I115" s="90" t="s">
        <v>101</v>
      </c>
    </row>
    <row r="116" spans="1:9" s="90" customFormat="1">
      <c r="A116" s="89" t="s">
        <v>36</v>
      </c>
      <c r="B116" s="90" t="s">
        <v>40</v>
      </c>
      <c r="C116" s="90" t="s">
        <v>34</v>
      </c>
      <c r="D116" s="90">
        <v>2010</v>
      </c>
      <c r="E116" s="91">
        <v>821000</v>
      </c>
      <c r="F116" s="90" t="s">
        <v>41</v>
      </c>
      <c r="G116" s="90" t="e" cm="1">
        <f t="array" ref="G116">E116/VLOOKUP(D116,operating_revenue!$A:$D,MATCH(C116,operating_revenue!$1:$1,FALSE),FALSE) *100</f>
        <v>#N/A</v>
      </c>
      <c r="H116" s="90" t="s">
        <v>42</v>
      </c>
      <c r="I116" s="90" t="s">
        <v>102</v>
      </c>
    </row>
    <row r="117" spans="1:9" s="90" customFormat="1">
      <c r="A117" s="89" t="s">
        <v>36</v>
      </c>
      <c r="B117" s="90" t="s">
        <v>40</v>
      </c>
      <c r="C117" s="90" t="s">
        <v>34</v>
      </c>
      <c r="D117" s="90">
        <v>2009</v>
      </c>
      <c r="E117" s="91">
        <v>495000</v>
      </c>
      <c r="F117" s="90" t="s">
        <v>41</v>
      </c>
      <c r="G117" s="90" t="e" cm="1">
        <f t="array" ref="G117">E117/VLOOKUP(D117,operating_revenue!$A:$D,MATCH(C117,operating_revenue!$1:$1,FALSE),FALSE) *100</f>
        <v>#N/A</v>
      </c>
      <c r="H117" s="90" t="s">
        <v>42</v>
      </c>
      <c r="I117" s="90" t="s">
        <v>103</v>
      </c>
    </row>
    <row r="118" spans="1:9" s="90" customFormat="1">
      <c r="A118" s="89" t="s">
        <v>36</v>
      </c>
      <c r="B118" s="90" t="s">
        <v>40</v>
      </c>
      <c r="C118" s="90" t="s">
        <v>34</v>
      </c>
      <c r="D118" s="90">
        <v>2008</v>
      </c>
      <c r="E118" s="91">
        <v>477000</v>
      </c>
      <c r="F118" s="90" t="s">
        <v>41</v>
      </c>
      <c r="G118" s="90" t="e" cm="1">
        <f t="array" ref="G118">E118/VLOOKUP(D118,operating_revenue!$A:$D,MATCH(C118,operating_revenue!$1:$1,FALSE),FALSE) *100</f>
        <v>#N/A</v>
      </c>
      <c r="H118" s="90" t="s">
        <v>42</v>
      </c>
      <c r="I118" s="90" t="s">
        <v>104</v>
      </c>
    </row>
    <row r="119" spans="1:9" s="90" customFormat="1">
      <c r="A119" s="89" t="s">
        <v>36</v>
      </c>
      <c r="B119" s="90" t="s">
        <v>40</v>
      </c>
      <c r="C119" s="90" t="s">
        <v>34</v>
      </c>
      <c r="D119" s="90">
        <v>2007</v>
      </c>
      <c r="E119" s="91">
        <v>422000</v>
      </c>
      <c r="F119" s="90" t="s">
        <v>41</v>
      </c>
      <c r="G119" s="90" t="e" cm="1">
        <f t="array" ref="G119">E119/VLOOKUP(D119,operating_revenue!$A:$D,MATCH(C119,operating_revenue!$1:$1,FALSE),FALSE) *100</f>
        <v>#N/A</v>
      </c>
      <c r="H119" s="90" t="s">
        <v>42</v>
      </c>
      <c r="I119" s="90" t="s">
        <v>105</v>
      </c>
    </row>
    <row r="120" spans="1:9" s="90" customFormat="1">
      <c r="A120" s="89" t="s">
        <v>36</v>
      </c>
      <c r="B120" s="90" t="s">
        <v>40</v>
      </c>
      <c r="C120" s="90" t="s">
        <v>34</v>
      </c>
      <c r="D120" s="90">
        <v>2006</v>
      </c>
      <c r="E120" s="91">
        <v>535000</v>
      </c>
      <c r="F120" s="90" t="s">
        <v>41</v>
      </c>
      <c r="G120" s="90" t="e" cm="1">
        <f t="array" ref="G120">E120/VLOOKUP(D120,operating_revenue!$A:$D,MATCH(C120,operating_revenue!$1:$1,FALSE),FALSE) *100</f>
        <v>#N/A</v>
      </c>
      <c r="H120" s="90" t="s">
        <v>42</v>
      </c>
      <c r="I120" s="90" t="s">
        <v>106</v>
      </c>
    </row>
    <row r="121" spans="1:9" s="90" customFormat="1">
      <c r="A121" s="89" t="s">
        <v>36</v>
      </c>
      <c r="B121" s="90" t="s">
        <v>40</v>
      </c>
      <c r="C121" s="90" t="s">
        <v>34</v>
      </c>
      <c r="D121" s="90">
        <v>2005</v>
      </c>
      <c r="E121" s="91">
        <v>740000</v>
      </c>
      <c r="F121" s="90" t="s">
        <v>41</v>
      </c>
      <c r="G121" s="90" t="e" cm="1">
        <f t="array" ref="G121">E121/VLOOKUP(D121,operating_revenue!$A:$D,MATCH(C121,operating_revenue!$1:$1,FALSE),FALSE) *100</f>
        <v>#N/A</v>
      </c>
      <c r="H121" s="90" t="s">
        <v>42</v>
      </c>
      <c r="I121" s="90" t="s">
        <v>107</v>
      </c>
    </row>
    <row r="122" spans="1:9" s="90" customFormat="1">
      <c r="A122" s="89" t="s">
        <v>36</v>
      </c>
      <c r="B122" s="90" t="s">
        <v>40</v>
      </c>
      <c r="C122" s="90" t="s">
        <v>34</v>
      </c>
      <c r="D122" s="90">
        <v>2004</v>
      </c>
      <c r="E122" s="91">
        <v>530000</v>
      </c>
      <c r="F122" s="90" t="s">
        <v>41</v>
      </c>
      <c r="G122" s="90" t="e" cm="1">
        <f t="array" ref="G122">E122/VLOOKUP(D122,operating_revenue!$A:$D,MATCH(C122,operating_revenue!$1:$1,FALSE),FALSE) *100</f>
        <v>#N/A</v>
      </c>
      <c r="H122" s="90" t="s">
        <v>42</v>
      </c>
      <c r="I122" s="90" t="s">
        <v>108</v>
      </c>
    </row>
    <row r="123" spans="1:9" s="95" customFormat="1">
      <c r="A123" s="94" t="s">
        <v>36</v>
      </c>
      <c r="B123" s="95" t="s">
        <v>40</v>
      </c>
      <c r="C123" s="95" t="s">
        <v>34</v>
      </c>
      <c r="D123" s="95">
        <v>2003</v>
      </c>
      <c r="E123" s="96">
        <v>670000</v>
      </c>
      <c r="F123" s="95" t="s">
        <v>41</v>
      </c>
      <c r="G123" s="95" t="e" cm="1">
        <f t="array" ref="G123">E123/VLOOKUP(D123,operating_revenue!$A:$D,MATCH(C123,operating_revenue!$1:$1,FALSE),FALSE) *100</f>
        <v>#N/A</v>
      </c>
      <c r="H123" s="95" t="s">
        <v>42</v>
      </c>
      <c r="I123" s="95" t="s">
        <v>109</v>
      </c>
    </row>
    <row r="124" spans="1:9" s="99" customFormat="1" ht="15.75">
      <c r="A124" s="98" t="s">
        <v>36</v>
      </c>
      <c r="B124" s="99" t="s">
        <v>110</v>
      </c>
      <c r="C124" s="99" t="s">
        <v>18</v>
      </c>
      <c r="D124" s="99">
        <v>2018</v>
      </c>
      <c r="E124" s="100">
        <v>59800000</v>
      </c>
      <c r="F124" s="99" t="s">
        <v>111</v>
      </c>
      <c r="G124" s="99" cm="1">
        <f t="array" ref="G124">E124/VLOOKUP(D124,operating_revenue!$A:$D,MATCH(C124,operating_revenue!$1:$1,FALSE),FALSE) *100</f>
        <v>0.16621268553004614</v>
      </c>
      <c r="H124" s="99" t="s">
        <v>42</v>
      </c>
      <c r="I124" s="111" t="s">
        <v>112</v>
      </c>
    </row>
    <row r="125" spans="1:9" s="76" customFormat="1">
      <c r="A125" s="75" t="s">
        <v>36</v>
      </c>
      <c r="B125" s="76" t="s">
        <v>110</v>
      </c>
      <c r="C125" s="76" t="s">
        <v>18</v>
      </c>
      <c r="D125" s="76">
        <v>2017</v>
      </c>
      <c r="E125" s="77">
        <v>52400000</v>
      </c>
      <c r="F125" s="76" t="s">
        <v>111</v>
      </c>
      <c r="G125" s="76" cm="1">
        <f t="array" ref="G125">E125/VLOOKUP(D125,operating_revenue!$A:$D,MATCH(C125,operating_revenue!$1:$1,FALSE),FALSE) *100</f>
        <v>0.15614756540914237</v>
      </c>
      <c r="H125" s="76" t="s">
        <v>42</v>
      </c>
      <c r="I125" s="79" t="s">
        <v>113</v>
      </c>
    </row>
    <row r="126" spans="1:9" s="76" customFormat="1">
      <c r="A126" s="75" t="s">
        <v>36</v>
      </c>
      <c r="B126" s="76" t="s">
        <v>110</v>
      </c>
      <c r="C126" s="76" t="s">
        <v>18</v>
      </c>
      <c r="D126" s="76">
        <v>2016</v>
      </c>
      <c r="E126" s="77">
        <v>53600000</v>
      </c>
      <c r="F126" s="76" t="s">
        <v>111</v>
      </c>
      <c r="G126" s="76" cm="1">
        <f t="array" ref="G126">E126/VLOOKUP(D126,operating_revenue!$A:$D,MATCH(C126,operating_revenue!$1:$1,FALSE),FALSE) *100</f>
        <v>0.17091836734693877</v>
      </c>
      <c r="H126" s="76" t="s">
        <v>42</v>
      </c>
      <c r="I126" s="79" t="s">
        <v>114</v>
      </c>
    </row>
    <row r="127" spans="1:9" s="76" customFormat="1">
      <c r="A127" s="75" t="s">
        <v>36</v>
      </c>
      <c r="B127" s="76" t="s">
        <v>110</v>
      </c>
      <c r="C127" s="76" t="s">
        <v>18</v>
      </c>
      <c r="D127" s="76">
        <v>2015</v>
      </c>
      <c r="E127" s="77">
        <v>48600000</v>
      </c>
      <c r="F127" s="76" t="s">
        <v>111</v>
      </c>
      <c r="G127" s="76" cm="1">
        <f t="array" ref="G127">E127/VLOOKUP(D127,operating_revenue!$A:$D,MATCH(C127,operating_revenue!$1:$1,FALSE),FALSE) *100</f>
        <v>0.16504227934933949</v>
      </c>
      <c r="H127" s="76" t="s">
        <v>42</v>
      </c>
      <c r="I127" s="79" t="s">
        <v>115</v>
      </c>
    </row>
    <row r="128" spans="1:9" s="76" customFormat="1">
      <c r="A128" s="75" t="s">
        <v>36</v>
      </c>
      <c r="B128" s="76" t="s">
        <v>110</v>
      </c>
      <c r="C128" s="76" t="s">
        <v>18</v>
      </c>
      <c r="D128" s="76">
        <v>2014</v>
      </c>
      <c r="E128" s="77">
        <v>73400000</v>
      </c>
      <c r="F128" s="76" t="s">
        <v>111</v>
      </c>
      <c r="G128" s="76" cm="1">
        <f t="array" ref="G128">E128/VLOOKUP(D128,operating_revenue!$A:$D,MATCH(C128,operating_revenue!$1:$1,FALSE),FALSE) *100</f>
        <v>0.2675999854168945</v>
      </c>
      <c r="H128" s="76" t="s">
        <v>42</v>
      </c>
      <c r="I128" s="79" t="s">
        <v>116</v>
      </c>
    </row>
    <row r="129" spans="1:9" s="76" customFormat="1">
      <c r="A129" s="75" t="s">
        <v>36</v>
      </c>
      <c r="B129" s="76" t="s">
        <v>110</v>
      </c>
      <c r="C129" s="76" t="s">
        <v>15</v>
      </c>
      <c r="D129" s="76">
        <v>2018</v>
      </c>
      <c r="E129" s="77">
        <v>51300000</v>
      </c>
      <c r="F129" s="76" t="s">
        <v>111</v>
      </c>
      <c r="G129" s="76" cm="1">
        <f t="array" ref="G129">E129/VLOOKUP(D129,operating_revenue!$A:$D,MATCH(C129,operating_revenue!$1:$1,FALSE),FALSE) *100</f>
        <v>0.20920843358753718</v>
      </c>
      <c r="H129" s="76" t="s">
        <v>42</v>
      </c>
      <c r="I129" s="79" t="s">
        <v>17</v>
      </c>
    </row>
    <row r="130" spans="1:9" s="76" customFormat="1">
      <c r="A130" s="75" t="s">
        <v>36</v>
      </c>
      <c r="B130" s="76" t="s">
        <v>110</v>
      </c>
      <c r="C130" s="76" t="s">
        <v>15</v>
      </c>
      <c r="D130" s="76">
        <v>2017</v>
      </c>
      <c r="E130" s="77">
        <f>52100000+1000000</f>
        <v>53100000</v>
      </c>
      <c r="F130" s="76" t="s">
        <v>111</v>
      </c>
      <c r="G130" s="76" cm="1">
        <f t="array" ref="G130">E130/VLOOKUP(D130,operating_revenue!$A:$D,MATCH(C130,operating_revenue!$1:$1,FALSE),FALSE) *100</f>
        <v>0.22533418204964992</v>
      </c>
      <c r="H130" s="76" t="s">
        <v>42</v>
      </c>
      <c r="I130" s="79" t="s">
        <v>17</v>
      </c>
    </row>
    <row r="131" spans="1:9" s="76" customFormat="1">
      <c r="A131" s="75" t="s">
        <v>36</v>
      </c>
      <c r="B131" s="76" t="s">
        <v>110</v>
      </c>
      <c r="C131" s="76" t="s">
        <v>15</v>
      </c>
      <c r="D131" s="76">
        <v>2016</v>
      </c>
      <c r="E131" s="77">
        <v>46100000</v>
      </c>
      <c r="F131" s="76" t="s">
        <v>111</v>
      </c>
      <c r="G131" s="76" cm="1">
        <f t="array" ref="G131">E131/VLOOKUP(D131,operating_revenue!$A:$D,MATCH(C131,operating_revenue!$1:$1,FALSE),FALSE) *100</f>
        <v>0.20269973178560435</v>
      </c>
      <c r="H131" s="76" t="s">
        <v>42</v>
      </c>
      <c r="I131" s="79" t="s">
        <v>17</v>
      </c>
    </row>
    <row r="132" spans="1:9" s="76" customFormat="1">
      <c r="A132" s="75" t="s">
        <v>36</v>
      </c>
      <c r="B132" s="76" t="s">
        <v>110</v>
      </c>
      <c r="C132" s="76" t="s">
        <v>15</v>
      </c>
      <c r="D132" s="76">
        <v>2015</v>
      </c>
      <c r="E132" s="77">
        <v>33000000</v>
      </c>
      <c r="F132" s="76" t="s">
        <v>111</v>
      </c>
      <c r="G132" s="76" cm="1">
        <f t="array" ref="G132">E132/VLOOKUP(D132,operating_revenue!$A:$D,MATCH(C132,operating_revenue!$1:$1,FALSE),FALSE) *100</f>
        <v>0.14751240445219255</v>
      </c>
      <c r="H132" s="76" t="s">
        <v>42</v>
      </c>
      <c r="I132" s="79" t="s">
        <v>17</v>
      </c>
    </row>
    <row r="133" spans="1:9" s="76" customFormat="1">
      <c r="A133" s="75" t="s">
        <v>36</v>
      </c>
      <c r="B133" s="76" t="s">
        <v>110</v>
      </c>
      <c r="C133" s="76" t="s">
        <v>15</v>
      </c>
      <c r="D133" s="76">
        <v>2014</v>
      </c>
      <c r="E133" s="77">
        <v>31400000</v>
      </c>
      <c r="F133" s="76" t="s">
        <v>111</v>
      </c>
      <c r="G133" s="76" cm="1">
        <f t="array" ref="G133">E133/VLOOKUP(D133,operating_revenue!$A:$D,MATCH(C133,operating_revenue!$1:$1,FALSE),FALSE) *100</f>
        <v>0.14234552790244345</v>
      </c>
      <c r="H133" s="76" t="s">
        <v>42</v>
      </c>
      <c r="I133" s="79" t="s">
        <v>17</v>
      </c>
    </row>
    <row r="134" spans="1:9" s="76" customFormat="1">
      <c r="A134" s="75" t="s">
        <v>36</v>
      </c>
      <c r="B134" s="76" t="s">
        <v>110</v>
      </c>
      <c r="C134" s="76" t="s">
        <v>11</v>
      </c>
      <c r="D134" s="76">
        <v>2018</v>
      </c>
      <c r="E134" s="77">
        <v>13755679</v>
      </c>
      <c r="F134" s="76" t="s">
        <v>111</v>
      </c>
      <c r="G134" s="76" cm="1">
        <f t="array" ref="G134">E134/VLOOKUP(D134,operating_revenue!$A:$D,MATCH(C134,operating_revenue!$1:$1,FALSE),FALSE) *100</f>
        <v>8.236933532934132E-2</v>
      </c>
      <c r="H134" s="76" t="s">
        <v>42</v>
      </c>
      <c r="I134" s="79" t="s">
        <v>24</v>
      </c>
    </row>
    <row r="135" spans="1:9" s="76" customFormat="1">
      <c r="A135" s="75" t="s">
        <v>36</v>
      </c>
      <c r="B135" s="76" t="s">
        <v>110</v>
      </c>
      <c r="C135" s="76" t="s">
        <v>11</v>
      </c>
      <c r="D135" s="76">
        <v>2017</v>
      </c>
      <c r="E135" s="77">
        <v>13830536</v>
      </c>
      <c r="F135" s="76" t="s">
        <v>111</v>
      </c>
      <c r="G135" s="76" cm="1">
        <f t="array" ref="G135">E135/VLOOKUP(D135,operating_revenue!$A:$D,MATCH(C135,operating_revenue!$1:$1,FALSE),FALSE) *100</f>
        <v>8.0410093023255816E-2</v>
      </c>
      <c r="H135" s="76" t="s">
        <v>42</v>
      </c>
      <c r="I135" s="79" t="s">
        <v>24</v>
      </c>
    </row>
    <row r="136" spans="1:9" s="76" customFormat="1">
      <c r="A136" s="75" t="s">
        <v>36</v>
      </c>
      <c r="B136" s="76" t="s">
        <v>110</v>
      </c>
      <c r="C136" s="76" t="s">
        <v>11</v>
      </c>
      <c r="D136" s="76">
        <v>2016</v>
      </c>
      <c r="E136" s="77">
        <v>12308826</v>
      </c>
      <c r="F136" s="76" t="s">
        <v>111</v>
      </c>
      <c r="G136" s="76" cm="1">
        <f t="array" ref="G136">E136/VLOOKUP(D136,operating_revenue!$A:$D,MATCH(C136,operating_revenue!$1:$1,FALSE),FALSE) *100</f>
        <v>7.6452335403726715E-2</v>
      </c>
      <c r="H136" s="76" t="s">
        <v>42</v>
      </c>
      <c r="I136" s="79" t="s">
        <v>24</v>
      </c>
    </row>
    <row r="137" spans="1:9" s="76" customFormat="1">
      <c r="A137" s="75" t="s">
        <v>36</v>
      </c>
      <c r="B137" s="76" t="s">
        <v>110</v>
      </c>
      <c r="C137" s="76" t="s">
        <v>11</v>
      </c>
      <c r="D137" s="76">
        <v>2015</v>
      </c>
      <c r="E137" s="77">
        <v>12774801</v>
      </c>
      <c r="F137" s="76" t="s">
        <v>111</v>
      </c>
      <c r="G137" s="76" cm="1">
        <f t="array" ref="G137">E137/VLOOKUP(D137,operating_revenue!$A:$D,MATCH(C137,operating_revenue!$1:$1,FALSE),FALSE) *100</f>
        <v>7.2998862857142868E-2</v>
      </c>
      <c r="H137" s="76" t="s">
        <v>42</v>
      </c>
      <c r="I137" s="79" t="s">
        <v>24</v>
      </c>
    </row>
    <row r="138" spans="1:9" s="76" customFormat="1">
      <c r="A138" s="75" t="s">
        <v>36</v>
      </c>
      <c r="B138" s="76" t="s">
        <v>110</v>
      </c>
      <c r="C138" s="76" t="s">
        <v>11</v>
      </c>
      <c r="D138" s="76">
        <v>2014</v>
      </c>
      <c r="E138" s="77">
        <v>10981356</v>
      </c>
      <c r="F138" s="76" t="s">
        <v>111</v>
      </c>
      <c r="G138" s="76" cm="1">
        <f t="array" ref="G138">E138/VLOOKUP(D138,operating_revenue!$A:$D,MATCH(C138,operating_revenue!$1:$1,FALSE),FALSE) *100</f>
        <v>6.4596211764705883E-2</v>
      </c>
      <c r="H138" s="76" t="s">
        <v>42</v>
      </c>
      <c r="I138" s="79" t="s">
        <v>24</v>
      </c>
    </row>
    <row r="139" spans="1:9" s="76" customFormat="1">
      <c r="A139" s="75" t="s">
        <v>36</v>
      </c>
      <c r="B139" s="76" t="s">
        <v>110</v>
      </c>
      <c r="C139" s="76" t="s">
        <v>34</v>
      </c>
      <c r="D139" s="76">
        <v>2018</v>
      </c>
      <c r="E139" s="77">
        <v>12000000</v>
      </c>
      <c r="F139" s="76" t="s">
        <v>111</v>
      </c>
      <c r="G139" s="76" t="e" cm="1">
        <f t="array" ref="G139">E139/VLOOKUP(D139,operating_revenue!$A:$D,MATCH(C139,operating_revenue!$1:$1,FALSE),FALSE) *100</f>
        <v>#N/A</v>
      </c>
      <c r="H139" s="76" t="s">
        <v>42</v>
      </c>
      <c r="I139" s="79" t="s">
        <v>117</v>
      </c>
    </row>
    <row r="140" spans="1:9" s="76" customFormat="1">
      <c r="A140" s="75" t="s">
        <v>36</v>
      </c>
      <c r="B140" s="76" t="s">
        <v>110</v>
      </c>
      <c r="C140" s="76" t="s">
        <v>34</v>
      </c>
      <c r="D140" s="76">
        <v>2017</v>
      </c>
      <c r="E140" s="77" t="s">
        <v>118</v>
      </c>
      <c r="F140" s="76" t="s">
        <v>111</v>
      </c>
      <c r="G140" s="76" t="e" cm="1">
        <f t="array" ref="G140">E140/VLOOKUP(D140,operating_revenue!$A:$D,MATCH(C140,operating_revenue!$1:$1,FALSE),FALSE) *100</f>
        <v>#VALUE!</v>
      </c>
      <c r="H140" s="76" t="s">
        <v>42</v>
      </c>
    </row>
    <row r="141" spans="1:9" s="76" customFormat="1">
      <c r="A141" s="75" t="s">
        <v>36</v>
      </c>
      <c r="B141" s="76" t="s">
        <v>110</v>
      </c>
      <c r="C141" s="76" t="s">
        <v>34</v>
      </c>
      <c r="D141" s="76">
        <v>2016</v>
      </c>
      <c r="E141" s="77">
        <v>11000000</v>
      </c>
      <c r="F141" s="76" t="s">
        <v>111</v>
      </c>
      <c r="G141" s="76" t="e" cm="1">
        <f t="array" ref="G141">E141/VLOOKUP(D141,operating_revenue!$A:$D,MATCH(C141,operating_revenue!$1:$1,FALSE),FALSE) *100</f>
        <v>#N/A</v>
      </c>
      <c r="H141" s="76" t="s">
        <v>42</v>
      </c>
      <c r="I141" s="112" t="s">
        <v>119</v>
      </c>
    </row>
    <row r="142" spans="1:9" s="76" customFormat="1">
      <c r="A142" s="75" t="s">
        <v>36</v>
      </c>
      <c r="B142" s="76" t="s">
        <v>110</v>
      </c>
      <c r="C142" s="76" t="s">
        <v>34</v>
      </c>
      <c r="D142" s="76">
        <v>2015</v>
      </c>
      <c r="E142" s="77" t="s">
        <v>118</v>
      </c>
      <c r="F142" s="76" t="s">
        <v>111</v>
      </c>
      <c r="G142" s="76" t="e" cm="1">
        <f t="array" ref="G142">E142/VLOOKUP(D142,operating_revenue!$A:$D,MATCH(C142,operating_revenue!$1:$1,FALSE),FALSE) *100</f>
        <v>#VALUE!</v>
      </c>
      <c r="H142" s="76" t="s">
        <v>42</v>
      </c>
    </row>
    <row r="143" spans="1:9" s="81" customFormat="1">
      <c r="A143" s="80" t="s">
        <v>36</v>
      </c>
      <c r="B143" s="81" t="s">
        <v>110</v>
      </c>
      <c r="C143" s="81" t="s">
        <v>34</v>
      </c>
      <c r="D143" s="81">
        <v>2014</v>
      </c>
      <c r="E143" s="82" t="s">
        <v>118</v>
      </c>
      <c r="F143" s="81" t="s">
        <v>111</v>
      </c>
      <c r="G143" s="81" t="e" cm="1">
        <f t="array" ref="G143">E143/VLOOKUP(D143,operating_revenue!$A:$D,MATCH(C143,operating_revenue!$1:$1,FALSE),FALSE) *100</f>
        <v>#VALUE!</v>
      </c>
      <c r="H143" s="81" t="s">
        <v>42</v>
      </c>
    </row>
    <row r="144" spans="1:9" s="86" customFormat="1">
      <c r="A144" s="85" t="s">
        <v>36</v>
      </c>
      <c r="B144" s="86" t="s">
        <v>120</v>
      </c>
      <c r="C144" s="86" t="s">
        <v>11</v>
      </c>
      <c r="D144" s="86">
        <v>2018</v>
      </c>
      <c r="E144" s="107">
        <v>54075</v>
      </c>
      <c r="F144" s="86" t="s">
        <v>28</v>
      </c>
    </row>
    <row r="145" spans="1:6" s="90" customFormat="1">
      <c r="A145" s="89" t="s">
        <v>36</v>
      </c>
      <c r="B145" s="90" t="s">
        <v>120</v>
      </c>
      <c r="C145" s="90" t="s">
        <v>11</v>
      </c>
      <c r="D145" s="90">
        <v>2017</v>
      </c>
      <c r="E145" s="91">
        <v>70000</v>
      </c>
      <c r="F145" s="90" t="s">
        <v>28</v>
      </c>
    </row>
    <row r="146" spans="1:6" s="90" customFormat="1">
      <c r="A146" s="89" t="s">
        <v>36</v>
      </c>
      <c r="B146" s="90" t="s">
        <v>120</v>
      </c>
      <c r="C146" s="90" t="s">
        <v>11</v>
      </c>
      <c r="D146" s="90">
        <v>2016</v>
      </c>
      <c r="E146" s="91">
        <v>85112</v>
      </c>
      <c r="F146" s="90" t="s">
        <v>28</v>
      </c>
    </row>
    <row r="147" spans="1:6" s="90" customFormat="1">
      <c r="A147" s="89" t="s">
        <v>36</v>
      </c>
      <c r="B147" s="90" t="s">
        <v>120</v>
      </c>
      <c r="C147" s="90" t="s">
        <v>11</v>
      </c>
      <c r="D147" s="90">
        <v>2015</v>
      </c>
      <c r="E147" s="91">
        <v>88790</v>
      </c>
      <c r="F147" s="90" t="s">
        <v>28</v>
      </c>
    </row>
    <row r="148" spans="1:6" s="95" customFormat="1">
      <c r="A148" s="94" t="s">
        <v>36</v>
      </c>
      <c r="B148" s="95" t="s">
        <v>120</v>
      </c>
      <c r="C148" s="95" t="s">
        <v>11</v>
      </c>
      <c r="D148" s="95">
        <v>2014</v>
      </c>
      <c r="E148" s="96">
        <v>85000</v>
      </c>
      <c r="F148" s="95" t="s">
        <v>28</v>
      </c>
    </row>
  </sheetData>
  <autoFilter ref="A1:I1" xr:uid="{3614E37E-F4C3-4B0E-9466-023FE8460AE8}">
    <sortState xmlns:xlrd2="http://schemas.microsoft.com/office/spreadsheetml/2017/richdata2" ref="A2:I148">
      <sortCondition ref="A1"/>
    </sortState>
  </autoFilter>
  <hyperlinks>
    <hyperlink ref="I47" r:id="rId1" xr:uid="{1C44C22D-3CB8-3546-BF1B-A363DB5F2AFA}"/>
    <hyperlink ref="I48" r:id="rId2" xr:uid="{A80A432B-3AE0-464D-92D0-FC78CED4440F}"/>
    <hyperlink ref="I49" r:id="rId3" xr:uid="{5A6D0721-3CD8-9449-9A9B-1C50ACF032BF}"/>
    <hyperlink ref="I32" r:id="rId4" xr:uid="{07C7D55D-39C3-2440-AB3B-89EF94E63EC9}"/>
    <hyperlink ref="I33" r:id="rId5" xr:uid="{C438CB29-C775-9C4B-B57B-825BC5F30C19}"/>
    <hyperlink ref="I34" r:id="rId6" xr:uid="{4FE71092-77DB-9F48-9026-7A0066686CDF}"/>
    <hyperlink ref="I12" r:id="rId7" xr:uid="{C24AFE82-BBDA-EA43-84FE-911557EC0311}"/>
    <hyperlink ref="I13" r:id="rId8" xr:uid="{600253A4-E270-9542-9B65-5D2807ADFA67}"/>
    <hyperlink ref="I14" r:id="rId9" xr:uid="{B5400CCF-8147-394D-9036-FB0652A5CE9F}"/>
    <hyperlink ref="I15" r:id="rId10" xr:uid="{401E688C-18BA-E643-BE25-01E19FDDBD07}"/>
    <hyperlink ref="I16" r:id="rId11" xr:uid="{FB51F45E-C223-524B-ACB4-06FF6DFF0E83}"/>
    <hyperlink ref="I8" r:id="rId12" xr:uid="{FBA30ACA-B4CC-B440-8940-1AD802918A0A}"/>
    <hyperlink ref="I7" r:id="rId13" xr:uid="{73C4B483-3EA2-5149-853F-F1ED35B7F90D}"/>
    <hyperlink ref="I17" r:id="rId14" xr:uid="{093252AC-4423-734B-9FEF-058D002D11C2}"/>
    <hyperlink ref="I20" r:id="rId15" xr:uid="{69A0C925-2CFE-D544-B922-8C0A1908C473}"/>
    <hyperlink ref="I21" r:id="rId16" xr:uid="{329179E5-CB05-2746-AFB5-054DD2EBDBFE}"/>
    <hyperlink ref="I22" r:id="rId17" xr:uid="{AEF578BB-8E4D-9C47-9935-3102A4B34DF2}"/>
    <hyperlink ref="I23" r:id="rId18" xr:uid="{D544C4E6-A1EB-F843-9FDB-EC2FB1976BA2}"/>
    <hyperlink ref="I24" r:id="rId19" xr:uid="{7DE40AE4-0160-7447-BDC8-970A817FEFCA}"/>
    <hyperlink ref="I25" r:id="rId20" xr:uid="{0B0BF907-890B-E54D-AD92-79279DDA76BF}"/>
    <hyperlink ref="I26" r:id="rId21" xr:uid="{66D3C8E4-4500-764B-8D39-2860E67BEA39}"/>
    <hyperlink ref="I27" r:id="rId22" xr:uid="{F2365B72-1FAD-F94D-9A21-172DAE9024DC}"/>
    <hyperlink ref="I28" r:id="rId23" xr:uid="{48190005-0266-DD49-9EDB-267505BBD13D}"/>
    <hyperlink ref="I31" r:id="rId24" xr:uid="{DFE001C2-7A2B-E947-8E0B-8F7C70D0DE47}"/>
    <hyperlink ref="I29" r:id="rId25" xr:uid="{EB82C478-B46A-6E42-AD96-94B57F9CB125}"/>
    <hyperlink ref="I30" r:id="rId26" xr:uid="{F2B4E2F1-06CB-D54D-B8C4-23AA1E874E9F}"/>
    <hyperlink ref="I129" r:id="rId27" xr:uid="{14822B07-1143-EE42-B772-36F34A181895}"/>
    <hyperlink ref="I130" r:id="rId28" xr:uid="{354FF78E-AF6B-4B45-B41E-1A3BB7F2EA37}"/>
    <hyperlink ref="I131" r:id="rId29" xr:uid="{E7626BE8-934D-6643-AEC0-BEB04A198639}"/>
    <hyperlink ref="I132" r:id="rId30" xr:uid="{6CED7097-A9D6-1044-B75B-2D544E75D5D1}"/>
    <hyperlink ref="I133" r:id="rId31" xr:uid="{884367DF-42CB-5F4C-80B0-C3A1CD6C2BC2}"/>
    <hyperlink ref="I125" r:id="rId32" xr:uid="{F9E6CB17-7276-DE41-BDBB-7A9B89AC32D5}"/>
    <hyperlink ref="I124" r:id="rId33" xr:uid="{E9A39F76-3846-D143-BB9E-74BB189EED2F}"/>
    <hyperlink ref="I126" r:id="rId34" xr:uid="{5FD38A4F-DE43-5142-9583-0F7D66A56907}"/>
    <hyperlink ref="I127" r:id="rId35" xr:uid="{45458684-1340-C246-8583-D05F5112C042}"/>
    <hyperlink ref="I128" r:id="rId36" xr:uid="{B89FE77C-04DA-AF4B-883A-4C77420D42D6}"/>
    <hyperlink ref="I139" r:id="rId37" xr:uid="{D31AD9EA-C925-5C44-B667-DDDBBE275B6A}"/>
    <hyperlink ref="I141" r:id="rId38" xr:uid="{8D603058-B74A-9747-AB55-E117D2C68737}"/>
    <hyperlink ref="I134" r:id="rId39" xr:uid="{69736E8A-5617-414F-B876-AB1F054777B3}"/>
    <hyperlink ref="I135:I138" r:id="rId40" display="http://www.nexteraenergy.com/sustainability/overview/about-this-report/by-the-numbers.html" xr:uid="{B347B808-FA49-D74B-8DD6-85550FE3AEC9}"/>
    <hyperlink ref="I18" r:id="rId41" xr:uid="{8B0619CD-0EC4-5240-8A8D-074088308755}"/>
    <hyperlink ref="I19" r:id="rId42" xr:uid="{B17785AE-7306-DF41-A38F-ADB0B0CD88B4}"/>
  </hyperlinks>
  <pageMargins left="0.7" right="0.7" top="0.75" bottom="0.75" header="0.3" footer="0.3"/>
  <pageSetup orientation="landscape" horizontalDpi="0" verticalDpi="0"/>
  <legacyDrawing r:id="rId4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A5E5-0B53-3248-A081-D6AA0DE8F52D}">
  <dimension ref="A1:J138"/>
  <sheetViews>
    <sheetView topLeftCell="A33" zoomScale="106" workbookViewId="0">
      <selection activeCell="E41" sqref="E41"/>
    </sheetView>
  </sheetViews>
  <sheetFormatPr defaultColWidth="11" defaultRowHeight="15"/>
  <cols>
    <col min="1" max="1" width="11" style="1"/>
    <col min="2" max="2" width="31.625" style="1" bestFit="1" customWidth="1"/>
    <col min="3" max="3" width="11" style="1"/>
    <col min="4" max="4" width="11.5" style="1" bestFit="1" customWidth="1"/>
    <col min="5" max="5" width="34.3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875" style="1" bestFit="1" customWidth="1"/>
    <col min="10" max="10" width="11.5" style="12" bestFit="1" customWidth="1"/>
    <col min="11" max="16384" width="11" style="12"/>
  </cols>
  <sheetData>
    <row r="1" spans="1:10" s="151" customFormat="1" ht="14.25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157</v>
      </c>
      <c r="B2" s="108" t="s">
        <v>158</v>
      </c>
      <c r="C2" s="86" t="s">
        <v>11</v>
      </c>
      <c r="D2" s="86">
        <v>2018</v>
      </c>
      <c r="E2" s="135">
        <v>0.194412</v>
      </c>
      <c r="G2" s="86">
        <f>E2*100</f>
        <v>19.441199999999998</v>
      </c>
      <c r="H2" s="90" t="s">
        <v>156</v>
      </c>
      <c r="I2" s="87" t="s">
        <v>159</v>
      </c>
    </row>
    <row r="3" spans="1:10" s="90" customFormat="1">
      <c r="A3" s="89" t="s">
        <v>157</v>
      </c>
      <c r="B3" s="109" t="s">
        <v>158</v>
      </c>
      <c r="C3" s="90" t="s">
        <v>11</v>
      </c>
      <c r="D3" s="90">
        <v>2017</v>
      </c>
      <c r="E3" s="136">
        <v>0.19065499999999999</v>
      </c>
      <c r="G3" s="90">
        <f>E3*100</f>
        <v>19.0655</v>
      </c>
      <c r="H3" s="90" t="s">
        <v>156</v>
      </c>
      <c r="I3" s="92" t="s">
        <v>159</v>
      </c>
    </row>
    <row r="4" spans="1:10" s="90" customFormat="1">
      <c r="A4" s="89" t="s">
        <v>157</v>
      </c>
      <c r="B4" s="109" t="s">
        <v>158</v>
      </c>
      <c r="C4" s="90" t="s">
        <v>11</v>
      </c>
      <c r="D4" s="90">
        <v>2016</v>
      </c>
      <c r="E4" s="136">
        <v>0.119634</v>
      </c>
      <c r="G4" s="90">
        <f t="shared" ref="G4:G16" si="0">E4*100</f>
        <v>11.9634</v>
      </c>
      <c r="H4" s="90" t="s">
        <v>156</v>
      </c>
      <c r="I4" s="92" t="s">
        <v>159</v>
      </c>
    </row>
    <row r="5" spans="1:10" s="90" customFormat="1">
      <c r="A5" s="89" t="s">
        <v>157</v>
      </c>
      <c r="B5" s="109" t="s">
        <v>158</v>
      </c>
      <c r="C5" s="90" t="s">
        <v>11</v>
      </c>
      <c r="D5" s="90">
        <v>2015</v>
      </c>
      <c r="E5" s="136">
        <v>0.12191</v>
      </c>
      <c r="G5" s="90">
        <f t="shared" si="0"/>
        <v>12.191000000000001</v>
      </c>
      <c r="H5" s="90" t="s">
        <v>156</v>
      </c>
      <c r="I5" s="92" t="s">
        <v>159</v>
      </c>
    </row>
    <row r="6" spans="1:10" s="90" customFormat="1">
      <c r="A6" s="89" t="s">
        <v>157</v>
      </c>
      <c r="B6" s="109" t="s">
        <v>158</v>
      </c>
      <c r="C6" s="90" t="s">
        <v>11</v>
      </c>
      <c r="D6" s="90">
        <v>2014</v>
      </c>
      <c r="E6" s="136">
        <v>0.12377000000000001</v>
      </c>
      <c r="G6" s="90">
        <f t="shared" si="0"/>
        <v>12.377000000000001</v>
      </c>
      <c r="H6" s="90" t="s">
        <v>156</v>
      </c>
      <c r="I6" s="92" t="s">
        <v>159</v>
      </c>
    </row>
    <row r="7" spans="1:10" s="90" customFormat="1">
      <c r="A7" s="89" t="s">
        <v>157</v>
      </c>
      <c r="B7" s="109" t="s">
        <v>158</v>
      </c>
      <c r="C7" s="90" t="s">
        <v>18</v>
      </c>
      <c r="D7" s="90">
        <v>2018</v>
      </c>
      <c r="E7" s="136">
        <v>6.0844000000000002E-2</v>
      </c>
      <c r="G7" s="90">
        <f t="shared" si="0"/>
        <v>6.0844000000000005</v>
      </c>
      <c r="H7" s="90" t="s">
        <v>156</v>
      </c>
      <c r="I7" s="92" t="s">
        <v>159</v>
      </c>
      <c r="J7" s="137"/>
    </row>
    <row r="8" spans="1:10" s="90" customFormat="1">
      <c r="A8" s="89" t="s">
        <v>157</v>
      </c>
      <c r="B8" s="109" t="s">
        <v>158</v>
      </c>
      <c r="C8" s="90" t="s">
        <v>18</v>
      </c>
      <c r="D8" s="90">
        <v>2017</v>
      </c>
      <c r="E8" s="136">
        <v>7.3289000000000007E-2</v>
      </c>
      <c r="G8" s="90">
        <f t="shared" si="0"/>
        <v>7.3289000000000009</v>
      </c>
      <c r="H8" s="90" t="s">
        <v>156</v>
      </c>
      <c r="I8" s="92" t="s">
        <v>159</v>
      </c>
      <c r="J8" s="137"/>
    </row>
    <row r="9" spans="1:10" s="90" customFormat="1">
      <c r="A9" s="89" t="s">
        <v>157</v>
      </c>
      <c r="B9" s="109" t="s">
        <v>158</v>
      </c>
      <c r="C9" s="90" t="s">
        <v>18</v>
      </c>
      <c r="D9" s="90">
        <v>2016</v>
      </c>
      <c r="E9" s="136">
        <v>5.2446E-2</v>
      </c>
      <c r="G9" s="90">
        <f t="shared" si="0"/>
        <v>5.2446000000000002</v>
      </c>
      <c r="H9" s="90" t="s">
        <v>156</v>
      </c>
      <c r="I9" s="92" t="s">
        <v>159</v>
      </c>
      <c r="J9" s="137"/>
    </row>
    <row r="10" spans="1:10" s="90" customFormat="1">
      <c r="A10" s="89" t="s">
        <v>157</v>
      </c>
      <c r="B10" s="109" t="s">
        <v>158</v>
      </c>
      <c r="C10" s="90" t="s">
        <v>18</v>
      </c>
      <c r="D10" s="90">
        <v>2015</v>
      </c>
      <c r="E10" s="136">
        <v>7.0884000000000003E-2</v>
      </c>
      <c r="G10" s="90">
        <f t="shared" si="0"/>
        <v>7.0884</v>
      </c>
      <c r="H10" s="90" t="s">
        <v>156</v>
      </c>
      <c r="I10" s="92" t="s">
        <v>159</v>
      </c>
    </row>
    <row r="11" spans="1:10" s="90" customFormat="1">
      <c r="A11" s="89" t="s">
        <v>157</v>
      </c>
      <c r="B11" s="109" t="s">
        <v>158</v>
      </c>
      <c r="C11" s="90" t="s">
        <v>18</v>
      </c>
      <c r="D11" s="90">
        <v>2014</v>
      </c>
      <c r="E11" s="136">
        <v>4.6066999999999997E-2</v>
      </c>
      <c r="G11" s="90">
        <f t="shared" si="0"/>
        <v>4.6067</v>
      </c>
      <c r="H11" s="90" t="s">
        <v>156</v>
      </c>
      <c r="I11" s="92" t="s">
        <v>159</v>
      </c>
    </row>
    <row r="12" spans="1:10" s="90" customFormat="1">
      <c r="A12" s="89" t="s">
        <v>157</v>
      </c>
      <c r="B12" s="109" t="s">
        <v>158</v>
      </c>
      <c r="C12" s="90" t="s">
        <v>15</v>
      </c>
      <c r="D12" s="90">
        <v>2018</v>
      </c>
      <c r="E12" s="136">
        <v>1.2937000000000001E-2</v>
      </c>
      <c r="G12" s="90">
        <f t="shared" si="0"/>
        <v>1.2937000000000001</v>
      </c>
      <c r="H12" s="90" t="s">
        <v>156</v>
      </c>
      <c r="I12" s="92" t="s">
        <v>159</v>
      </c>
    </row>
    <row r="13" spans="1:10" s="90" customFormat="1">
      <c r="A13" s="89" t="s">
        <v>157</v>
      </c>
      <c r="B13" s="109" t="s">
        <v>158</v>
      </c>
      <c r="C13" s="90" t="s">
        <v>15</v>
      </c>
      <c r="D13" s="90">
        <v>2017</v>
      </c>
      <c r="E13" s="136">
        <v>9.0230000000000005E-2</v>
      </c>
      <c r="G13" s="90">
        <f t="shared" si="0"/>
        <v>9.0229999999999997</v>
      </c>
      <c r="H13" s="90" t="s">
        <v>156</v>
      </c>
      <c r="I13" s="92" t="s">
        <v>159</v>
      </c>
    </row>
    <row r="14" spans="1:10" s="90" customFormat="1">
      <c r="A14" s="89" t="s">
        <v>157</v>
      </c>
      <c r="B14" s="109" t="s">
        <v>158</v>
      </c>
      <c r="C14" s="90" t="s">
        <v>15</v>
      </c>
      <c r="D14" s="90">
        <v>2016</v>
      </c>
      <c r="E14" s="136">
        <v>4.3890999999999999E-2</v>
      </c>
      <c r="G14" s="90">
        <f t="shared" si="0"/>
        <v>4.3891</v>
      </c>
      <c r="H14" s="90" t="s">
        <v>156</v>
      </c>
      <c r="I14" s="92" t="s">
        <v>159</v>
      </c>
    </row>
    <row r="15" spans="1:10" s="90" customFormat="1">
      <c r="A15" s="89" t="s">
        <v>157</v>
      </c>
      <c r="B15" s="109" t="s">
        <v>158</v>
      </c>
      <c r="C15" s="90" t="s">
        <v>15</v>
      </c>
      <c r="D15" s="90">
        <v>2015</v>
      </c>
      <c r="E15" s="136">
        <v>8.7970000000000007E-2</v>
      </c>
      <c r="G15" s="90">
        <f t="shared" si="0"/>
        <v>8.7970000000000006</v>
      </c>
      <c r="H15" s="90" t="s">
        <v>156</v>
      </c>
      <c r="I15" s="92" t="s">
        <v>159</v>
      </c>
    </row>
    <row r="16" spans="1:10" s="139" customFormat="1">
      <c r="A16" s="94" t="s">
        <v>157</v>
      </c>
      <c r="B16" s="110" t="s">
        <v>158</v>
      </c>
      <c r="C16" s="95" t="s">
        <v>15</v>
      </c>
      <c r="D16" s="95">
        <v>2014</v>
      </c>
      <c r="E16" s="138">
        <v>7.1789000000000006E-2</v>
      </c>
      <c r="G16" s="90">
        <f t="shared" si="0"/>
        <v>7.1789000000000005</v>
      </c>
      <c r="H16" s="90" t="s">
        <v>156</v>
      </c>
      <c r="I16" s="97" t="s">
        <v>159</v>
      </c>
    </row>
    <row r="17" spans="1:9" s="99" customFormat="1">
      <c r="A17" s="98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76" t="s">
        <v>156</v>
      </c>
      <c r="I17" s="102" t="s">
        <v>159</v>
      </c>
    </row>
    <row r="18" spans="1:9" s="76" customFormat="1">
      <c r="A18" s="75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5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5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5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5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5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5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5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5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5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5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5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5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81" customFormat="1">
      <c r="A31" s="80" t="s">
        <v>157</v>
      </c>
      <c r="B31" s="81" t="s">
        <v>160</v>
      </c>
      <c r="C31" s="81" t="s">
        <v>15</v>
      </c>
      <c r="D31" s="81">
        <v>2014</v>
      </c>
      <c r="E31" s="142">
        <f>1820/86416</f>
        <v>2.1060914645436031E-2</v>
      </c>
      <c r="G31" s="76">
        <f t="shared" si="1"/>
        <v>2.1060914645436033</v>
      </c>
      <c r="H31" s="76" t="s">
        <v>156</v>
      </c>
      <c r="I31" s="84" t="s">
        <v>159</v>
      </c>
    </row>
    <row r="32" spans="1:9" s="86" customFormat="1">
      <c r="A32" s="85" t="s">
        <v>161</v>
      </c>
      <c r="B32" s="86" t="s">
        <v>162</v>
      </c>
      <c r="C32" s="86" t="s">
        <v>11</v>
      </c>
      <c r="D32" s="86">
        <v>2018</v>
      </c>
      <c r="E32" s="143">
        <v>2.0371950000000001</v>
      </c>
      <c r="G32" s="86">
        <f t="shared" ref="G32:G46" si="2">E32</f>
        <v>2.0371950000000001</v>
      </c>
      <c r="H32" s="90" t="s">
        <v>156</v>
      </c>
      <c r="I32" s="87" t="s">
        <v>159</v>
      </c>
    </row>
    <row r="33" spans="1:9" s="90" customFormat="1">
      <c r="A33" s="89" t="s">
        <v>161</v>
      </c>
      <c r="B33" s="90" t="s">
        <v>162</v>
      </c>
      <c r="C33" s="90" t="s">
        <v>11</v>
      </c>
      <c r="D33" s="90">
        <v>2017</v>
      </c>
      <c r="E33" s="144">
        <v>2.4680589999999998</v>
      </c>
      <c r="G33" s="90">
        <f t="shared" si="2"/>
        <v>2.4680589999999998</v>
      </c>
      <c r="H33" s="90" t="s">
        <v>156</v>
      </c>
      <c r="I33" s="92" t="s">
        <v>159</v>
      </c>
    </row>
    <row r="34" spans="1:9" s="90" customFormat="1">
      <c r="A34" s="89" t="s">
        <v>161</v>
      </c>
      <c r="B34" s="90" t="s">
        <v>162</v>
      </c>
      <c r="C34" s="90" t="s">
        <v>11</v>
      </c>
      <c r="D34" s="90">
        <v>2016</v>
      </c>
      <c r="E34" s="144">
        <v>2.6971780000000001</v>
      </c>
      <c r="G34" s="90">
        <f t="shared" si="2"/>
        <v>2.6971780000000001</v>
      </c>
      <c r="H34" s="90" t="s">
        <v>156</v>
      </c>
      <c r="I34" s="92" t="s">
        <v>159</v>
      </c>
    </row>
    <row r="35" spans="1:9" s="90" customFormat="1">
      <c r="A35" s="89" t="s">
        <v>161</v>
      </c>
      <c r="B35" s="90" t="s">
        <v>162</v>
      </c>
      <c r="C35" s="90" t="s">
        <v>11</v>
      </c>
      <c r="D35" s="90">
        <v>2015</v>
      </c>
      <c r="E35" s="144">
        <v>2.6537169999999999</v>
      </c>
      <c r="G35" s="90">
        <f t="shared" si="2"/>
        <v>2.6537169999999999</v>
      </c>
      <c r="H35" s="90" t="s">
        <v>156</v>
      </c>
      <c r="I35" s="92" t="s">
        <v>159</v>
      </c>
    </row>
    <row r="36" spans="1:9" s="90" customFormat="1">
      <c r="A36" s="89" t="s">
        <v>161</v>
      </c>
      <c r="B36" s="90" t="s">
        <v>162</v>
      </c>
      <c r="C36" s="90" t="s">
        <v>11</v>
      </c>
      <c r="D36" s="90">
        <v>2014</v>
      </c>
      <c r="E36" s="144">
        <v>2.762251</v>
      </c>
      <c r="G36" s="90">
        <f t="shared" si="2"/>
        <v>2.762251</v>
      </c>
      <c r="H36" s="90" t="s">
        <v>156</v>
      </c>
      <c r="I36" s="92" t="s">
        <v>159</v>
      </c>
    </row>
    <row r="37" spans="1:9" s="90" customFormat="1">
      <c r="A37" s="89" t="s">
        <v>161</v>
      </c>
      <c r="B37" s="90" t="s">
        <v>162</v>
      </c>
      <c r="C37" s="90" t="s">
        <v>18</v>
      </c>
      <c r="D37" s="90">
        <v>2018</v>
      </c>
      <c r="E37" s="144">
        <v>2.3181639999999999</v>
      </c>
      <c r="G37" s="90">
        <f t="shared" si="2"/>
        <v>2.3181639999999999</v>
      </c>
      <c r="H37" s="90" t="s">
        <v>156</v>
      </c>
      <c r="I37" s="92" t="s">
        <v>159</v>
      </c>
    </row>
    <row r="38" spans="1:9" s="90" customFormat="1">
      <c r="A38" s="89" t="s">
        <v>161</v>
      </c>
      <c r="B38" s="90" t="s">
        <v>162</v>
      </c>
      <c r="C38" s="90" t="s">
        <v>18</v>
      </c>
      <c r="D38" s="90">
        <v>2017</v>
      </c>
      <c r="E38" s="144">
        <v>2.3041999999999998</v>
      </c>
      <c r="G38" s="90">
        <f t="shared" si="2"/>
        <v>2.3041999999999998</v>
      </c>
      <c r="H38" s="90" t="s">
        <v>156</v>
      </c>
      <c r="I38" s="92" t="s">
        <v>159</v>
      </c>
    </row>
    <row r="39" spans="1:9" s="90" customFormat="1">
      <c r="A39" s="89" t="s">
        <v>161</v>
      </c>
      <c r="B39" s="90" t="s">
        <v>162</v>
      </c>
      <c r="C39" s="90" t="s">
        <v>18</v>
      </c>
      <c r="D39" s="90">
        <v>2016</v>
      </c>
      <c r="E39" s="144">
        <v>2.2354690000000002</v>
      </c>
      <c r="G39" s="90">
        <f t="shared" si="2"/>
        <v>2.2354690000000002</v>
      </c>
      <c r="H39" s="90" t="s">
        <v>156</v>
      </c>
      <c r="I39" s="92" t="s">
        <v>159</v>
      </c>
    </row>
    <row r="40" spans="1:9" s="90" customFormat="1">
      <c r="A40" s="89" t="s">
        <v>161</v>
      </c>
      <c r="B40" s="90" t="s">
        <v>162</v>
      </c>
      <c r="C40" s="90" t="s">
        <v>18</v>
      </c>
      <c r="D40" s="90">
        <v>2015</v>
      </c>
      <c r="E40" s="144">
        <v>2.0497139999999998</v>
      </c>
      <c r="G40" s="90">
        <f t="shared" si="2"/>
        <v>2.0497139999999998</v>
      </c>
      <c r="H40" s="90" t="s">
        <v>156</v>
      </c>
      <c r="I40" s="92" t="s">
        <v>159</v>
      </c>
    </row>
    <row r="41" spans="1:9" s="90" customFormat="1">
      <c r="A41" s="89" t="s">
        <v>161</v>
      </c>
      <c r="B41" s="90" t="s">
        <v>162</v>
      </c>
      <c r="C41" s="90" t="s">
        <v>18</v>
      </c>
      <c r="D41" s="90">
        <v>2014</v>
      </c>
      <c r="E41" s="144">
        <v>1.953125</v>
      </c>
      <c r="G41" s="90">
        <f t="shared" si="2"/>
        <v>1.953125</v>
      </c>
      <c r="H41" s="90" t="s">
        <v>156</v>
      </c>
      <c r="I41" s="92" t="s">
        <v>159</v>
      </c>
    </row>
    <row r="42" spans="1:9" s="90" customFormat="1">
      <c r="A42" s="89" t="s">
        <v>161</v>
      </c>
      <c r="B42" s="90" t="s">
        <v>162</v>
      </c>
      <c r="C42" s="90" t="s">
        <v>15</v>
      </c>
      <c r="D42" s="90">
        <v>2018</v>
      </c>
      <c r="E42" s="144">
        <v>2.8898060000000001</v>
      </c>
      <c r="G42" s="90">
        <f t="shared" si="2"/>
        <v>2.8898060000000001</v>
      </c>
      <c r="H42" s="90" t="s">
        <v>156</v>
      </c>
      <c r="I42" s="92" t="s">
        <v>159</v>
      </c>
    </row>
    <row r="43" spans="1:9" s="90" customFormat="1">
      <c r="A43" s="89" t="s">
        <v>161</v>
      </c>
      <c r="B43" s="90" t="s">
        <v>162</v>
      </c>
      <c r="C43" s="90" t="s">
        <v>15</v>
      </c>
      <c r="D43" s="90">
        <v>2017</v>
      </c>
      <c r="E43" s="144">
        <v>2.9086310000000002</v>
      </c>
      <c r="G43" s="90">
        <f t="shared" si="2"/>
        <v>2.9086310000000002</v>
      </c>
      <c r="H43" s="90" t="s">
        <v>156</v>
      </c>
      <c r="I43" s="92" t="s">
        <v>159</v>
      </c>
    </row>
    <row r="44" spans="1:9" s="90" customFormat="1">
      <c r="A44" s="89" t="s">
        <v>161</v>
      </c>
      <c r="B44" s="90" t="s">
        <v>162</v>
      </c>
      <c r="C44" s="90" t="s">
        <v>15</v>
      </c>
      <c r="D44" s="90">
        <v>2016</v>
      </c>
      <c r="E44" s="144">
        <v>3.4472659999999999</v>
      </c>
      <c r="G44" s="90">
        <f t="shared" si="2"/>
        <v>3.4472659999999999</v>
      </c>
      <c r="H44" s="90" t="s">
        <v>156</v>
      </c>
      <c r="I44" s="92" t="s">
        <v>159</v>
      </c>
    </row>
    <row r="45" spans="1:9" s="90" customFormat="1">
      <c r="A45" s="89" t="s">
        <v>161</v>
      </c>
      <c r="B45" s="90" t="s">
        <v>162</v>
      </c>
      <c r="C45" s="90" t="s">
        <v>15</v>
      </c>
      <c r="D45" s="90">
        <v>2015</v>
      </c>
      <c r="E45" s="144">
        <v>2.6980580000000001</v>
      </c>
      <c r="G45" s="90">
        <f t="shared" si="2"/>
        <v>2.6980580000000001</v>
      </c>
      <c r="H45" s="90" t="s">
        <v>156</v>
      </c>
      <c r="I45" s="92" t="s">
        <v>159</v>
      </c>
    </row>
    <row r="46" spans="1:9" s="95" customFormat="1">
      <c r="A46" s="94" t="s">
        <v>161</v>
      </c>
      <c r="B46" s="95" t="s">
        <v>162</v>
      </c>
      <c r="C46" s="95" t="s">
        <v>15</v>
      </c>
      <c r="D46" s="95">
        <v>2014</v>
      </c>
      <c r="E46" s="145">
        <v>2.8399679999999998</v>
      </c>
      <c r="G46" s="95">
        <f t="shared" si="2"/>
        <v>2.8399679999999998</v>
      </c>
      <c r="H46" s="90" t="s">
        <v>156</v>
      </c>
      <c r="I46" s="97" t="s">
        <v>159</v>
      </c>
    </row>
    <row r="47" spans="1:9" s="99" customFormat="1">
      <c r="A47" s="98" t="s">
        <v>161</v>
      </c>
      <c r="B47" s="99" t="s">
        <v>163</v>
      </c>
      <c r="C47" s="99" t="s">
        <v>11</v>
      </c>
      <c r="D47" s="99">
        <v>2018</v>
      </c>
      <c r="E47" s="140">
        <v>0.214363</v>
      </c>
      <c r="G47" s="76">
        <f>E47*100</f>
        <v>21.436299999999999</v>
      </c>
      <c r="H47" s="76" t="s">
        <v>156</v>
      </c>
      <c r="I47" s="102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3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3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3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3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3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3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3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3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3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3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3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3"/>
        <v>32.222200000000001</v>
      </c>
      <c r="H60" s="76" t="s">
        <v>156</v>
      </c>
      <c r="I60" s="79" t="s">
        <v>159</v>
      </c>
    </row>
    <row r="61" spans="1:9" s="81" customFormat="1">
      <c r="A61" s="80" t="s">
        <v>161</v>
      </c>
      <c r="B61" s="81" t="s">
        <v>163</v>
      </c>
      <c r="C61" s="81" t="s">
        <v>15</v>
      </c>
      <c r="D61" s="81">
        <v>2014</v>
      </c>
      <c r="E61" s="146">
        <v>0.26790000000000003</v>
      </c>
      <c r="G61" s="76">
        <f t="shared" si="3"/>
        <v>26.790000000000003</v>
      </c>
      <c r="H61" s="76" t="s">
        <v>156</v>
      </c>
      <c r="I61" s="84" t="s">
        <v>159</v>
      </c>
    </row>
    <row r="62" spans="1:9" s="86" customFormat="1">
      <c r="A62" s="85" t="s">
        <v>161</v>
      </c>
      <c r="B62" s="86" t="s">
        <v>164</v>
      </c>
      <c r="C62" s="86" t="s">
        <v>11</v>
      </c>
      <c r="D62" s="86">
        <v>2018</v>
      </c>
      <c r="E62" s="147">
        <v>3732000000</v>
      </c>
      <c r="G62" s="108" cm="1">
        <f t="array" ref="G62">E62/VLOOKUP(D62,net_generation!$A:$D,MATCH(C62,net_generation!$1:$1,FALSE),FALSE)</f>
        <v>19.328152387213784</v>
      </c>
      <c r="H62" s="86" t="s">
        <v>165</v>
      </c>
      <c r="I62" s="87" t="s">
        <v>166</v>
      </c>
    </row>
    <row r="63" spans="1:9" s="90" customFormat="1">
      <c r="A63" s="89" t="s">
        <v>161</v>
      </c>
      <c r="B63" s="90" t="s">
        <v>164</v>
      </c>
      <c r="C63" s="90" t="s">
        <v>11</v>
      </c>
      <c r="D63" s="90">
        <v>2017</v>
      </c>
      <c r="E63" s="148">
        <v>4071000000</v>
      </c>
      <c r="G63" s="109" cm="1">
        <f t="array" ref="G63">E63/VLOOKUP(D63,net_generation!$A:$D,MATCH(C63,net_generation!$1:$1,FALSE),FALSE)</f>
        <v>21.521463197708485</v>
      </c>
      <c r="H63" s="90" t="s">
        <v>165</v>
      </c>
      <c r="I63" s="92" t="s">
        <v>166</v>
      </c>
    </row>
    <row r="64" spans="1:9" s="90" customFormat="1">
      <c r="A64" s="89" t="s">
        <v>161</v>
      </c>
      <c r="B64" s="90" t="s">
        <v>164</v>
      </c>
      <c r="C64" s="90" t="s">
        <v>11</v>
      </c>
      <c r="D64" s="90">
        <v>2016</v>
      </c>
      <c r="E64" s="148">
        <v>3992000000</v>
      </c>
      <c r="G64" s="109" cm="1">
        <f t="array" ref="G64">E64/VLOOKUP(D64,net_generation!$A:$D,MATCH(C64,net_generation!$1:$1,FALSE),FALSE)</f>
        <v>20.61173470357447</v>
      </c>
      <c r="H64" s="90" t="s">
        <v>165</v>
      </c>
      <c r="I64" s="92" t="s">
        <v>166</v>
      </c>
    </row>
    <row r="65" spans="1:9" s="90" customFormat="1">
      <c r="A65" s="89" t="s">
        <v>161</v>
      </c>
      <c r="B65" s="90" t="s">
        <v>164</v>
      </c>
      <c r="C65" s="90" t="s">
        <v>11</v>
      </c>
      <c r="D65" s="90">
        <v>2015</v>
      </c>
      <c r="E65" s="148">
        <v>5327000000</v>
      </c>
      <c r="G65" s="109" cm="1">
        <f t="array" ref="G65">E65/VLOOKUP(D65,net_generation!$A:$D,MATCH(C65,net_generation!$1:$1,FALSE),FALSE)</f>
        <v>26.806344411063129</v>
      </c>
      <c r="H65" s="90" t="s">
        <v>165</v>
      </c>
      <c r="I65" s="92" t="s">
        <v>167</v>
      </c>
    </row>
    <row r="66" spans="1:9" s="90" customFormat="1">
      <c r="A66" s="89" t="s">
        <v>161</v>
      </c>
      <c r="B66" s="90" t="s">
        <v>164</v>
      </c>
      <c r="C66" s="90" t="s">
        <v>11</v>
      </c>
      <c r="D66" s="90">
        <v>2014</v>
      </c>
      <c r="E66" s="148">
        <v>5602000000</v>
      </c>
      <c r="G66" s="109" cm="1">
        <f t="array" ref="G66">E66/VLOOKUP(D66,net_generation!$A:$D,MATCH(C66,net_generation!$1:$1,FALSE),FALSE)</f>
        <v>30.066278002327575</v>
      </c>
      <c r="H66" s="90" t="s">
        <v>165</v>
      </c>
      <c r="I66" s="92" t="s">
        <v>167</v>
      </c>
    </row>
    <row r="67" spans="1:9" s="90" customFormat="1">
      <c r="A67" s="89" t="s">
        <v>161</v>
      </c>
      <c r="B67" s="90" t="s">
        <v>164</v>
      </c>
      <c r="C67" s="90" t="s">
        <v>18</v>
      </c>
      <c r="D67" s="90">
        <v>2018</v>
      </c>
      <c r="E67" s="148">
        <v>6831000000</v>
      </c>
      <c r="G67" s="109" cm="1">
        <f t="array" ref="G67">E67/VLOOKUP(D67,net_generation!$A:$D,MATCH(C67,net_generation!$1:$1,FALSE),FALSE)</f>
        <v>29.30149960536701</v>
      </c>
      <c r="H67" s="90" t="s">
        <v>165</v>
      </c>
      <c r="I67" s="92" t="s">
        <v>168</v>
      </c>
    </row>
    <row r="68" spans="1:9" s="90" customFormat="1">
      <c r="A68" s="89" t="s">
        <v>161</v>
      </c>
      <c r="B68" s="90" t="s">
        <v>164</v>
      </c>
      <c r="C68" s="90" t="s">
        <v>18</v>
      </c>
      <c r="D68" s="90">
        <v>2017</v>
      </c>
      <c r="E68" s="148">
        <v>6350000000</v>
      </c>
      <c r="G68" s="109" cm="1">
        <f t="array" ref="G68">E68/VLOOKUP(D68,net_generation!$A:$D,MATCH(C68,net_generation!$1:$1,FALSE),FALSE)</f>
        <v>27.939474737874928</v>
      </c>
      <c r="H68" s="90" t="s">
        <v>165</v>
      </c>
      <c r="I68" s="92" t="s">
        <v>168</v>
      </c>
    </row>
    <row r="69" spans="1:9" s="90" customFormat="1">
      <c r="A69" s="89" t="s">
        <v>161</v>
      </c>
      <c r="B69" s="90" t="s">
        <v>164</v>
      </c>
      <c r="C69" s="90" t="s">
        <v>18</v>
      </c>
      <c r="D69" s="90">
        <v>2016</v>
      </c>
      <c r="E69" s="148">
        <v>6625000000</v>
      </c>
      <c r="G69" s="109" cm="1">
        <f t="array" ref="G69">E69/VLOOKUP(D69,net_generation!$A:$D,MATCH(C69,net_generation!$1:$1,FALSE),FALSE)</f>
        <v>30.21182479421757</v>
      </c>
      <c r="H69" s="90" t="s">
        <v>165</v>
      </c>
      <c r="I69" s="92" t="s">
        <v>168</v>
      </c>
    </row>
    <row r="70" spans="1:9" s="90" customFormat="1">
      <c r="A70" s="89" t="s">
        <v>161</v>
      </c>
      <c r="B70" s="90" t="s">
        <v>164</v>
      </c>
      <c r="C70" s="90" t="s">
        <v>18</v>
      </c>
      <c r="D70" s="90">
        <v>2015</v>
      </c>
      <c r="E70" s="148">
        <v>7355000000</v>
      </c>
      <c r="G70" s="109" cm="1">
        <f t="array" ref="G70">E70/VLOOKUP(D70,net_generation!$A:$D,MATCH(C70,net_generation!$1:$1,FALSE),FALSE)</f>
        <v>33.627622657382304</v>
      </c>
      <c r="H70" s="90" t="s">
        <v>165</v>
      </c>
      <c r="I70" s="92" t="s">
        <v>169</v>
      </c>
    </row>
    <row r="71" spans="1:9" s="90" customFormat="1">
      <c r="A71" s="89" t="s">
        <v>161</v>
      </c>
      <c r="B71" s="90" t="s">
        <v>164</v>
      </c>
      <c r="C71" s="90" t="s">
        <v>18</v>
      </c>
      <c r="D71" s="90">
        <v>2014</v>
      </c>
      <c r="E71" s="148">
        <v>7732000000</v>
      </c>
      <c r="G71" s="109" cm="1">
        <f t="array" ref="G71">E71/VLOOKUP(D71,net_generation!$A:$D,MATCH(C71,net_generation!$1:$1,FALSE),FALSE)</f>
        <v>31.627990689949971</v>
      </c>
      <c r="H71" s="90" t="s">
        <v>165</v>
      </c>
      <c r="I71" s="92" t="s">
        <v>169</v>
      </c>
    </row>
    <row r="72" spans="1:9" s="90" customFormat="1">
      <c r="A72" s="89" t="s">
        <v>161</v>
      </c>
      <c r="B72" s="90" t="s">
        <v>164</v>
      </c>
      <c r="C72" s="90" t="s">
        <v>15</v>
      </c>
      <c r="D72" s="90">
        <v>2018</v>
      </c>
      <c r="E72" s="148">
        <v>16670000000</v>
      </c>
      <c r="G72" s="109" cm="1">
        <f t="array" ref="G72">E72/VLOOKUP(D72,net_generation!$A:$D,MATCH(C72,net_generation!$1:$1,FALSE),FALSE)</f>
        <v>85.828733833099932</v>
      </c>
      <c r="H72" s="90" t="s">
        <v>165</v>
      </c>
      <c r="I72" s="92" t="s">
        <v>170</v>
      </c>
    </row>
    <row r="73" spans="1:9" s="90" customFormat="1">
      <c r="A73" s="89" t="s">
        <v>161</v>
      </c>
      <c r="B73" s="90" t="s">
        <v>164</v>
      </c>
      <c r="C73" s="90" t="s">
        <v>15</v>
      </c>
      <c r="D73" s="90">
        <v>2017</v>
      </c>
      <c r="E73" s="148">
        <v>14035000000</v>
      </c>
      <c r="G73" s="109" cm="1">
        <f t="array" ref="G73">E73/VLOOKUP(D73,net_generation!$A:$D,MATCH(C73,net_generation!$1:$1,FALSE),FALSE)</f>
        <v>72.074558582059325</v>
      </c>
      <c r="H73" s="90" t="s">
        <v>165</v>
      </c>
      <c r="I73" s="92" t="s">
        <v>170</v>
      </c>
    </row>
    <row r="74" spans="1:9" s="90" customFormat="1">
      <c r="A74" s="89" t="s">
        <v>161</v>
      </c>
      <c r="B74" s="90" t="s">
        <v>164</v>
      </c>
      <c r="C74" s="90" t="s">
        <v>15</v>
      </c>
      <c r="D74" s="90">
        <v>2016</v>
      </c>
      <c r="E74" s="148">
        <v>12640000000</v>
      </c>
      <c r="G74" s="109" cm="1">
        <f t="array" ref="G74">E74/VLOOKUP(D74,net_generation!$A:$D,MATCH(C74,net_generation!$1:$1,FALSE),FALSE)</f>
        <v>67.645826176729415</v>
      </c>
      <c r="H74" s="90" t="s">
        <v>165</v>
      </c>
      <c r="I74" s="92" t="s">
        <v>170</v>
      </c>
    </row>
    <row r="75" spans="1:9" s="90" customFormat="1">
      <c r="A75" s="89" t="s">
        <v>161</v>
      </c>
      <c r="B75" s="90" t="s">
        <v>164</v>
      </c>
      <c r="C75" s="90" t="s">
        <v>15</v>
      </c>
      <c r="D75" s="90">
        <v>2015</v>
      </c>
      <c r="E75" s="148">
        <f>13084000000</f>
        <v>13084000000</v>
      </c>
      <c r="G75" s="109" cm="1">
        <f t="array" ref="G75">E75/VLOOKUP(D75,net_generation!$A:$D,MATCH(C75,net_generation!$1:$1,FALSE),FALSE)</f>
        <v>72.675590609877105</v>
      </c>
      <c r="H75" s="90" t="s">
        <v>165</v>
      </c>
      <c r="I75" s="92" t="s">
        <v>171</v>
      </c>
    </row>
    <row r="76" spans="1:9" s="95" customFormat="1">
      <c r="A76" s="94" t="s">
        <v>161</v>
      </c>
      <c r="B76" s="95" t="s">
        <v>164</v>
      </c>
      <c r="C76" s="95" t="s">
        <v>15</v>
      </c>
      <c r="D76" s="95">
        <v>2014</v>
      </c>
      <c r="E76" s="149">
        <v>13003000000</v>
      </c>
      <c r="G76" s="110" cm="1">
        <f t="array" ref="G76">E76/VLOOKUP(D76,net_generation!$A:$D,MATCH(C76,net_generation!$1:$1,FALSE),FALSE)</f>
        <v>73.062490128181054</v>
      </c>
      <c r="H76" s="95" t="s">
        <v>165</v>
      </c>
      <c r="I76" s="97" t="s">
        <v>172</v>
      </c>
    </row>
    <row r="77" spans="1:9" s="99" customFormat="1">
      <c r="A77" s="98" t="s">
        <v>173</v>
      </c>
      <c r="B77" s="99" t="s">
        <v>174</v>
      </c>
      <c r="C77" s="99" t="s">
        <v>11</v>
      </c>
      <c r="D77" s="99">
        <v>2018</v>
      </c>
      <c r="E77" s="140">
        <v>1.097005</v>
      </c>
      <c r="G77" s="99">
        <f t="shared" ref="G77:G106" si="4">E77</f>
        <v>1.097005</v>
      </c>
      <c r="I77" s="102" t="s">
        <v>159</v>
      </c>
    </row>
    <row r="78" spans="1:9" s="76" customFormat="1">
      <c r="A78" s="75" t="s">
        <v>173</v>
      </c>
      <c r="B78" s="76" t="s">
        <v>174</v>
      </c>
      <c r="C78" s="76" t="s">
        <v>11</v>
      </c>
      <c r="D78" s="76">
        <v>2017</v>
      </c>
      <c r="E78" s="141">
        <v>1.186042</v>
      </c>
      <c r="G78" s="76">
        <f t="shared" si="4"/>
        <v>1.186042</v>
      </c>
      <c r="I78" s="79" t="s">
        <v>159</v>
      </c>
    </row>
    <row r="79" spans="1:9" s="76" customFormat="1">
      <c r="A79" s="75" t="s">
        <v>173</v>
      </c>
      <c r="B79" s="76" t="s">
        <v>174</v>
      </c>
      <c r="C79" s="76" t="s">
        <v>11</v>
      </c>
      <c r="D79" s="76">
        <v>2016</v>
      </c>
      <c r="E79" s="141">
        <v>1.5021230000000001</v>
      </c>
      <c r="G79" s="76">
        <f t="shared" si="4"/>
        <v>1.5021230000000001</v>
      </c>
      <c r="I79" s="79" t="s">
        <v>159</v>
      </c>
    </row>
    <row r="80" spans="1:9" s="76" customFormat="1">
      <c r="A80" s="75" t="s">
        <v>173</v>
      </c>
      <c r="B80" s="76" t="s">
        <v>174</v>
      </c>
      <c r="C80" s="76" t="s">
        <v>11</v>
      </c>
      <c r="D80" s="76">
        <v>2015</v>
      </c>
      <c r="E80" s="141">
        <v>1.5725720000000001</v>
      </c>
      <c r="G80" s="76">
        <f t="shared" si="4"/>
        <v>1.5725720000000001</v>
      </c>
      <c r="I80" s="79" t="s">
        <v>159</v>
      </c>
    </row>
    <row r="81" spans="1:9" s="76" customFormat="1">
      <c r="A81" s="75" t="s">
        <v>173</v>
      </c>
      <c r="B81" s="76" t="s">
        <v>174</v>
      </c>
      <c r="C81" s="76" t="s">
        <v>11</v>
      </c>
      <c r="D81" s="76">
        <v>2014</v>
      </c>
      <c r="E81" s="141">
        <v>1.603966</v>
      </c>
      <c r="G81" s="76">
        <f t="shared" si="4"/>
        <v>1.603966</v>
      </c>
      <c r="I81" s="79" t="s">
        <v>159</v>
      </c>
    </row>
    <row r="82" spans="1:9" s="76" customFormat="1">
      <c r="A82" s="75" t="s">
        <v>173</v>
      </c>
      <c r="B82" s="76" t="s">
        <v>174</v>
      </c>
      <c r="C82" s="76" t="s">
        <v>18</v>
      </c>
      <c r="D82" s="76">
        <v>2018</v>
      </c>
      <c r="E82" s="141">
        <v>0.76536400000000004</v>
      </c>
      <c r="G82" s="76">
        <f t="shared" si="4"/>
        <v>0.76536400000000004</v>
      </c>
      <c r="I82" s="79" t="s">
        <v>159</v>
      </c>
    </row>
    <row r="83" spans="1:9" s="76" customFormat="1">
      <c r="A83" s="75" t="s">
        <v>173</v>
      </c>
      <c r="B83" s="76" t="s">
        <v>174</v>
      </c>
      <c r="C83" s="76" t="s">
        <v>18</v>
      </c>
      <c r="D83" s="76">
        <v>2017</v>
      </c>
      <c r="E83" s="141">
        <v>0.82389500000000004</v>
      </c>
      <c r="G83" s="76">
        <f t="shared" si="4"/>
        <v>0.82389500000000004</v>
      </c>
      <c r="I83" s="79" t="s">
        <v>159</v>
      </c>
    </row>
    <row r="84" spans="1:9" s="76" customFormat="1">
      <c r="A84" s="75" t="s">
        <v>173</v>
      </c>
      <c r="B84" s="76" t="s">
        <v>174</v>
      </c>
      <c r="C84" s="76" t="s">
        <v>18</v>
      </c>
      <c r="D84" s="76">
        <v>2016</v>
      </c>
      <c r="E84" s="141">
        <v>0.86039699999999997</v>
      </c>
      <c r="G84" s="76">
        <f t="shared" si="4"/>
        <v>0.86039699999999997</v>
      </c>
      <c r="I84" s="79" t="s">
        <v>159</v>
      </c>
    </row>
    <row r="85" spans="1:9" s="76" customFormat="1">
      <c r="A85" s="75" t="s">
        <v>173</v>
      </c>
      <c r="B85" s="76" t="s">
        <v>174</v>
      </c>
      <c r="C85" s="76" t="s">
        <v>18</v>
      </c>
      <c r="D85" s="76">
        <v>2015</v>
      </c>
      <c r="E85" s="141">
        <v>0.98669799999999996</v>
      </c>
      <c r="G85" s="76">
        <f t="shared" si="4"/>
        <v>0.98669799999999996</v>
      </c>
      <c r="I85" s="79" t="s">
        <v>159</v>
      </c>
    </row>
    <row r="86" spans="1:9" s="76" customFormat="1">
      <c r="A86" s="75" t="s">
        <v>173</v>
      </c>
      <c r="B86" s="76" t="s">
        <v>174</v>
      </c>
      <c r="C86" s="76" t="s">
        <v>18</v>
      </c>
      <c r="D86" s="76">
        <v>2014</v>
      </c>
      <c r="E86" s="141">
        <v>1.2232540000000001</v>
      </c>
      <c r="G86" s="76">
        <f t="shared" si="4"/>
        <v>1.2232540000000001</v>
      </c>
      <c r="I86" s="79" t="s">
        <v>159</v>
      </c>
    </row>
    <row r="87" spans="1:9" s="76" customFormat="1">
      <c r="A87" s="75" t="s">
        <v>173</v>
      </c>
      <c r="B87" s="76" t="s">
        <v>174</v>
      </c>
      <c r="C87" s="76" t="s">
        <v>15</v>
      </c>
      <c r="D87" s="76">
        <v>2018</v>
      </c>
      <c r="E87" s="141">
        <v>1.1382669999999999</v>
      </c>
      <c r="G87" s="76">
        <f t="shared" si="4"/>
        <v>1.1382669999999999</v>
      </c>
      <c r="I87" s="79" t="s">
        <v>159</v>
      </c>
    </row>
    <row r="88" spans="1:9" s="76" customFormat="1">
      <c r="A88" s="75" t="s">
        <v>173</v>
      </c>
      <c r="B88" s="76" t="s">
        <v>174</v>
      </c>
      <c r="C88" s="76" t="s">
        <v>15</v>
      </c>
      <c r="D88" s="76">
        <v>2017</v>
      </c>
      <c r="E88" s="141">
        <v>0.98628700000000002</v>
      </c>
      <c r="G88" s="76">
        <f t="shared" si="4"/>
        <v>0.98628700000000002</v>
      </c>
      <c r="I88" s="79" t="s">
        <v>159</v>
      </c>
    </row>
    <row r="89" spans="1:9" s="76" customFormat="1">
      <c r="A89" s="75" t="s">
        <v>173</v>
      </c>
      <c r="B89" s="76" t="s">
        <v>174</v>
      </c>
      <c r="C89" s="76" t="s">
        <v>15</v>
      </c>
      <c r="D89" s="76">
        <v>2016</v>
      </c>
      <c r="E89" s="141">
        <v>0.98737299999999995</v>
      </c>
      <c r="G89" s="76">
        <f t="shared" si="4"/>
        <v>0.98737299999999995</v>
      </c>
      <c r="I89" s="79" t="s">
        <v>159</v>
      </c>
    </row>
    <row r="90" spans="1:9" s="76" customFormat="1">
      <c r="A90" s="75" t="s">
        <v>173</v>
      </c>
      <c r="B90" s="76" t="s">
        <v>174</v>
      </c>
      <c r="C90" s="76" t="s">
        <v>15</v>
      </c>
      <c r="D90" s="76">
        <v>2015</v>
      </c>
      <c r="E90" s="141">
        <v>0.99895100000000003</v>
      </c>
      <c r="G90" s="76">
        <f t="shared" si="4"/>
        <v>0.99895100000000003</v>
      </c>
      <c r="I90" s="79" t="s">
        <v>159</v>
      </c>
    </row>
    <row r="91" spans="1:9" s="81" customFormat="1">
      <c r="A91" s="80" t="s">
        <v>173</v>
      </c>
      <c r="B91" s="81" t="s">
        <v>174</v>
      </c>
      <c r="C91" s="81" t="s">
        <v>15</v>
      </c>
      <c r="D91" s="81">
        <v>2014</v>
      </c>
      <c r="E91" s="142">
        <v>0.73342099999999999</v>
      </c>
      <c r="G91" s="81">
        <f t="shared" si="4"/>
        <v>0.73342099999999999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G92" s="86">
        <f t="shared" si="4"/>
        <v>0.31651099999999999</v>
      </c>
      <c r="I92" s="87" t="s">
        <v>159</v>
      </c>
    </row>
    <row r="93" spans="1:9" s="90" customFormat="1">
      <c r="A93" s="89" t="s">
        <v>173</v>
      </c>
      <c r="B93" s="90" t="s">
        <v>175</v>
      </c>
      <c r="C93" s="90" t="s">
        <v>11</v>
      </c>
      <c r="D93" s="90">
        <v>2017</v>
      </c>
      <c r="E93" s="136">
        <v>0.34306399999999998</v>
      </c>
      <c r="G93" s="90">
        <f t="shared" si="4"/>
        <v>0.34306399999999998</v>
      </c>
      <c r="I93" s="92" t="s">
        <v>159</v>
      </c>
    </row>
    <row r="94" spans="1:9" s="90" customFormat="1">
      <c r="A94" s="89" t="s">
        <v>173</v>
      </c>
      <c r="B94" s="90" t="s">
        <v>175</v>
      </c>
      <c r="C94" s="90" t="s">
        <v>11</v>
      </c>
      <c r="D94" s="90">
        <v>2016</v>
      </c>
      <c r="E94" s="136">
        <v>0.55357100000000004</v>
      </c>
      <c r="G94" s="90">
        <f t="shared" si="4"/>
        <v>0.55357100000000004</v>
      </c>
      <c r="I94" s="92" t="s">
        <v>159</v>
      </c>
    </row>
    <row r="95" spans="1:9" s="90" customFormat="1">
      <c r="A95" s="89" t="s">
        <v>173</v>
      </c>
      <c r="B95" s="90" t="s">
        <v>175</v>
      </c>
      <c r="C95" s="90" t="s">
        <v>11</v>
      </c>
      <c r="D95" s="90">
        <v>2015</v>
      </c>
      <c r="E95" s="136">
        <v>0.50327</v>
      </c>
      <c r="G95" s="90">
        <f t="shared" si="4"/>
        <v>0.50327</v>
      </c>
      <c r="I95" s="92" t="s">
        <v>159</v>
      </c>
    </row>
    <row r="96" spans="1:9" s="90" customFormat="1">
      <c r="A96" s="89" t="s">
        <v>173</v>
      </c>
      <c r="B96" s="90" t="s">
        <v>175</v>
      </c>
      <c r="C96" s="90" t="s">
        <v>11</v>
      </c>
      <c r="D96" s="90">
        <v>2014</v>
      </c>
      <c r="E96" s="136">
        <v>0.51156199999999996</v>
      </c>
      <c r="G96" s="90">
        <f t="shared" si="4"/>
        <v>0.51156199999999996</v>
      </c>
      <c r="I96" s="92" t="s">
        <v>159</v>
      </c>
    </row>
    <row r="97" spans="1:9" s="90" customFormat="1">
      <c r="A97" s="89" t="s">
        <v>173</v>
      </c>
      <c r="B97" s="90" t="s">
        <v>175</v>
      </c>
      <c r="C97" s="90" t="s">
        <v>18</v>
      </c>
      <c r="D97" s="90">
        <v>2018</v>
      </c>
      <c r="E97" s="136">
        <v>0.92685700000000004</v>
      </c>
      <c r="G97" s="90">
        <f t="shared" si="4"/>
        <v>0.92685700000000004</v>
      </c>
      <c r="I97" s="92" t="s">
        <v>159</v>
      </c>
    </row>
    <row r="98" spans="1:9" s="90" customFormat="1">
      <c r="A98" s="89" t="s">
        <v>173</v>
      </c>
      <c r="B98" s="90" t="s">
        <v>175</v>
      </c>
      <c r="C98" s="90" t="s">
        <v>18</v>
      </c>
      <c r="D98" s="90">
        <v>2017</v>
      </c>
      <c r="E98" s="136">
        <v>0.80091500000000004</v>
      </c>
      <c r="G98" s="90">
        <f t="shared" si="4"/>
        <v>0.80091500000000004</v>
      </c>
      <c r="I98" s="92" t="s">
        <v>159</v>
      </c>
    </row>
    <row r="99" spans="1:9" s="90" customFormat="1">
      <c r="A99" s="89" t="s">
        <v>173</v>
      </c>
      <c r="B99" s="90" t="s">
        <v>175</v>
      </c>
      <c r="C99" s="90" t="s">
        <v>18</v>
      </c>
      <c r="D99" s="90">
        <v>2016</v>
      </c>
      <c r="E99" s="136">
        <v>1.0836429999999999</v>
      </c>
      <c r="G99" s="90">
        <f t="shared" si="4"/>
        <v>1.0836429999999999</v>
      </c>
      <c r="I99" s="92" t="s">
        <v>159</v>
      </c>
    </row>
    <row r="100" spans="1:9" s="90" customFormat="1">
      <c r="A100" s="89" t="s">
        <v>173</v>
      </c>
      <c r="B100" s="90" t="s">
        <v>175</v>
      </c>
      <c r="C100" s="90" t="s">
        <v>18</v>
      </c>
      <c r="D100" s="90">
        <v>2015</v>
      </c>
      <c r="E100" s="136">
        <v>0.80042599999999997</v>
      </c>
      <c r="G100" s="90">
        <f t="shared" si="4"/>
        <v>0.80042599999999997</v>
      </c>
      <c r="I100" s="92" t="s">
        <v>159</v>
      </c>
    </row>
    <row r="101" spans="1:9" s="90" customFormat="1">
      <c r="A101" s="89" t="s">
        <v>173</v>
      </c>
      <c r="B101" s="90" t="s">
        <v>175</v>
      </c>
      <c r="C101" s="90" t="s">
        <v>18</v>
      </c>
      <c r="D101" s="90">
        <v>2014</v>
      </c>
      <c r="E101" s="136">
        <v>1.1864049999999999</v>
      </c>
      <c r="G101" s="90">
        <f t="shared" si="4"/>
        <v>1.1864049999999999</v>
      </c>
      <c r="I101" s="92" t="s">
        <v>159</v>
      </c>
    </row>
    <row r="102" spans="1:9" s="90" customFormat="1">
      <c r="A102" s="89" t="s">
        <v>173</v>
      </c>
      <c r="B102" s="90" t="s">
        <v>175</v>
      </c>
      <c r="C102" s="90" t="s">
        <v>15</v>
      </c>
      <c r="D102" s="90">
        <v>2018</v>
      </c>
      <c r="E102" s="136">
        <v>3.3467340000000001</v>
      </c>
      <c r="G102" s="90">
        <f t="shared" si="4"/>
        <v>3.3467340000000001</v>
      </c>
      <c r="I102" s="92" t="s">
        <v>159</v>
      </c>
    </row>
    <row r="103" spans="1:9" s="90" customFormat="1">
      <c r="A103" s="89" t="s">
        <v>173</v>
      </c>
      <c r="B103" s="90" t="s">
        <v>175</v>
      </c>
      <c r="C103" s="90" t="s">
        <v>15</v>
      </c>
      <c r="D103" s="90">
        <v>2017</v>
      </c>
      <c r="E103" s="136">
        <v>0.45879700000000001</v>
      </c>
      <c r="G103" s="90">
        <f t="shared" si="4"/>
        <v>0.45879700000000001</v>
      </c>
      <c r="I103" s="92" t="s">
        <v>159</v>
      </c>
    </row>
    <row r="104" spans="1:9" s="90" customFormat="1">
      <c r="A104" s="89" t="s">
        <v>173</v>
      </c>
      <c r="B104" s="90" t="s">
        <v>175</v>
      </c>
      <c r="C104" s="90" t="s">
        <v>15</v>
      </c>
      <c r="D104" s="90">
        <v>2016</v>
      </c>
      <c r="E104" s="136">
        <v>1.028219</v>
      </c>
      <c r="G104" s="90">
        <f t="shared" si="4"/>
        <v>1.028219</v>
      </c>
      <c r="I104" s="92" t="s">
        <v>159</v>
      </c>
    </row>
    <row r="105" spans="1:9" s="90" customFormat="1">
      <c r="A105" s="89" t="s">
        <v>173</v>
      </c>
      <c r="B105" s="90" t="s">
        <v>175</v>
      </c>
      <c r="C105" s="90" t="s">
        <v>15</v>
      </c>
      <c r="D105" s="90">
        <v>2015</v>
      </c>
      <c r="E105" s="136">
        <v>0.48699900000000002</v>
      </c>
      <c r="G105" s="90">
        <f t="shared" si="4"/>
        <v>0.48699900000000002</v>
      </c>
      <c r="I105" s="92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G106" s="95">
        <f t="shared" si="4"/>
        <v>0.656192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946B84A-89FA-194C-8D49-FE78326476E7}"/>
    <hyperlink ref="I73:I74" r:id="rId2" display="http://www.annualreports.com/Company/exelon-corporation p220" xr:uid="{294EF93D-BED8-A24E-B848-E229CB75FF9D}"/>
    <hyperlink ref="I73" r:id="rId3" xr:uid="{A0E19192-9AC6-A846-9F8F-689D837E5EDE}"/>
    <hyperlink ref="I74" r:id="rId4" xr:uid="{98FF222B-9A73-E844-9561-C321B33F5FAF}"/>
    <hyperlink ref="I62" r:id="rId5" xr:uid="{5CBDB576-1F0F-6248-B3D3-96D4721775DB}"/>
    <hyperlink ref="I65" r:id="rId6" xr:uid="{7AE1652C-90A3-C849-9AE1-27F55D92D6B2}"/>
    <hyperlink ref="I66" r:id="rId7" xr:uid="{4DDA696E-81DE-0048-AE15-1D42CF76D54D}"/>
    <hyperlink ref="I69" r:id="rId8" xr:uid="{182DA074-B693-B245-A5EA-CBEB5FCC4C1E}"/>
    <hyperlink ref="I75" r:id="rId9" xr:uid="{48AC6D18-F0C3-334F-857A-96DCC072E7A8}"/>
    <hyperlink ref="I76" r:id="rId10" xr:uid="{7957E234-FA03-5F4B-9FF9-6B47C70B6D33}"/>
    <hyperlink ref="I68" r:id="rId11" xr:uid="{6405342B-BC9B-5647-AD20-C0E617D221F0}"/>
    <hyperlink ref="I67" r:id="rId12" xr:uid="{6EB85ADA-6DD6-E14C-AA01-D81A54F1459A}"/>
    <hyperlink ref="I70" r:id="rId13" xr:uid="{5A993879-933E-3A41-888B-6E626B883725}"/>
    <hyperlink ref="I71" r:id="rId14" xr:uid="{CA247959-FF73-2241-A488-3B1C7D517339}"/>
    <hyperlink ref="I63" r:id="rId15" xr:uid="{FBAE001B-6EFB-EF4A-9499-4D952F26F1B4}"/>
    <hyperlink ref="I64" r:id="rId16" xr:uid="{583B470C-890A-7D42-AFA7-321097004E9B}"/>
    <hyperlink ref="I2" r:id="rId17" xr:uid="{C883C06C-E869-4C49-A230-BA368C157028}"/>
    <hyperlink ref="I3:I61" r:id="rId18" display="https://financialmodelingprep.com/developer/docs/financial-statement-free-api" xr:uid="{B08EB6A1-6F0A-DF49-B9BA-CFDE5F9B31C4}"/>
    <hyperlink ref="I77" r:id="rId19" xr:uid="{18D57157-8F0F-F84C-A7FE-1CCC2AF4A791}"/>
    <hyperlink ref="I78:I106" r:id="rId20" display="https://financialmodelingprep.com/developer/docs/financial-statement-free-api" xr:uid="{2549A46B-9F8A-F84B-8ED3-D4EA5008AC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1A3-EA89-4A9E-8767-72710001107E}">
  <dimension ref="A1:I144"/>
  <sheetViews>
    <sheetView zoomScale="90" workbookViewId="0">
      <selection activeCell="A81" sqref="A81:XFD81"/>
    </sheetView>
  </sheetViews>
  <sheetFormatPr defaultColWidth="11" defaultRowHeight="15"/>
  <cols>
    <col min="1" max="1" width="11" style="1"/>
    <col min="2" max="2" width="46.375" style="1" bestFit="1" customWidth="1"/>
    <col min="3" max="3" width="9" style="1" bestFit="1" customWidth="1"/>
    <col min="4" max="4" width="6.5" style="1" bestFit="1" customWidth="1"/>
    <col min="5" max="5" width="32.625" style="8" bestFit="1" customWidth="1"/>
    <col min="6" max="6" width="25.125" style="1" bestFit="1" customWidth="1"/>
    <col min="7" max="7" width="15.875" style="1" bestFit="1" customWidth="1"/>
    <col min="8" max="8" width="15.5" style="1" bestFit="1" customWidth="1"/>
    <col min="9" max="9" width="120.12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2014</v>
      </c>
      <c r="E2" s="8">
        <v>42.3</v>
      </c>
      <c r="F2" s="1" t="s">
        <v>123</v>
      </c>
      <c r="G2" s="1">
        <v>42.3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2015</v>
      </c>
      <c r="E3" s="8">
        <v>35.200000000000003</v>
      </c>
      <c r="F3" s="1" t="s">
        <v>123</v>
      </c>
      <c r="G3" s="1">
        <v>35.200000000000003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2016</v>
      </c>
      <c r="E4" s="8">
        <v>33.700000000000003</v>
      </c>
      <c r="F4" s="1" t="s">
        <v>123</v>
      </c>
      <c r="G4" s="1">
        <v>33.700000000000003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2017</v>
      </c>
      <c r="E5" s="8">
        <v>33.200000000000003</v>
      </c>
      <c r="F5" s="1" t="s">
        <v>123</v>
      </c>
      <c r="G5" s="1">
        <v>33.200000000000003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2018</v>
      </c>
      <c r="E6" s="8">
        <v>30.3</v>
      </c>
      <c r="F6" s="1" t="s">
        <v>123</v>
      </c>
      <c r="G6" s="1">
        <v>30.3</v>
      </c>
      <c r="H6" s="1" t="s">
        <v>124</v>
      </c>
      <c r="I6" s="1" t="s">
        <v>126</v>
      </c>
    </row>
    <row r="7" spans="1:9">
      <c r="A7" s="1" t="s">
        <v>121</v>
      </c>
      <c r="B7" s="1" t="s">
        <v>122</v>
      </c>
      <c r="C7" s="1" t="s">
        <v>15</v>
      </c>
      <c r="D7" s="1">
        <v>2014</v>
      </c>
      <c r="E7" s="8">
        <v>0.1</v>
      </c>
      <c r="F7" s="1" t="s">
        <v>123</v>
      </c>
      <c r="G7" s="1">
        <v>0.1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15</v>
      </c>
      <c r="D8" s="1">
        <v>2015</v>
      </c>
      <c r="E8" s="8">
        <v>0.1</v>
      </c>
      <c r="F8" s="1" t="s">
        <v>123</v>
      </c>
      <c r="G8" s="1">
        <v>0.1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15</v>
      </c>
      <c r="D9" s="1">
        <v>2016</v>
      </c>
      <c r="E9" s="8">
        <v>0.1</v>
      </c>
      <c r="F9" s="1" t="s">
        <v>123</v>
      </c>
      <c r="G9" s="1">
        <v>0.1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15</v>
      </c>
      <c r="D10" s="1">
        <v>2017</v>
      </c>
      <c r="E10" s="8">
        <v>0</v>
      </c>
      <c r="F10" s="1" t="s">
        <v>123</v>
      </c>
      <c r="G10" s="1">
        <v>0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15</v>
      </c>
      <c r="D11" s="1">
        <v>2018</v>
      </c>
      <c r="E11" s="8">
        <v>0</v>
      </c>
      <c r="F11" s="1" t="s">
        <v>123</v>
      </c>
      <c r="G11" s="1">
        <v>0</v>
      </c>
      <c r="H11" s="1" t="s">
        <v>124</v>
      </c>
      <c r="I11" s="1" t="s">
        <v>127</v>
      </c>
    </row>
    <row r="12" spans="1:9">
      <c r="A12" s="1" t="s">
        <v>121</v>
      </c>
      <c r="B12" s="1" t="s">
        <v>122</v>
      </c>
      <c r="C12" s="1" t="s">
        <v>11</v>
      </c>
      <c r="D12" s="1">
        <v>2014</v>
      </c>
      <c r="E12" s="8">
        <v>2.5</v>
      </c>
      <c r="F12" s="1" t="s">
        <v>123</v>
      </c>
      <c r="G12" s="1">
        <v>2.5</v>
      </c>
      <c r="H12" s="1" t="s">
        <v>124</v>
      </c>
      <c r="I12" s="1" t="s">
        <v>24</v>
      </c>
    </row>
    <row r="13" spans="1:9">
      <c r="A13" s="1" t="s">
        <v>121</v>
      </c>
      <c r="B13" s="1" t="s">
        <v>122</v>
      </c>
      <c r="C13" s="1" t="s">
        <v>11</v>
      </c>
      <c r="D13" s="1">
        <v>2015</v>
      </c>
      <c r="E13" s="8">
        <v>2.7</v>
      </c>
      <c r="F13" s="1" t="s">
        <v>123</v>
      </c>
      <c r="G13" s="1">
        <v>2.7</v>
      </c>
      <c r="H13" s="1" t="s">
        <v>124</v>
      </c>
      <c r="I13" s="1" t="s">
        <v>24</v>
      </c>
    </row>
    <row r="14" spans="1:9">
      <c r="A14" s="1" t="s">
        <v>121</v>
      </c>
      <c r="B14" s="1" t="s">
        <v>122</v>
      </c>
      <c r="C14" s="1" t="s">
        <v>11</v>
      </c>
      <c r="D14" s="1">
        <v>2016</v>
      </c>
      <c r="E14" s="8">
        <v>2.2000000000000002</v>
      </c>
      <c r="F14" s="1" t="s">
        <v>123</v>
      </c>
      <c r="G14" s="1">
        <v>2.2000000000000002</v>
      </c>
      <c r="H14" s="1" t="s">
        <v>124</v>
      </c>
      <c r="I14" s="1" t="s">
        <v>24</v>
      </c>
    </row>
    <row r="15" spans="1:9">
      <c r="A15" s="1" t="s">
        <v>121</v>
      </c>
      <c r="B15" s="1" t="s">
        <v>122</v>
      </c>
      <c r="C15" s="1" t="s">
        <v>11</v>
      </c>
      <c r="D15" s="1">
        <v>2017</v>
      </c>
      <c r="E15" s="8">
        <v>2.4</v>
      </c>
      <c r="F15" s="1" t="s">
        <v>123</v>
      </c>
      <c r="G15" s="1">
        <v>2.4</v>
      </c>
      <c r="H15" s="1" t="s">
        <v>124</v>
      </c>
      <c r="I15" s="1" t="s">
        <v>24</v>
      </c>
    </row>
    <row r="16" spans="1:9">
      <c r="A16" s="1" t="s">
        <v>121</v>
      </c>
      <c r="B16" s="1" t="s">
        <v>122</v>
      </c>
      <c r="C16" s="1" t="s">
        <v>11</v>
      </c>
      <c r="D16" s="1">
        <v>2018</v>
      </c>
      <c r="E16" s="8">
        <v>1.5</v>
      </c>
      <c r="F16" s="1" t="s">
        <v>123</v>
      </c>
      <c r="G16" s="1">
        <v>1.5</v>
      </c>
      <c r="H16" s="1" t="s">
        <v>124</v>
      </c>
      <c r="I16" s="1" t="s">
        <v>24</v>
      </c>
    </row>
    <row r="17" spans="1:9" ht="15" customHeight="1">
      <c r="A17" s="1" t="s">
        <v>121</v>
      </c>
      <c r="B17" s="1" t="s">
        <v>128</v>
      </c>
      <c r="C17" s="1" t="s">
        <v>18</v>
      </c>
      <c r="D17" s="1">
        <v>2018</v>
      </c>
      <c r="E17" s="8">
        <v>105000000</v>
      </c>
      <c r="F17" s="1" t="s">
        <v>129</v>
      </c>
      <c r="G17" s="99">
        <v>0.45039634878693252</v>
      </c>
      <c r="H17" s="1" t="s">
        <v>130</v>
      </c>
      <c r="I17" s="1" t="s">
        <v>237</v>
      </c>
    </row>
    <row r="18" spans="1:9">
      <c r="A18" s="1" t="s">
        <v>121</v>
      </c>
      <c r="B18" s="1" t="s">
        <v>128</v>
      </c>
      <c r="C18" s="1" t="s">
        <v>18</v>
      </c>
      <c r="D18" s="1">
        <v>2017</v>
      </c>
      <c r="E18" s="8">
        <v>104619272</v>
      </c>
      <c r="F18" s="1" t="s">
        <v>129</v>
      </c>
      <c r="G18" s="51">
        <v>0.46031614285651429</v>
      </c>
      <c r="H18" s="1" t="s">
        <v>130</v>
      </c>
      <c r="I18" s="1" t="s">
        <v>131</v>
      </c>
    </row>
    <row r="19" spans="1:9">
      <c r="A19" s="1" t="s">
        <v>121</v>
      </c>
      <c r="B19" s="1" t="s">
        <v>128</v>
      </c>
      <c r="C19" s="1" t="s">
        <v>18</v>
      </c>
      <c r="D19" s="1">
        <v>2016</v>
      </c>
      <c r="E19" s="8">
        <v>106376761</v>
      </c>
      <c r="F19" s="1" t="s">
        <v>129</v>
      </c>
      <c r="G19" s="51">
        <v>0.48510733064277084</v>
      </c>
      <c r="H19" s="1" t="s">
        <v>130</v>
      </c>
      <c r="I19" s="1" t="s">
        <v>131</v>
      </c>
    </row>
    <row r="20" spans="1:9" ht="15" customHeight="1">
      <c r="A20" s="1" t="s">
        <v>121</v>
      </c>
      <c r="B20" s="1" t="s">
        <v>128</v>
      </c>
      <c r="C20" s="1" t="s">
        <v>18</v>
      </c>
      <c r="D20" s="1">
        <v>2015</v>
      </c>
      <c r="E20" s="8">
        <v>107913913</v>
      </c>
      <c r="F20" s="1" t="s">
        <v>129</v>
      </c>
      <c r="G20" s="51">
        <v>0.49339066564861761</v>
      </c>
      <c r="H20" s="1" t="s">
        <v>130</v>
      </c>
      <c r="I20" s="1" t="s">
        <v>131</v>
      </c>
    </row>
    <row r="21" spans="1:9" ht="15" customHeight="1">
      <c r="A21" s="1" t="s">
        <v>121</v>
      </c>
      <c r="B21" s="1" t="s">
        <v>128</v>
      </c>
      <c r="C21" s="1" t="s">
        <v>18</v>
      </c>
      <c r="D21" s="1">
        <v>2014</v>
      </c>
      <c r="E21" s="8">
        <v>138347641</v>
      </c>
      <c r="F21" s="1" t="s">
        <v>129</v>
      </c>
      <c r="G21" s="51">
        <v>0.5659154037150208</v>
      </c>
      <c r="H21" s="1" t="s">
        <v>130</v>
      </c>
      <c r="I21" s="1" t="s">
        <v>131</v>
      </c>
    </row>
    <row r="22" spans="1:9">
      <c r="A22" s="1" t="s">
        <v>121</v>
      </c>
      <c r="B22" s="1" t="s">
        <v>128</v>
      </c>
      <c r="C22" s="1" t="s">
        <v>15</v>
      </c>
      <c r="D22" s="1">
        <v>2018</v>
      </c>
      <c r="E22" s="8">
        <v>9700000</v>
      </c>
      <c r="F22" s="1" t="s">
        <v>129</v>
      </c>
      <c r="G22" s="51">
        <v>4.994233462393937E-2</v>
      </c>
      <c r="H22" s="1" t="s">
        <v>130</v>
      </c>
      <c r="I22" s="1" t="s">
        <v>237</v>
      </c>
    </row>
    <row r="23" spans="1:9">
      <c r="A23" s="1" t="s">
        <v>121</v>
      </c>
      <c r="B23" s="1" t="s">
        <v>128</v>
      </c>
      <c r="C23" s="1" t="s">
        <v>15</v>
      </c>
      <c r="D23" s="1">
        <v>2017</v>
      </c>
      <c r="E23" s="8">
        <v>10394551</v>
      </c>
      <c r="F23" s="1" t="s">
        <v>129</v>
      </c>
      <c r="G23" s="51">
        <v>5.3379599215083957E-2</v>
      </c>
      <c r="H23" s="1" t="s">
        <v>130</v>
      </c>
      <c r="I23" s="1" t="s">
        <v>131</v>
      </c>
    </row>
    <row r="24" spans="1:9">
      <c r="A24" s="1" t="s">
        <v>121</v>
      </c>
      <c r="B24" s="1" t="s">
        <v>128</v>
      </c>
      <c r="C24" s="1" t="s">
        <v>15</v>
      </c>
      <c r="D24" s="1">
        <v>2016</v>
      </c>
      <c r="E24" s="8">
        <v>9836775</v>
      </c>
      <c r="F24" s="1" t="s">
        <v>129</v>
      </c>
      <c r="G24" s="51">
        <v>5.2643731945379545E-2</v>
      </c>
      <c r="H24" s="1" t="s">
        <v>130</v>
      </c>
      <c r="I24" s="1" t="s">
        <v>131</v>
      </c>
    </row>
    <row r="25" spans="1:9">
      <c r="A25" s="1" t="s">
        <v>121</v>
      </c>
      <c r="B25" s="1" t="s">
        <v>128</v>
      </c>
      <c r="C25" s="1" t="s">
        <v>15</v>
      </c>
      <c r="D25" s="1">
        <v>2015</v>
      </c>
      <c r="E25" s="8">
        <v>7397355</v>
      </c>
      <c r="F25" s="1" t="s">
        <v>129</v>
      </c>
      <c r="G25" s="51">
        <v>4.1088898163858717E-2</v>
      </c>
      <c r="H25" s="1" t="s">
        <v>130</v>
      </c>
      <c r="I25" s="1" t="s">
        <v>131</v>
      </c>
    </row>
    <row r="26" spans="1:9">
      <c r="A26" s="1" t="s">
        <v>121</v>
      </c>
      <c r="B26" s="1" t="s">
        <v>128</v>
      </c>
      <c r="C26" s="1" t="s">
        <v>15</v>
      </c>
      <c r="D26" s="1">
        <v>2014</v>
      </c>
      <c r="E26" s="8">
        <v>7138620</v>
      </c>
      <c r="F26" s="1" t="s">
        <v>129</v>
      </c>
      <c r="G26" s="51">
        <v>4.0111155370209629E-2</v>
      </c>
      <c r="H26" s="1" t="s">
        <v>130</v>
      </c>
      <c r="I26" s="1" t="s">
        <v>131</v>
      </c>
    </row>
    <row r="27" spans="1:9">
      <c r="A27" s="1" t="s">
        <v>121</v>
      </c>
      <c r="B27" s="1" t="s">
        <v>128</v>
      </c>
      <c r="C27" s="1" t="s">
        <v>11</v>
      </c>
      <c r="D27" s="1">
        <v>2018</v>
      </c>
      <c r="E27" s="8">
        <v>42097424</v>
      </c>
      <c r="F27" s="1" t="s">
        <v>129</v>
      </c>
      <c r="G27" s="51">
        <v>0.21802396199923654</v>
      </c>
      <c r="H27" s="1" t="s">
        <v>130</v>
      </c>
      <c r="I27" s="1" t="s">
        <v>24</v>
      </c>
    </row>
    <row r="28" spans="1:9">
      <c r="A28" s="1" t="s">
        <v>121</v>
      </c>
      <c r="B28" s="1" t="s">
        <v>128</v>
      </c>
      <c r="C28" s="1" t="s">
        <v>11</v>
      </c>
      <c r="D28" s="1">
        <v>2017</v>
      </c>
      <c r="E28" s="8">
        <v>42194852</v>
      </c>
      <c r="F28" s="1" t="s">
        <v>129</v>
      </c>
      <c r="G28" s="51">
        <v>0.22306434646297132</v>
      </c>
      <c r="H28" s="1" t="s">
        <v>130</v>
      </c>
      <c r="I28" s="1" t="s">
        <v>131</v>
      </c>
    </row>
    <row r="29" spans="1:9">
      <c r="A29" s="1" t="s">
        <v>121</v>
      </c>
      <c r="B29" s="1" t="s">
        <v>128</v>
      </c>
      <c r="C29" s="1" t="s">
        <v>11</v>
      </c>
      <c r="D29" s="1">
        <v>2016</v>
      </c>
      <c r="E29" s="8">
        <v>43199657</v>
      </c>
      <c r="F29" s="1" t="s">
        <v>129</v>
      </c>
      <c r="G29" s="51">
        <v>0.22305106948131606</v>
      </c>
      <c r="H29" s="1" t="s">
        <v>130</v>
      </c>
      <c r="I29" s="1" t="s">
        <v>131</v>
      </c>
    </row>
    <row r="30" spans="1:9">
      <c r="A30" s="1" t="s">
        <v>121</v>
      </c>
      <c r="B30" s="1" t="s">
        <v>128</v>
      </c>
      <c r="C30" s="1" t="s">
        <v>11</v>
      </c>
      <c r="D30" s="1">
        <v>2015</v>
      </c>
      <c r="E30" s="8">
        <v>52793763</v>
      </c>
      <c r="F30" s="1" t="s">
        <v>129</v>
      </c>
      <c r="G30" s="51">
        <v>0.26566694081735337</v>
      </c>
      <c r="H30" s="1" t="s">
        <v>130</v>
      </c>
      <c r="I30" s="1" t="s">
        <v>131</v>
      </c>
    </row>
    <row r="31" spans="1:9">
      <c r="A31" s="1" t="s">
        <v>121</v>
      </c>
      <c r="B31" s="1" t="s">
        <v>128</v>
      </c>
      <c r="C31" s="1" t="s">
        <v>11</v>
      </c>
      <c r="D31" s="1">
        <v>2014</v>
      </c>
      <c r="E31" s="8">
        <v>48573857</v>
      </c>
      <c r="F31" s="1" t="s">
        <v>129</v>
      </c>
      <c r="G31" s="163">
        <v>0.26069887329655578</v>
      </c>
      <c r="H31" s="1" t="s">
        <v>130</v>
      </c>
      <c r="I31" s="1" t="s">
        <v>131</v>
      </c>
    </row>
    <row r="32" spans="1:9">
      <c r="A32" s="1" t="s">
        <v>121</v>
      </c>
      <c r="B32" s="1" t="s">
        <v>132</v>
      </c>
      <c r="C32" s="1" t="s">
        <v>18</v>
      </c>
      <c r="D32" s="1">
        <v>2017</v>
      </c>
      <c r="E32" s="8">
        <v>0.15</v>
      </c>
      <c r="F32" s="1" t="s">
        <v>129</v>
      </c>
      <c r="H32" s="1" t="s">
        <v>130</v>
      </c>
      <c r="I32" s="1" t="s">
        <v>131</v>
      </c>
    </row>
    <row r="33" spans="1:9">
      <c r="A33" s="1" t="s">
        <v>121</v>
      </c>
      <c r="B33" s="1" t="s">
        <v>132</v>
      </c>
      <c r="C33" s="1" t="s">
        <v>18</v>
      </c>
      <c r="D33" s="1">
        <v>2016</v>
      </c>
      <c r="E33" s="8">
        <v>0.17</v>
      </c>
      <c r="F33" s="1" t="s">
        <v>129</v>
      </c>
      <c r="H33" s="1" t="s">
        <v>130</v>
      </c>
      <c r="I33" s="1" t="s">
        <v>131</v>
      </c>
    </row>
    <row r="34" spans="1:9">
      <c r="A34" s="1" t="s">
        <v>121</v>
      </c>
      <c r="B34" s="1" t="s">
        <v>132</v>
      </c>
      <c r="C34" s="1" t="s">
        <v>18</v>
      </c>
      <c r="D34" s="1">
        <v>2015</v>
      </c>
      <c r="E34" s="8">
        <v>0.31</v>
      </c>
      <c r="F34" s="1" t="s">
        <v>129</v>
      </c>
      <c r="H34" s="1" t="s">
        <v>130</v>
      </c>
      <c r="I34" s="1" t="s">
        <v>131</v>
      </c>
    </row>
    <row r="35" spans="1:9" ht="15" customHeight="1">
      <c r="A35" s="1" t="s">
        <v>121</v>
      </c>
      <c r="B35" s="1" t="s">
        <v>132</v>
      </c>
      <c r="C35" s="1" t="s">
        <v>18</v>
      </c>
      <c r="D35" s="1">
        <v>2014</v>
      </c>
      <c r="E35" s="8">
        <v>0.5</v>
      </c>
      <c r="F35" s="1" t="s">
        <v>129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132</v>
      </c>
      <c r="C36" s="1" t="s">
        <v>15</v>
      </c>
      <c r="D36" s="1">
        <v>2017</v>
      </c>
      <c r="E36" s="8">
        <v>0</v>
      </c>
      <c r="F36" s="1" t="s">
        <v>129</v>
      </c>
      <c r="H36" s="1" t="s">
        <v>130</v>
      </c>
      <c r="I36" s="1" t="s">
        <v>131</v>
      </c>
    </row>
    <row r="37" spans="1:9">
      <c r="A37" s="1" t="s">
        <v>121</v>
      </c>
      <c r="B37" s="1" t="s">
        <v>132</v>
      </c>
      <c r="C37" s="1" t="s">
        <v>15</v>
      </c>
      <c r="D37" s="1">
        <v>2016</v>
      </c>
      <c r="E37" s="8">
        <v>0</v>
      </c>
      <c r="F37" s="1" t="s">
        <v>129</v>
      </c>
      <c r="H37" s="1" t="s">
        <v>130</v>
      </c>
      <c r="I37" s="1" t="s">
        <v>131</v>
      </c>
    </row>
    <row r="38" spans="1:9">
      <c r="A38" s="1" t="s">
        <v>121</v>
      </c>
      <c r="B38" s="1" t="s">
        <v>132</v>
      </c>
      <c r="C38" s="1" t="s">
        <v>15</v>
      </c>
      <c r="D38" s="1">
        <v>2015</v>
      </c>
      <c r="E38" s="8">
        <v>0</v>
      </c>
      <c r="F38" s="1" t="s">
        <v>129</v>
      </c>
      <c r="H38" s="1" t="s">
        <v>130</v>
      </c>
      <c r="I38" s="1" t="s">
        <v>131</v>
      </c>
    </row>
    <row r="39" spans="1:9">
      <c r="A39" s="1" t="s">
        <v>121</v>
      </c>
      <c r="B39" s="1" t="s">
        <v>132</v>
      </c>
      <c r="C39" s="1" t="s">
        <v>15</v>
      </c>
      <c r="D39" s="1">
        <v>2014</v>
      </c>
      <c r="E39" s="8">
        <v>0</v>
      </c>
      <c r="F39" s="1" t="s">
        <v>129</v>
      </c>
      <c r="H39" s="1" t="s">
        <v>130</v>
      </c>
      <c r="I39" s="1" t="s">
        <v>131</v>
      </c>
    </row>
    <row r="40" spans="1:9">
      <c r="A40" s="1" t="s">
        <v>121</v>
      </c>
      <c r="B40" s="1" t="s">
        <v>132</v>
      </c>
      <c r="C40" s="1" t="s">
        <v>11</v>
      </c>
      <c r="D40" s="1">
        <v>2017</v>
      </c>
      <c r="E40" s="8">
        <v>0.01</v>
      </c>
      <c r="F40" s="1" t="s">
        <v>129</v>
      </c>
      <c r="H40" s="1" t="s">
        <v>130</v>
      </c>
      <c r="I40" s="1" t="s">
        <v>131</v>
      </c>
    </row>
    <row r="41" spans="1:9">
      <c r="A41" s="1" t="s">
        <v>121</v>
      </c>
      <c r="B41" s="1" t="s">
        <v>132</v>
      </c>
      <c r="C41" s="1" t="s">
        <v>11</v>
      </c>
      <c r="D41" s="1">
        <v>2016</v>
      </c>
      <c r="E41" s="8">
        <v>0.02</v>
      </c>
      <c r="F41" s="1" t="s">
        <v>129</v>
      </c>
      <c r="H41" s="1" t="s">
        <v>130</v>
      </c>
      <c r="I41" s="1" t="s">
        <v>131</v>
      </c>
    </row>
    <row r="42" spans="1:9">
      <c r="A42" s="1" t="s">
        <v>121</v>
      </c>
      <c r="B42" s="1" t="s">
        <v>132</v>
      </c>
      <c r="C42" s="1" t="s">
        <v>11</v>
      </c>
      <c r="D42" s="1">
        <v>2015</v>
      </c>
      <c r="E42" s="8">
        <v>0.3</v>
      </c>
      <c r="F42" s="1" t="s">
        <v>129</v>
      </c>
      <c r="H42" s="1" t="s">
        <v>130</v>
      </c>
      <c r="I42" s="1" t="s">
        <v>131</v>
      </c>
    </row>
    <row r="43" spans="1:9">
      <c r="A43" s="1" t="s">
        <v>121</v>
      </c>
      <c r="B43" s="1" t="s">
        <v>132</v>
      </c>
      <c r="C43" s="1" t="s">
        <v>11</v>
      </c>
      <c r="D43" s="1">
        <v>2014</v>
      </c>
      <c r="E43" s="8">
        <v>0.04</v>
      </c>
      <c r="F43" s="1" t="s">
        <v>129</v>
      </c>
      <c r="H43" s="1" t="s">
        <v>130</v>
      </c>
      <c r="I43" s="1" t="s">
        <v>131</v>
      </c>
    </row>
    <row r="44" spans="1:9">
      <c r="A44" s="1" t="s">
        <v>121</v>
      </c>
      <c r="B44" s="1" t="s">
        <v>133</v>
      </c>
      <c r="C44" s="1" t="s">
        <v>18</v>
      </c>
      <c r="D44" s="1">
        <v>2017</v>
      </c>
      <c r="E44" s="8">
        <v>61022</v>
      </c>
      <c r="F44" s="1" t="s">
        <v>129</v>
      </c>
      <c r="H44" s="1" t="s">
        <v>130</v>
      </c>
      <c r="I44" s="1" t="s">
        <v>131</v>
      </c>
    </row>
    <row r="45" spans="1:9">
      <c r="A45" s="1" t="s">
        <v>121</v>
      </c>
      <c r="B45" s="1" t="s">
        <v>133</v>
      </c>
      <c r="C45" s="1" t="s">
        <v>18</v>
      </c>
      <c r="D45" s="1">
        <v>2016</v>
      </c>
      <c r="E45" s="8">
        <v>72246</v>
      </c>
      <c r="F45" s="1" t="s">
        <v>129</v>
      </c>
      <c r="H45" s="1" t="s">
        <v>130</v>
      </c>
      <c r="I45" s="1" t="s">
        <v>131</v>
      </c>
    </row>
    <row r="46" spans="1:9">
      <c r="A46" s="1" t="s">
        <v>121</v>
      </c>
      <c r="B46" s="1" t="s">
        <v>133</v>
      </c>
      <c r="C46" s="1" t="s">
        <v>18</v>
      </c>
      <c r="D46" s="1">
        <v>2015</v>
      </c>
      <c r="E46" s="8">
        <v>78257</v>
      </c>
      <c r="F46" s="1" t="s">
        <v>129</v>
      </c>
      <c r="H46" s="1" t="s">
        <v>130</v>
      </c>
      <c r="I46" s="1" t="s">
        <v>131</v>
      </c>
    </row>
    <row r="47" spans="1:9">
      <c r="A47" s="1" t="s">
        <v>121</v>
      </c>
      <c r="B47" s="1" t="s">
        <v>133</v>
      </c>
      <c r="C47" s="1" t="s">
        <v>18</v>
      </c>
      <c r="D47" s="1">
        <v>2014</v>
      </c>
      <c r="E47" s="8">
        <v>100852</v>
      </c>
      <c r="F47" s="1" t="s">
        <v>129</v>
      </c>
      <c r="H47" s="1" t="s">
        <v>130</v>
      </c>
      <c r="I47" s="1" t="s">
        <v>131</v>
      </c>
    </row>
    <row r="48" spans="1:9">
      <c r="A48" s="1" t="s">
        <v>121</v>
      </c>
      <c r="B48" s="1" t="s">
        <v>133</v>
      </c>
      <c r="C48" s="1" t="s">
        <v>15</v>
      </c>
      <c r="D48" s="1">
        <v>2017</v>
      </c>
      <c r="E48" s="8">
        <v>1823</v>
      </c>
      <c r="F48" s="1" t="s">
        <v>129</v>
      </c>
      <c r="H48" s="1" t="s">
        <v>130</v>
      </c>
      <c r="I48" s="1" t="s">
        <v>131</v>
      </c>
    </row>
    <row r="49" spans="1:9">
      <c r="A49" s="1" t="s">
        <v>121</v>
      </c>
      <c r="B49" s="1" t="s">
        <v>133</v>
      </c>
      <c r="C49" s="1" t="s">
        <v>15</v>
      </c>
      <c r="D49" s="1">
        <v>2016</v>
      </c>
      <c r="E49" s="8">
        <v>2421</v>
      </c>
      <c r="F49" s="1" t="s">
        <v>129</v>
      </c>
      <c r="H49" s="1" t="s">
        <v>130</v>
      </c>
      <c r="I49" s="1" t="s">
        <v>131</v>
      </c>
    </row>
    <row r="50" spans="1:9" ht="15" customHeight="1">
      <c r="A50" s="1" t="s">
        <v>121</v>
      </c>
      <c r="B50" s="1" t="s">
        <v>133</v>
      </c>
      <c r="C50" s="1" t="s">
        <v>15</v>
      </c>
      <c r="D50" s="1">
        <v>2015</v>
      </c>
      <c r="E50" s="8">
        <v>2356</v>
      </c>
      <c r="F50" s="1" t="s">
        <v>129</v>
      </c>
      <c r="H50" s="1" t="s">
        <v>130</v>
      </c>
      <c r="I50" s="1" t="s">
        <v>131</v>
      </c>
    </row>
    <row r="51" spans="1:9">
      <c r="A51" s="1" t="s">
        <v>121</v>
      </c>
      <c r="B51" s="1" t="s">
        <v>133</v>
      </c>
      <c r="C51" s="1" t="s">
        <v>15</v>
      </c>
      <c r="D51" s="1">
        <v>2014</v>
      </c>
      <c r="E51" s="8">
        <v>2282</v>
      </c>
      <c r="F51" s="1" t="s">
        <v>129</v>
      </c>
      <c r="H51" s="1" t="s">
        <v>130</v>
      </c>
      <c r="I51" s="1" t="s">
        <v>131</v>
      </c>
    </row>
    <row r="52" spans="1:9">
      <c r="A52" s="1" t="s">
        <v>121</v>
      </c>
      <c r="B52" s="1" t="s">
        <v>133</v>
      </c>
      <c r="C52" s="1" t="s">
        <v>11</v>
      </c>
      <c r="D52" s="1">
        <v>2018</v>
      </c>
      <c r="E52" s="8">
        <v>9825</v>
      </c>
      <c r="F52" s="1" t="s">
        <v>129</v>
      </c>
      <c r="H52" s="1" t="s">
        <v>130</v>
      </c>
      <c r="I52" s="1" t="s">
        <v>24</v>
      </c>
    </row>
    <row r="53" spans="1:9">
      <c r="A53" s="1" t="s">
        <v>121</v>
      </c>
      <c r="B53" s="1" t="s">
        <v>133</v>
      </c>
      <c r="C53" s="1" t="s">
        <v>11</v>
      </c>
      <c r="D53" s="1">
        <v>2017</v>
      </c>
      <c r="E53" s="8">
        <v>12407</v>
      </c>
      <c r="F53" s="1" t="s">
        <v>129</v>
      </c>
      <c r="H53" s="1" t="s">
        <v>130</v>
      </c>
      <c r="I53" s="1" t="s">
        <v>131</v>
      </c>
    </row>
    <row r="54" spans="1:9">
      <c r="A54" s="1" t="s">
        <v>121</v>
      </c>
      <c r="B54" s="1" t="s">
        <v>133</v>
      </c>
      <c r="C54" s="1" t="s">
        <v>11</v>
      </c>
      <c r="D54" s="1">
        <v>2016</v>
      </c>
      <c r="E54" s="8">
        <v>13199</v>
      </c>
      <c r="F54" s="1" t="s">
        <v>129</v>
      </c>
      <c r="H54" s="1" t="s">
        <v>130</v>
      </c>
      <c r="I54" s="1" t="s">
        <v>131</v>
      </c>
    </row>
    <row r="55" spans="1:9">
      <c r="A55" s="1" t="s">
        <v>121</v>
      </c>
      <c r="B55" s="1" t="s">
        <v>133</v>
      </c>
      <c r="C55" s="1" t="s">
        <v>11</v>
      </c>
      <c r="D55" s="1">
        <v>2015</v>
      </c>
      <c r="E55" s="8">
        <v>17088</v>
      </c>
      <c r="F55" s="1" t="s">
        <v>129</v>
      </c>
      <c r="H55" s="1" t="s">
        <v>130</v>
      </c>
      <c r="I55" s="1" t="s">
        <v>131</v>
      </c>
    </row>
    <row r="56" spans="1:9">
      <c r="A56" s="1" t="s">
        <v>121</v>
      </c>
      <c r="B56" s="1" t="s">
        <v>133</v>
      </c>
      <c r="C56" s="1" t="s">
        <v>11</v>
      </c>
      <c r="D56" s="1">
        <v>2014</v>
      </c>
      <c r="E56" s="8">
        <v>15681</v>
      </c>
      <c r="F56" s="1" t="s">
        <v>129</v>
      </c>
      <c r="H56" s="1" t="s">
        <v>130</v>
      </c>
      <c r="I56" s="1" t="s">
        <v>131</v>
      </c>
    </row>
    <row r="57" spans="1:9">
      <c r="A57" s="1" t="s">
        <v>121</v>
      </c>
      <c r="B57" s="1" t="s">
        <v>134</v>
      </c>
      <c r="C57" s="1" t="s">
        <v>18</v>
      </c>
      <c r="D57" s="1">
        <v>2017</v>
      </c>
      <c r="E57" s="8">
        <v>47661</v>
      </c>
      <c r="F57" s="1" t="s">
        <v>129</v>
      </c>
      <c r="H57" s="1" t="s">
        <v>130</v>
      </c>
      <c r="I57" s="1" t="s">
        <v>131</v>
      </c>
    </row>
    <row r="58" spans="1:9">
      <c r="A58" s="1" t="s">
        <v>121</v>
      </c>
      <c r="B58" s="1" t="s">
        <v>134</v>
      </c>
      <c r="C58" s="1" t="s">
        <v>18</v>
      </c>
      <c r="D58" s="1">
        <v>2016</v>
      </c>
      <c r="E58" s="8">
        <v>56173</v>
      </c>
      <c r="F58" s="1" t="s">
        <v>129</v>
      </c>
      <c r="H58" s="1" t="s">
        <v>130</v>
      </c>
      <c r="I58" s="1" t="s">
        <v>131</v>
      </c>
    </row>
    <row r="59" spans="1:9">
      <c r="A59" s="1" t="s">
        <v>121</v>
      </c>
      <c r="B59" s="1" t="s">
        <v>134</v>
      </c>
      <c r="C59" s="1" t="s">
        <v>18</v>
      </c>
      <c r="D59" s="1">
        <v>2015</v>
      </c>
      <c r="E59" s="8">
        <v>101918</v>
      </c>
      <c r="F59" s="1" t="s">
        <v>129</v>
      </c>
      <c r="H59" s="1" t="s">
        <v>130</v>
      </c>
      <c r="I59" s="1" t="s">
        <v>131</v>
      </c>
    </row>
    <row r="60" spans="1:9">
      <c r="A60" s="1" t="s">
        <v>121</v>
      </c>
      <c r="B60" s="1" t="s">
        <v>134</v>
      </c>
      <c r="C60" s="1" t="s">
        <v>18</v>
      </c>
      <c r="D60" s="1">
        <v>2014</v>
      </c>
      <c r="E60" s="8">
        <v>164089</v>
      </c>
      <c r="F60" s="1" t="s">
        <v>129</v>
      </c>
      <c r="H60" s="1" t="s">
        <v>130</v>
      </c>
      <c r="I60" s="1" t="s">
        <v>131</v>
      </c>
    </row>
    <row r="61" spans="1:9">
      <c r="A61" s="1" t="s">
        <v>121</v>
      </c>
      <c r="B61" s="1" t="s">
        <v>134</v>
      </c>
      <c r="C61" s="1" t="s">
        <v>15</v>
      </c>
      <c r="D61" s="1">
        <v>2017</v>
      </c>
      <c r="E61" s="8">
        <v>559</v>
      </c>
      <c r="F61" s="1" t="s">
        <v>129</v>
      </c>
      <c r="H61" s="1" t="s">
        <v>130</v>
      </c>
      <c r="I61" s="1" t="s">
        <v>131</v>
      </c>
    </row>
    <row r="62" spans="1:9">
      <c r="A62" s="1" t="s">
        <v>121</v>
      </c>
      <c r="B62" s="1" t="s">
        <v>134</v>
      </c>
      <c r="C62" s="1" t="s">
        <v>15</v>
      </c>
      <c r="D62" s="1">
        <v>2016</v>
      </c>
      <c r="E62" s="8">
        <v>1095</v>
      </c>
      <c r="F62" s="1" t="s">
        <v>129</v>
      </c>
      <c r="H62" s="1" t="s">
        <v>130</v>
      </c>
      <c r="I62" s="1" t="s">
        <v>131</v>
      </c>
    </row>
    <row r="63" spans="1:9">
      <c r="A63" s="1" t="s">
        <v>121</v>
      </c>
      <c r="B63" s="1" t="s">
        <v>134</v>
      </c>
      <c r="C63" s="1" t="s">
        <v>15</v>
      </c>
      <c r="D63" s="1">
        <v>2015</v>
      </c>
      <c r="E63" s="8">
        <v>1317</v>
      </c>
      <c r="F63" s="1" t="s">
        <v>129</v>
      </c>
      <c r="H63" s="1" t="s">
        <v>130</v>
      </c>
      <c r="I63" s="1" t="s">
        <v>131</v>
      </c>
    </row>
    <row r="64" spans="1:9">
      <c r="A64" s="1" t="s">
        <v>121</v>
      </c>
      <c r="B64" s="1" t="s">
        <v>134</v>
      </c>
      <c r="C64" s="1" t="s">
        <v>15</v>
      </c>
      <c r="D64" s="1">
        <v>2014</v>
      </c>
      <c r="E64" s="8">
        <v>1812</v>
      </c>
      <c r="F64" s="1" t="s">
        <v>129</v>
      </c>
      <c r="H64" s="1" t="s">
        <v>130</v>
      </c>
      <c r="I64" s="1" t="s">
        <v>131</v>
      </c>
    </row>
    <row r="65" spans="1:9">
      <c r="A65" s="1" t="s">
        <v>121</v>
      </c>
      <c r="B65" s="1" t="s">
        <v>134</v>
      </c>
      <c r="C65" s="1" t="s">
        <v>11</v>
      </c>
      <c r="D65" s="1">
        <v>2018</v>
      </c>
      <c r="E65" s="8">
        <v>1907</v>
      </c>
      <c r="F65" s="1" t="s">
        <v>129</v>
      </c>
      <c r="H65" s="1" t="s">
        <v>130</v>
      </c>
      <c r="I65" s="1" t="s">
        <v>24</v>
      </c>
    </row>
    <row r="66" spans="1:9">
      <c r="A66" s="1" t="s">
        <v>121</v>
      </c>
      <c r="B66" s="1" t="s">
        <v>134</v>
      </c>
      <c r="C66" s="1" t="s">
        <v>11</v>
      </c>
      <c r="D66" s="1">
        <v>2017</v>
      </c>
      <c r="E66" s="8">
        <v>2401</v>
      </c>
      <c r="F66" s="1" t="s">
        <v>129</v>
      </c>
      <c r="H66" s="1" t="s">
        <v>130</v>
      </c>
      <c r="I66" s="1" t="s">
        <v>131</v>
      </c>
    </row>
    <row r="67" spans="1:9">
      <c r="A67" s="1" t="s">
        <v>121</v>
      </c>
      <c r="B67" s="1" t="s">
        <v>134</v>
      </c>
      <c r="C67" s="1" t="s">
        <v>11</v>
      </c>
      <c r="D67" s="1">
        <v>2016</v>
      </c>
      <c r="E67" s="8">
        <v>3682</v>
      </c>
      <c r="F67" s="1" t="s">
        <v>129</v>
      </c>
      <c r="H67" s="1" t="s">
        <v>130</v>
      </c>
      <c r="I67" s="1" t="s">
        <v>131</v>
      </c>
    </row>
    <row r="68" spans="1:9">
      <c r="A68" s="1" t="s">
        <v>121</v>
      </c>
      <c r="B68" s="1" t="s">
        <v>134</v>
      </c>
      <c r="C68" s="1" t="s">
        <v>11</v>
      </c>
      <c r="D68" s="1">
        <v>2015</v>
      </c>
      <c r="E68" s="8">
        <v>4742</v>
      </c>
      <c r="F68" s="1" t="s">
        <v>129</v>
      </c>
      <c r="H68" s="1" t="s">
        <v>130</v>
      </c>
      <c r="I68" s="1" t="s">
        <v>131</v>
      </c>
    </row>
    <row r="69" spans="1:9">
      <c r="A69" s="1" t="s">
        <v>121</v>
      </c>
      <c r="B69" s="1" t="s">
        <v>134</v>
      </c>
      <c r="C69" s="1" t="s">
        <v>11</v>
      </c>
      <c r="D69" s="1">
        <v>2014</v>
      </c>
      <c r="E69" s="8">
        <v>7116</v>
      </c>
      <c r="F69" s="1" t="s">
        <v>129</v>
      </c>
      <c r="H69" s="1" t="s">
        <v>130</v>
      </c>
      <c r="I69" s="1" t="s">
        <v>131</v>
      </c>
    </row>
    <row r="70" spans="1:9">
      <c r="A70" s="1" t="s">
        <v>135</v>
      </c>
      <c r="B70" s="1" t="s">
        <v>136</v>
      </c>
      <c r="C70" s="1" t="s">
        <v>11</v>
      </c>
      <c r="D70" s="1">
        <v>2014</v>
      </c>
      <c r="E70" s="8">
        <v>0</v>
      </c>
      <c r="F70" s="1" t="s">
        <v>137</v>
      </c>
      <c r="G70" s="99">
        <v>0</v>
      </c>
      <c r="H70" s="1" t="s">
        <v>238</v>
      </c>
      <c r="I70" s="1" t="s">
        <v>24</v>
      </c>
    </row>
    <row r="71" spans="1:9">
      <c r="A71" s="1" t="s">
        <v>135</v>
      </c>
      <c r="B71" s="1" t="s">
        <v>136</v>
      </c>
      <c r="C71" s="1" t="s">
        <v>11</v>
      </c>
      <c r="D71" s="1">
        <v>2015</v>
      </c>
      <c r="E71" s="8">
        <v>2</v>
      </c>
      <c r="F71" s="1" t="s">
        <v>137</v>
      </c>
      <c r="G71" s="99">
        <v>1.0064330546672847E-2</v>
      </c>
      <c r="H71" s="1" t="s">
        <v>238</v>
      </c>
      <c r="I71" s="1" t="s">
        <v>24</v>
      </c>
    </row>
    <row r="72" spans="1:9">
      <c r="A72" s="1" t="s">
        <v>135</v>
      </c>
      <c r="B72" s="1" t="s">
        <v>136</v>
      </c>
      <c r="C72" s="1" t="s">
        <v>11</v>
      </c>
      <c r="D72" s="1">
        <v>2016</v>
      </c>
      <c r="E72" s="8">
        <v>0</v>
      </c>
      <c r="F72" s="1" t="s">
        <v>137</v>
      </c>
      <c r="G72" s="99">
        <v>0</v>
      </c>
      <c r="H72" s="1" t="s">
        <v>238</v>
      </c>
      <c r="I72" s="1" t="s">
        <v>24</v>
      </c>
    </row>
    <row r="73" spans="1:9" ht="15" customHeight="1">
      <c r="A73" s="1" t="s">
        <v>135</v>
      </c>
      <c r="B73" s="1" t="s">
        <v>136</v>
      </c>
      <c r="C73" s="1" t="s">
        <v>11</v>
      </c>
      <c r="D73" s="1">
        <v>2017</v>
      </c>
      <c r="E73" s="8">
        <v>1</v>
      </c>
      <c r="F73" s="1" t="s">
        <v>137</v>
      </c>
      <c r="G73" s="99">
        <v>5.2865298938119592E-3</v>
      </c>
      <c r="H73" s="1" t="s">
        <v>238</v>
      </c>
      <c r="I73" s="1" t="s">
        <v>24</v>
      </c>
    </row>
    <row r="74" spans="1:9">
      <c r="A74" s="1" t="s">
        <v>135</v>
      </c>
      <c r="B74" s="1" t="s">
        <v>136</v>
      </c>
      <c r="C74" s="1" t="s">
        <v>11</v>
      </c>
      <c r="D74" s="1">
        <v>2018</v>
      </c>
      <c r="E74" s="8">
        <v>0</v>
      </c>
      <c r="F74" s="1" t="s">
        <v>137</v>
      </c>
      <c r="G74" s="99">
        <v>0</v>
      </c>
      <c r="H74" s="1" t="s">
        <v>238</v>
      </c>
      <c r="I74" s="1" t="s">
        <v>24</v>
      </c>
    </row>
    <row r="75" spans="1:9">
      <c r="A75" s="1" t="s">
        <v>135</v>
      </c>
      <c r="B75" s="1" t="s">
        <v>136</v>
      </c>
      <c r="C75" s="1" t="s">
        <v>15</v>
      </c>
      <c r="D75" s="1">
        <v>2014</v>
      </c>
      <c r="E75" s="8">
        <v>592</v>
      </c>
      <c r="F75" s="1" t="s">
        <v>137</v>
      </c>
      <c r="G75" s="99">
        <v>3.3263857691212166</v>
      </c>
      <c r="H75" s="1" t="s">
        <v>238</v>
      </c>
      <c r="I75" s="1" t="s">
        <v>17</v>
      </c>
    </row>
    <row r="76" spans="1:9">
      <c r="A76" s="1" t="s">
        <v>135</v>
      </c>
      <c r="B76" s="1" t="s">
        <v>136</v>
      </c>
      <c r="C76" s="1" t="s">
        <v>15</v>
      </c>
      <c r="D76" s="1">
        <v>2015</v>
      </c>
      <c r="E76" s="8">
        <v>726</v>
      </c>
      <c r="F76" s="1" t="s">
        <v>137</v>
      </c>
      <c r="G76" s="99">
        <v>4.0325954435012825</v>
      </c>
      <c r="H76" s="1" t="s">
        <v>238</v>
      </c>
      <c r="I76" s="1" t="s">
        <v>17</v>
      </c>
    </row>
    <row r="77" spans="1:9">
      <c r="A77" s="1" t="s">
        <v>135</v>
      </c>
      <c r="B77" s="1" t="s">
        <v>136</v>
      </c>
      <c r="C77" s="1" t="s">
        <v>15</v>
      </c>
      <c r="D77" s="1">
        <v>2016</v>
      </c>
      <c r="E77" s="8">
        <v>777</v>
      </c>
      <c r="F77" s="1" t="s">
        <v>137</v>
      </c>
      <c r="G77" s="99">
        <v>4.1582916882372434</v>
      </c>
      <c r="H77" s="1" t="s">
        <v>238</v>
      </c>
      <c r="I77" s="1" t="s">
        <v>17</v>
      </c>
    </row>
    <row r="78" spans="1:9">
      <c r="A78" s="1" t="s">
        <v>135</v>
      </c>
      <c r="B78" s="1" t="s">
        <v>136</v>
      </c>
      <c r="C78" s="1" t="s">
        <v>15</v>
      </c>
      <c r="D78" s="1">
        <v>2017</v>
      </c>
      <c r="E78" s="8">
        <v>746</v>
      </c>
      <c r="F78" s="1" t="s">
        <v>137</v>
      </c>
      <c r="G78" s="99">
        <v>3.8309669185761495</v>
      </c>
      <c r="H78" s="1" t="s">
        <v>238</v>
      </c>
      <c r="I78" s="1" t="s">
        <v>17</v>
      </c>
    </row>
    <row r="79" spans="1:9">
      <c r="A79" s="1" t="s">
        <v>135</v>
      </c>
      <c r="B79" s="1" t="s">
        <v>136</v>
      </c>
      <c r="C79" s="1" t="s">
        <v>15</v>
      </c>
      <c r="D79" s="1">
        <v>2018</v>
      </c>
      <c r="E79" s="8">
        <v>805</v>
      </c>
      <c r="F79" s="1" t="s">
        <v>137</v>
      </c>
      <c r="G79" s="99">
        <v>4.1446989043578553</v>
      </c>
      <c r="H79" s="1" t="s">
        <v>238</v>
      </c>
      <c r="I79" s="1" t="s">
        <v>17</v>
      </c>
    </row>
    <row r="80" spans="1:9">
      <c r="A80" s="1" t="s">
        <v>135</v>
      </c>
      <c r="B80" s="1" t="s">
        <v>136</v>
      </c>
      <c r="C80" s="1" t="s">
        <v>18</v>
      </c>
      <c r="D80" s="1">
        <v>2014</v>
      </c>
      <c r="E80" s="8">
        <v>26</v>
      </c>
      <c r="F80" s="1" t="s">
        <v>137</v>
      </c>
      <c r="G80" s="99">
        <v>0.10635382280635014</v>
      </c>
      <c r="H80" s="1" t="s">
        <v>238</v>
      </c>
      <c r="I80" s="1" t="s">
        <v>139</v>
      </c>
    </row>
    <row r="81" spans="1:9">
      <c r="A81" s="1" t="s">
        <v>135</v>
      </c>
      <c r="B81" s="1" t="s">
        <v>136</v>
      </c>
      <c r="C81" s="1" t="s">
        <v>18</v>
      </c>
      <c r="D81" s="1">
        <v>2015</v>
      </c>
      <c r="E81" s="8">
        <v>23</v>
      </c>
      <c r="F81" s="1" t="s">
        <v>137</v>
      </c>
      <c r="G81" s="99">
        <v>0.10515775949963195</v>
      </c>
      <c r="H81" s="1" t="s">
        <v>238</v>
      </c>
      <c r="I81" s="1" t="s">
        <v>140</v>
      </c>
    </row>
    <row r="82" spans="1:9">
      <c r="A82" s="1" t="s">
        <v>135</v>
      </c>
      <c r="B82" s="1" t="s">
        <v>136</v>
      </c>
      <c r="C82" s="1" t="s">
        <v>18</v>
      </c>
      <c r="D82" s="1">
        <v>2016</v>
      </c>
      <c r="E82" s="8">
        <v>23</v>
      </c>
      <c r="F82" s="1" t="s">
        <v>137</v>
      </c>
      <c r="G82" s="99">
        <v>0.10488633513464213</v>
      </c>
      <c r="H82" s="1" t="s">
        <v>238</v>
      </c>
      <c r="I82" s="1" t="s">
        <v>141</v>
      </c>
    </row>
    <row r="83" spans="1:9">
      <c r="A83" s="1" t="s">
        <v>135</v>
      </c>
      <c r="B83" s="1" t="s">
        <v>136</v>
      </c>
      <c r="C83" s="1" t="s">
        <v>18</v>
      </c>
      <c r="D83" s="1">
        <v>2017</v>
      </c>
      <c r="E83" s="8">
        <v>18</v>
      </c>
      <c r="F83" s="1" t="s">
        <v>137</v>
      </c>
      <c r="G83" s="99">
        <v>7.9198511067991931E-2</v>
      </c>
      <c r="H83" s="1" t="s">
        <v>238</v>
      </c>
      <c r="I83" s="1" t="s">
        <v>142</v>
      </c>
    </row>
    <row r="84" spans="1:9">
      <c r="A84" s="1" t="s">
        <v>135</v>
      </c>
      <c r="B84" s="1" t="s">
        <v>136</v>
      </c>
      <c r="C84" s="1" t="s">
        <v>18</v>
      </c>
      <c r="D84" s="1">
        <v>2018</v>
      </c>
      <c r="E84" s="8">
        <v>28</v>
      </c>
      <c r="F84" s="1" t="s">
        <v>137</v>
      </c>
      <c r="G84" s="99">
        <v>0.12010569300984868</v>
      </c>
      <c r="H84" s="1" t="s">
        <v>238</v>
      </c>
      <c r="I84" s="1" t="s">
        <v>19</v>
      </c>
    </row>
    <row r="85" spans="1:9">
      <c r="A85" s="1" t="s">
        <v>135</v>
      </c>
      <c r="B85" s="1" t="s">
        <v>143</v>
      </c>
      <c r="C85" s="1" t="s">
        <v>11</v>
      </c>
      <c r="D85" s="1">
        <v>2014</v>
      </c>
      <c r="F85" s="1" t="s">
        <v>129</v>
      </c>
      <c r="G85" s="120">
        <v>0</v>
      </c>
      <c r="H85" s="1" t="s">
        <v>239</v>
      </c>
    </row>
    <row r="86" spans="1:9">
      <c r="A86" s="1" t="s">
        <v>135</v>
      </c>
      <c r="B86" s="1" t="s">
        <v>143</v>
      </c>
      <c r="C86" s="1" t="s">
        <v>11</v>
      </c>
      <c r="D86" s="1">
        <v>2015</v>
      </c>
      <c r="F86" s="1" t="s">
        <v>129</v>
      </c>
      <c r="G86" s="120">
        <v>0</v>
      </c>
      <c r="H86" s="1" t="s">
        <v>239</v>
      </c>
    </row>
    <row r="87" spans="1:9">
      <c r="A87" s="1" t="s">
        <v>135</v>
      </c>
      <c r="B87" s="1" t="s">
        <v>143</v>
      </c>
      <c r="C87" s="1" t="s">
        <v>11</v>
      </c>
      <c r="D87" s="1">
        <v>2016</v>
      </c>
      <c r="F87" s="1" t="s">
        <v>129</v>
      </c>
      <c r="G87" s="120">
        <v>0</v>
      </c>
      <c r="H87" s="1" t="s">
        <v>239</v>
      </c>
    </row>
    <row r="88" spans="1:9">
      <c r="A88" s="1" t="s">
        <v>135</v>
      </c>
      <c r="B88" s="1" t="s">
        <v>143</v>
      </c>
      <c r="C88" s="1" t="s">
        <v>11</v>
      </c>
      <c r="D88" s="1">
        <v>2017</v>
      </c>
      <c r="E88" s="8">
        <v>37207.5</v>
      </c>
      <c r="F88" s="1" t="s">
        <v>129</v>
      </c>
      <c r="G88" s="120">
        <v>196.69856102400846</v>
      </c>
      <c r="H88" s="1" t="s">
        <v>239</v>
      </c>
      <c r="I88" s="1" t="s">
        <v>24</v>
      </c>
    </row>
    <row r="89" spans="1:9">
      <c r="A89" s="1" t="s">
        <v>135</v>
      </c>
      <c r="B89" s="1" t="s">
        <v>143</v>
      </c>
      <c r="C89" s="1" t="s">
        <v>11</v>
      </c>
      <c r="D89" s="1">
        <v>2018</v>
      </c>
      <c r="E89" s="8">
        <v>147153.20000000001</v>
      </c>
      <c r="F89" s="1" t="s">
        <v>129</v>
      </c>
      <c r="G89" s="120">
        <v>762.11132740250468</v>
      </c>
      <c r="H89" s="1" t="s">
        <v>239</v>
      </c>
      <c r="I89" s="1" t="s">
        <v>24</v>
      </c>
    </row>
    <row r="90" spans="1:9">
      <c r="A90" s="1" t="s">
        <v>135</v>
      </c>
      <c r="B90" s="1" t="s">
        <v>143</v>
      </c>
      <c r="C90" s="1" t="s">
        <v>18</v>
      </c>
      <c r="D90" s="1">
        <v>2014</v>
      </c>
      <c r="F90" s="1" t="s">
        <v>129</v>
      </c>
      <c r="G90" s="120">
        <v>0</v>
      </c>
      <c r="H90" s="1" t="s">
        <v>239</v>
      </c>
    </row>
    <row r="91" spans="1:9">
      <c r="A91" s="1" t="s">
        <v>135</v>
      </c>
      <c r="B91" s="1" t="s">
        <v>143</v>
      </c>
      <c r="C91" s="1" t="s">
        <v>18</v>
      </c>
      <c r="D91" s="1">
        <v>2015</v>
      </c>
      <c r="E91" s="8">
        <v>88000</v>
      </c>
      <c r="F91" s="1" t="s">
        <v>129</v>
      </c>
      <c r="G91" s="120">
        <v>402.34273199859183</v>
      </c>
      <c r="H91" s="1" t="s">
        <v>239</v>
      </c>
      <c r="I91" s="1" t="s">
        <v>144</v>
      </c>
    </row>
    <row r="92" spans="1:9">
      <c r="A92" s="1" t="s">
        <v>135</v>
      </c>
      <c r="B92" s="1" t="s">
        <v>143</v>
      </c>
      <c r="C92" s="1" t="s">
        <v>18</v>
      </c>
      <c r="D92" s="1">
        <v>2016</v>
      </c>
      <c r="E92" s="8">
        <v>102000</v>
      </c>
      <c r="F92" s="1" t="s">
        <v>129</v>
      </c>
      <c r="G92" s="120">
        <v>465.14809494493466</v>
      </c>
      <c r="H92" s="1" t="s">
        <v>239</v>
      </c>
      <c r="I92" s="1" t="s">
        <v>144</v>
      </c>
    </row>
    <row r="93" spans="1:9">
      <c r="A93" s="1" t="s">
        <v>135</v>
      </c>
      <c r="B93" s="1" t="s">
        <v>143</v>
      </c>
      <c r="C93" s="1" t="s">
        <v>18</v>
      </c>
      <c r="D93" s="1">
        <v>2017</v>
      </c>
      <c r="E93" s="8">
        <v>109000</v>
      </c>
      <c r="F93" s="1" t="s">
        <v>129</v>
      </c>
      <c r="G93" s="120">
        <v>479.59098368950669</v>
      </c>
      <c r="H93" s="1" t="s">
        <v>239</v>
      </c>
      <c r="I93" s="1" t="s">
        <v>144</v>
      </c>
    </row>
    <row r="94" spans="1:9">
      <c r="A94" s="1" t="s">
        <v>135</v>
      </c>
      <c r="B94" s="1" t="s">
        <v>143</v>
      </c>
      <c r="C94" s="1" t="s">
        <v>18</v>
      </c>
      <c r="D94" s="1">
        <v>2018</v>
      </c>
      <c r="E94" s="8">
        <v>104000</v>
      </c>
      <c r="F94" s="1" t="s">
        <v>129</v>
      </c>
      <c r="G94" s="120">
        <v>446.10685975086648</v>
      </c>
      <c r="H94" s="1" t="s">
        <v>239</v>
      </c>
      <c r="I94" s="1" t="s">
        <v>144</v>
      </c>
    </row>
    <row r="95" spans="1:9">
      <c r="A95" s="1" t="s">
        <v>135</v>
      </c>
      <c r="B95" s="1" t="s">
        <v>143</v>
      </c>
      <c r="C95" s="1" t="s">
        <v>15</v>
      </c>
      <c r="D95" s="1">
        <v>2014</v>
      </c>
      <c r="F95" s="1" t="s">
        <v>129</v>
      </c>
      <c r="G95" s="120">
        <v>0</v>
      </c>
      <c r="H95" s="1" t="s">
        <v>239</v>
      </c>
    </row>
    <row r="96" spans="1:9">
      <c r="A96" s="1" t="s">
        <v>135</v>
      </c>
      <c r="B96" s="1" t="s">
        <v>143</v>
      </c>
      <c r="C96" s="1" t="s">
        <v>15</v>
      </c>
      <c r="D96" s="1">
        <v>2015</v>
      </c>
      <c r="F96" s="1" t="s">
        <v>129</v>
      </c>
      <c r="G96" s="120">
        <v>0</v>
      </c>
      <c r="H96" s="1" t="s">
        <v>239</v>
      </c>
    </row>
    <row r="97" spans="1:9" ht="15" customHeight="1">
      <c r="A97" s="1" t="s">
        <v>135</v>
      </c>
      <c r="B97" s="1" t="s">
        <v>143</v>
      </c>
      <c r="C97" s="1" t="s">
        <v>15</v>
      </c>
      <c r="D97" s="1">
        <v>2016</v>
      </c>
      <c r="E97" s="8">
        <v>104000</v>
      </c>
      <c r="F97" s="1" t="s">
        <v>129</v>
      </c>
      <c r="G97" s="86">
        <v>556.57958246676105</v>
      </c>
      <c r="H97" s="1" t="s">
        <v>239</v>
      </c>
    </row>
    <row r="98" spans="1:9">
      <c r="A98" s="1" t="s">
        <v>135</v>
      </c>
      <c r="B98" s="1" t="s">
        <v>143</v>
      </c>
      <c r="C98" s="1" t="s">
        <v>15</v>
      </c>
      <c r="D98" s="1">
        <v>2017</v>
      </c>
      <c r="E98" s="8">
        <v>90000</v>
      </c>
      <c r="F98" s="1" t="s">
        <v>129</v>
      </c>
      <c r="G98" s="86">
        <v>462.18099553867756</v>
      </c>
      <c r="H98" s="1" t="s">
        <v>239</v>
      </c>
    </row>
    <row r="99" spans="1:9" ht="15" customHeight="1">
      <c r="A99" s="1" t="s">
        <v>135</v>
      </c>
      <c r="B99" s="1" t="s">
        <v>143</v>
      </c>
      <c r="C99" s="1" t="s">
        <v>15</v>
      </c>
      <c r="D99" s="1">
        <v>2018</v>
      </c>
      <c r="E99" s="8">
        <v>112000</v>
      </c>
      <c r="F99" s="1" t="s">
        <v>129</v>
      </c>
      <c r="G99" s="86">
        <v>576.65376060631024</v>
      </c>
      <c r="H99" s="1" t="s">
        <v>239</v>
      </c>
    </row>
    <row r="100" spans="1:9">
      <c r="A100" s="1" t="s">
        <v>135</v>
      </c>
      <c r="B100" s="1" t="s">
        <v>145</v>
      </c>
      <c r="C100" s="1" t="s">
        <v>11</v>
      </c>
      <c r="D100" s="1">
        <v>2014</v>
      </c>
      <c r="F100" s="1" t="s">
        <v>129</v>
      </c>
      <c r="G100" s="120">
        <v>0</v>
      </c>
      <c r="H100" s="1" t="s">
        <v>239</v>
      </c>
    </row>
    <row r="101" spans="1:9">
      <c r="A101" s="1" t="s">
        <v>135</v>
      </c>
      <c r="B101" s="1" t="s">
        <v>145</v>
      </c>
      <c r="C101" s="1" t="s">
        <v>11</v>
      </c>
      <c r="D101" s="1">
        <v>2015</v>
      </c>
      <c r="F101" s="1" t="s">
        <v>129</v>
      </c>
      <c r="G101" s="120">
        <v>0</v>
      </c>
      <c r="H101" s="1" t="s">
        <v>239</v>
      </c>
    </row>
    <row r="102" spans="1:9">
      <c r="A102" s="1" t="s">
        <v>135</v>
      </c>
      <c r="B102" s="1" t="s">
        <v>145</v>
      </c>
      <c r="C102" s="1" t="s">
        <v>11</v>
      </c>
      <c r="D102" s="1">
        <v>2016</v>
      </c>
      <c r="F102" s="1" t="s">
        <v>129</v>
      </c>
      <c r="G102" s="120">
        <v>0</v>
      </c>
      <c r="H102" s="1" t="s">
        <v>239</v>
      </c>
    </row>
    <row r="103" spans="1:9">
      <c r="A103" s="1" t="s">
        <v>135</v>
      </c>
      <c r="B103" s="1" t="s">
        <v>145</v>
      </c>
      <c r="C103" s="1" t="s">
        <v>11</v>
      </c>
      <c r="D103" s="1">
        <v>2017</v>
      </c>
      <c r="E103" s="8">
        <v>105.2</v>
      </c>
      <c r="F103" s="1" t="s">
        <v>129</v>
      </c>
      <c r="G103" s="120">
        <v>0.55614294482901805</v>
      </c>
      <c r="H103" s="1" t="s">
        <v>239</v>
      </c>
      <c r="I103" s="1" t="s">
        <v>24</v>
      </c>
    </row>
    <row r="104" spans="1:9">
      <c r="A104" s="1" t="s">
        <v>135</v>
      </c>
      <c r="B104" s="1" t="s">
        <v>145</v>
      </c>
      <c r="C104" s="1" t="s">
        <v>11</v>
      </c>
      <c r="D104" s="1">
        <v>2018</v>
      </c>
      <c r="E104" s="8">
        <v>222.2</v>
      </c>
      <c r="F104" s="1" t="s">
        <v>129</v>
      </c>
      <c r="G104" s="120">
        <v>1.1507812059053864</v>
      </c>
      <c r="H104" s="1" t="s">
        <v>239</v>
      </c>
      <c r="I104" s="1" t="s">
        <v>24</v>
      </c>
    </row>
    <row r="105" spans="1:9">
      <c r="A105" s="1" t="s">
        <v>135</v>
      </c>
      <c r="B105" s="1" t="s">
        <v>145</v>
      </c>
      <c r="C105" s="1" t="s">
        <v>18</v>
      </c>
      <c r="D105" s="1">
        <v>2014</v>
      </c>
      <c r="F105" s="1" t="s">
        <v>129</v>
      </c>
      <c r="G105" s="120">
        <v>0</v>
      </c>
      <c r="H105" s="1" t="s">
        <v>239</v>
      </c>
    </row>
    <row r="106" spans="1:9">
      <c r="A106" s="1" t="s">
        <v>135</v>
      </c>
      <c r="B106" s="1" t="s">
        <v>145</v>
      </c>
      <c r="C106" s="1" t="s">
        <v>18</v>
      </c>
      <c r="D106" s="1">
        <v>2015</v>
      </c>
      <c r="E106" s="8">
        <v>317</v>
      </c>
      <c r="F106" s="1" t="s">
        <v>129</v>
      </c>
      <c r="G106" s="120">
        <v>1.4493482504949273</v>
      </c>
      <c r="H106" s="1" t="s">
        <v>239</v>
      </c>
      <c r="I106" s="1" t="s">
        <v>144</v>
      </c>
    </row>
    <row r="107" spans="1:9">
      <c r="A107" s="1" t="s">
        <v>135</v>
      </c>
      <c r="B107" s="1" t="s">
        <v>145</v>
      </c>
      <c r="C107" s="1" t="s">
        <v>18</v>
      </c>
      <c r="D107" s="1">
        <v>2016</v>
      </c>
      <c r="E107" s="8">
        <v>1195</v>
      </c>
      <c r="F107" s="1" t="s">
        <v>129</v>
      </c>
      <c r="G107" s="120">
        <v>5.4495291515607542</v>
      </c>
      <c r="H107" s="1" t="s">
        <v>239</v>
      </c>
      <c r="I107" s="1" t="s">
        <v>144</v>
      </c>
    </row>
    <row r="108" spans="1:9">
      <c r="A108" s="1" t="s">
        <v>135</v>
      </c>
      <c r="B108" s="1" t="s">
        <v>145</v>
      </c>
      <c r="C108" s="1" t="s">
        <v>18</v>
      </c>
      <c r="D108" s="1">
        <v>2017</v>
      </c>
      <c r="E108" s="8">
        <v>126</v>
      </c>
      <c r="F108" s="1" t="s">
        <v>129</v>
      </c>
      <c r="G108" s="120">
        <v>0.55438957747594353</v>
      </c>
      <c r="H108" s="1" t="s">
        <v>239</v>
      </c>
      <c r="I108" s="1" t="s">
        <v>144</v>
      </c>
    </row>
    <row r="109" spans="1:9">
      <c r="A109" s="1" t="s">
        <v>135</v>
      </c>
      <c r="B109" s="1" t="s">
        <v>145</v>
      </c>
      <c r="C109" s="1" t="s">
        <v>18</v>
      </c>
      <c r="D109" s="1">
        <v>2018</v>
      </c>
      <c r="E109" s="8">
        <v>281</v>
      </c>
      <c r="F109" s="1" t="s">
        <v>129</v>
      </c>
      <c r="G109" s="120">
        <v>1.2053464191345529</v>
      </c>
      <c r="H109" s="1" t="s">
        <v>239</v>
      </c>
      <c r="I109" s="1" t="s">
        <v>144</v>
      </c>
    </row>
    <row r="110" spans="1:9">
      <c r="A110" s="1" t="s">
        <v>135</v>
      </c>
      <c r="B110" s="1" t="s">
        <v>145</v>
      </c>
      <c r="C110" s="1" t="s">
        <v>15</v>
      </c>
      <c r="D110" s="1">
        <v>2014</v>
      </c>
      <c r="F110" s="1" t="s">
        <v>129</v>
      </c>
      <c r="G110" s="120">
        <v>0</v>
      </c>
      <c r="H110" s="1" t="s">
        <v>239</v>
      </c>
    </row>
    <row r="111" spans="1:9">
      <c r="A111" s="1" t="s">
        <v>135</v>
      </c>
      <c r="B111" s="1" t="s">
        <v>145</v>
      </c>
      <c r="C111" s="1" t="s">
        <v>15</v>
      </c>
      <c r="D111" s="1">
        <v>2015</v>
      </c>
      <c r="F111" s="1" t="s">
        <v>129</v>
      </c>
      <c r="G111" s="120">
        <v>0</v>
      </c>
      <c r="H111" s="1" t="s">
        <v>239</v>
      </c>
    </row>
    <row r="112" spans="1:9">
      <c r="A112" s="1" t="s">
        <v>135</v>
      </c>
      <c r="B112" s="1" t="s">
        <v>145</v>
      </c>
      <c r="C112" s="1" t="s">
        <v>15</v>
      </c>
      <c r="D112" s="1">
        <v>2016</v>
      </c>
      <c r="E112" s="8">
        <v>3668</v>
      </c>
      <c r="F112" s="1" t="s">
        <v>129</v>
      </c>
      <c r="G112" s="120">
        <v>19.630133735462302</v>
      </c>
      <c r="H112" s="1" t="s">
        <v>239</v>
      </c>
      <c r="I112" s="1" t="s">
        <v>146</v>
      </c>
    </row>
    <row r="113" spans="1:9">
      <c r="A113" s="1" t="s">
        <v>135</v>
      </c>
      <c r="B113" s="1" t="s">
        <v>145</v>
      </c>
      <c r="C113" s="1" t="s">
        <v>15</v>
      </c>
      <c r="D113" s="1">
        <v>2017</v>
      </c>
      <c r="E113" s="8">
        <v>854</v>
      </c>
      <c r="F113" s="1" t="s">
        <v>129</v>
      </c>
      <c r="G113" s="120">
        <v>4.3855841132225626</v>
      </c>
      <c r="H113" s="1" t="s">
        <v>239</v>
      </c>
      <c r="I113" s="1" t="s">
        <v>146</v>
      </c>
    </row>
    <row r="114" spans="1:9">
      <c r="A114" s="1" t="s">
        <v>135</v>
      </c>
      <c r="B114" s="1" t="s">
        <v>145</v>
      </c>
      <c r="C114" s="1" t="s">
        <v>15</v>
      </c>
      <c r="D114" s="1">
        <v>2018</v>
      </c>
      <c r="E114" s="8">
        <v>1460</v>
      </c>
      <c r="F114" s="1" t="s">
        <v>129</v>
      </c>
      <c r="G114" s="120">
        <v>7.517093665046545</v>
      </c>
      <c r="H114" s="1" t="s">
        <v>239</v>
      </c>
      <c r="I114" s="1" t="s">
        <v>146</v>
      </c>
    </row>
    <row r="115" spans="1:9">
      <c r="A115" s="1" t="s">
        <v>147</v>
      </c>
      <c r="B115" s="1" t="s">
        <v>148</v>
      </c>
      <c r="C115" s="1" t="s">
        <v>11</v>
      </c>
      <c r="D115" s="1">
        <v>2014</v>
      </c>
      <c r="E115" s="8">
        <v>1752000000000</v>
      </c>
      <c r="F115" s="1" t="s">
        <v>149</v>
      </c>
      <c r="G115" s="86">
        <v>9403.0915851620703</v>
      </c>
      <c r="H115" s="1" t="s">
        <v>150</v>
      </c>
      <c r="I115" s="1" t="s">
        <v>24</v>
      </c>
    </row>
    <row r="116" spans="1:9">
      <c r="A116" s="1" t="s">
        <v>147</v>
      </c>
      <c r="B116" s="1" t="s">
        <v>148</v>
      </c>
      <c r="C116" s="1" t="s">
        <v>11</v>
      </c>
      <c r="D116" s="1">
        <v>2015</v>
      </c>
      <c r="E116" s="8">
        <v>1857000000000</v>
      </c>
      <c r="F116" s="1" t="s">
        <v>149</v>
      </c>
      <c r="G116" s="156">
        <v>9344.7309125857391</v>
      </c>
      <c r="H116" s="1" t="s">
        <v>150</v>
      </c>
      <c r="I116" s="1" t="s">
        <v>24</v>
      </c>
    </row>
    <row r="117" spans="1:9">
      <c r="A117" s="1" t="s">
        <v>147</v>
      </c>
      <c r="B117" s="1" t="s">
        <v>148</v>
      </c>
      <c r="C117" s="1" t="s">
        <v>11</v>
      </c>
      <c r="D117" s="1">
        <v>2016</v>
      </c>
      <c r="E117" s="8">
        <v>1960000000000</v>
      </c>
      <c r="F117" s="1" t="s">
        <v>149</v>
      </c>
      <c r="G117" s="156">
        <v>10119.989984720933</v>
      </c>
      <c r="H117" s="1" t="s">
        <v>150</v>
      </c>
      <c r="I117" s="1" t="s">
        <v>24</v>
      </c>
    </row>
    <row r="118" spans="1:9">
      <c r="A118" s="1" t="s">
        <v>147</v>
      </c>
      <c r="B118" s="1" t="s">
        <v>148</v>
      </c>
      <c r="C118" s="1" t="s">
        <v>11</v>
      </c>
      <c r="D118" s="1">
        <v>2017</v>
      </c>
      <c r="E118" s="8">
        <v>2025000000000</v>
      </c>
      <c r="F118" s="1" t="s">
        <v>149</v>
      </c>
      <c r="G118" s="156">
        <v>10705.223034969216</v>
      </c>
      <c r="H118" s="1" t="s">
        <v>150</v>
      </c>
      <c r="I118" s="1" t="s">
        <v>24</v>
      </c>
    </row>
    <row r="119" spans="1:9">
      <c r="A119" s="1" t="s">
        <v>147</v>
      </c>
      <c r="B119" s="1" t="s">
        <v>148</v>
      </c>
      <c r="C119" s="1" t="s">
        <v>11</v>
      </c>
      <c r="D119" s="1">
        <v>2018</v>
      </c>
      <c r="E119" s="8">
        <v>1960000000000</v>
      </c>
      <c r="F119" s="1" t="s">
        <v>149</v>
      </c>
      <c r="G119" s="156">
        <v>10150.905326618171</v>
      </c>
      <c r="H119" s="1" t="s">
        <v>150</v>
      </c>
      <c r="I119" s="1" t="s">
        <v>24</v>
      </c>
    </row>
    <row r="120" spans="1:9">
      <c r="A120" s="1" t="s">
        <v>147</v>
      </c>
      <c r="B120" s="1" t="s">
        <v>148</v>
      </c>
      <c r="C120" s="1" t="s">
        <v>15</v>
      </c>
      <c r="D120" s="1">
        <v>2014</v>
      </c>
      <c r="E120" s="8">
        <v>13849574000000</v>
      </c>
      <c r="F120" s="1" t="s">
        <v>149</v>
      </c>
      <c r="G120" s="156">
        <v>77819.300442552718</v>
      </c>
      <c r="H120" s="1" t="s">
        <v>150</v>
      </c>
      <c r="I120" s="1" t="s">
        <v>151</v>
      </c>
    </row>
    <row r="121" spans="1:9">
      <c r="A121" s="1" t="s">
        <v>147</v>
      </c>
      <c r="B121" s="1" t="s">
        <v>148</v>
      </c>
      <c r="C121" s="1" t="s">
        <v>15</v>
      </c>
      <c r="D121" s="1">
        <v>2015</v>
      </c>
      <c r="E121" s="8">
        <v>13440737000000</v>
      </c>
      <c r="F121" s="1" t="s">
        <v>149</v>
      </c>
      <c r="G121" s="156">
        <v>74657.100252753575</v>
      </c>
      <c r="H121" s="1" t="s">
        <v>150</v>
      </c>
      <c r="I121" s="1" t="s">
        <v>152</v>
      </c>
    </row>
    <row r="122" spans="1:9">
      <c r="A122" s="1" t="s">
        <v>147</v>
      </c>
      <c r="B122" s="1" t="s">
        <v>148</v>
      </c>
      <c r="C122" s="1" t="s">
        <v>15</v>
      </c>
      <c r="D122" s="1">
        <v>2016</v>
      </c>
      <c r="E122" s="8">
        <v>13456099000000</v>
      </c>
      <c r="F122" s="1" t="s">
        <v>149</v>
      </c>
      <c r="G122" s="156">
        <v>72013.365029340392</v>
      </c>
      <c r="H122" s="1" t="s">
        <v>150</v>
      </c>
      <c r="I122" s="1" t="s">
        <v>153</v>
      </c>
    </row>
    <row r="123" spans="1:9">
      <c r="A123" s="1" t="s">
        <v>147</v>
      </c>
      <c r="B123" s="1" t="s">
        <v>148</v>
      </c>
      <c r="C123" s="1" t="s">
        <v>15</v>
      </c>
      <c r="D123" s="1">
        <v>2017</v>
      </c>
      <c r="E123" s="8">
        <v>15833678000000</v>
      </c>
      <c r="F123" s="1" t="s">
        <v>149</v>
      </c>
      <c r="G123" s="156">
        <v>81311.38956754285</v>
      </c>
      <c r="H123" s="1" t="s">
        <v>150</v>
      </c>
      <c r="I123" s="1" t="s">
        <v>154</v>
      </c>
    </row>
    <row r="124" spans="1:9">
      <c r="A124" s="1" t="s">
        <v>147</v>
      </c>
      <c r="B124" s="1" t="s">
        <v>148</v>
      </c>
      <c r="C124" s="1" t="s">
        <v>15</v>
      </c>
      <c r="D124" s="1">
        <v>2018</v>
      </c>
      <c r="E124" s="8">
        <v>18986062000000</v>
      </c>
      <c r="F124" s="1" t="s">
        <v>149</v>
      </c>
      <c r="G124" s="156">
        <v>97753.429030397892</v>
      </c>
      <c r="H124" s="1" t="s">
        <v>150</v>
      </c>
      <c r="I124" s="1" t="s">
        <v>23</v>
      </c>
    </row>
    <row r="125" spans="1:9">
      <c r="A125" s="1" t="s">
        <v>147</v>
      </c>
      <c r="B125" s="1" t="s">
        <v>148</v>
      </c>
      <c r="C125" s="1" t="s">
        <v>18</v>
      </c>
      <c r="D125" s="1">
        <v>2014</v>
      </c>
      <c r="E125" s="8">
        <v>5799000000000</v>
      </c>
      <c r="F125" s="1" t="s">
        <v>149</v>
      </c>
      <c r="G125" s="156">
        <v>23720.993017462479</v>
      </c>
      <c r="H125" s="1" t="s">
        <v>150</v>
      </c>
      <c r="I125" s="1" t="s">
        <v>139</v>
      </c>
    </row>
    <row r="126" spans="1:9">
      <c r="A126" s="1" t="s">
        <v>147</v>
      </c>
      <c r="B126" s="1" t="s">
        <v>148</v>
      </c>
      <c r="C126" s="1" t="s">
        <v>18</v>
      </c>
      <c r="D126" s="1">
        <v>2015</v>
      </c>
      <c r="E126" s="8">
        <v>6250000000000</v>
      </c>
      <c r="F126" s="1" t="s">
        <v>149</v>
      </c>
      <c r="G126" s="156">
        <v>28575.478124899986</v>
      </c>
      <c r="H126" s="1" t="s">
        <v>150</v>
      </c>
      <c r="I126" s="1" t="s">
        <v>140</v>
      </c>
    </row>
    <row r="127" spans="1:9">
      <c r="A127" s="1" t="s">
        <v>147</v>
      </c>
      <c r="B127" s="1" t="s">
        <v>148</v>
      </c>
      <c r="C127" s="1" t="s">
        <v>18</v>
      </c>
      <c r="D127" s="1">
        <v>2016</v>
      </c>
      <c r="E127" s="8">
        <v>5341000000000</v>
      </c>
      <c r="F127" s="1" t="s">
        <v>149</v>
      </c>
      <c r="G127" s="156">
        <v>24356.431128440159</v>
      </c>
      <c r="H127" s="1" t="s">
        <v>150</v>
      </c>
      <c r="I127" s="1" t="s">
        <v>141</v>
      </c>
    </row>
    <row r="128" spans="1:9">
      <c r="A128" s="1" t="s">
        <v>147</v>
      </c>
      <c r="B128" s="1" t="s">
        <v>148</v>
      </c>
      <c r="C128" s="1" t="s">
        <v>18</v>
      </c>
      <c r="D128" s="1">
        <v>2017</v>
      </c>
      <c r="E128" s="8">
        <v>5293000000000</v>
      </c>
      <c r="F128" s="1" t="s">
        <v>149</v>
      </c>
      <c r="G128" s="156">
        <v>23288.762171271181</v>
      </c>
      <c r="H128" s="1" t="s">
        <v>150</v>
      </c>
      <c r="I128" s="1" t="s">
        <v>142</v>
      </c>
    </row>
    <row r="129" spans="1:9" s="95" customFormat="1">
      <c r="A129" s="1" t="s">
        <v>147</v>
      </c>
      <c r="B129" s="1" t="s">
        <v>148</v>
      </c>
      <c r="C129" s="1" t="s">
        <v>18</v>
      </c>
      <c r="D129" s="1">
        <v>2018</v>
      </c>
      <c r="E129" s="8">
        <v>4991000000000</v>
      </c>
      <c r="F129" s="1" t="s">
        <v>149</v>
      </c>
      <c r="G129" s="95">
        <v>21408.839779005524</v>
      </c>
      <c r="H129" s="95" t="s">
        <v>150</v>
      </c>
      <c r="I129" s="97" t="s">
        <v>19</v>
      </c>
    </row>
    <row r="130" spans="1:9" s="99" customFormat="1">
      <c r="A130" s="98" t="s">
        <v>147</v>
      </c>
      <c r="B130" s="99" t="s">
        <v>155</v>
      </c>
      <c r="C130" s="99" t="s">
        <v>11</v>
      </c>
      <c r="D130" s="99">
        <v>2014</v>
      </c>
      <c r="E130" s="127">
        <v>1.6</v>
      </c>
      <c r="F130" s="128" t="s">
        <v>156</v>
      </c>
      <c r="G130" s="114">
        <v>1.6</v>
      </c>
      <c r="H130" s="129" t="s">
        <v>156</v>
      </c>
      <c r="I130" s="99" t="s">
        <v>24</v>
      </c>
    </row>
    <row r="131" spans="1:9" s="51" customFormat="1">
      <c r="A131" s="75" t="s">
        <v>147</v>
      </c>
      <c r="B131" s="51" t="s">
        <v>155</v>
      </c>
      <c r="C131" s="51" t="s">
        <v>11</v>
      </c>
      <c r="D131" s="51">
        <v>2015</v>
      </c>
      <c r="E131" s="159">
        <v>2.2000000000000002</v>
      </c>
      <c r="F131" s="160" t="s">
        <v>156</v>
      </c>
      <c r="G131" s="157">
        <v>2.2000000000000002</v>
      </c>
      <c r="H131" s="161" t="s">
        <v>156</v>
      </c>
      <c r="I131" s="51" t="s">
        <v>24</v>
      </c>
    </row>
    <row r="132" spans="1:9" s="51" customFormat="1">
      <c r="A132" s="75" t="s">
        <v>147</v>
      </c>
      <c r="B132" s="51" t="s">
        <v>155</v>
      </c>
      <c r="C132" s="51" t="s">
        <v>11</v>
      </c>
      <c r="D132" s="51">
        <v>2016</v>
      </c>
      <c r="E132" s="159">
        <v>1.5</v>
      </c>
      <c r="F132" s="160" t="s">
        <v>156</v>
      </c>
      <c r="G132" s="157">
        <v>1.5</v>
      </c>
      <c r="H132" s="161" t="s">
        <v>156</v>
      </c>
      <c r="I132" s="51" t="s">
        <v>24</v>
      </c>
    </row>
    <row r="133" spans="1:9" s="51" customFormat="1">
      <c r="A133" s="75" t="s">
        <v>147</v>
      </c>
      <c r="B133" s="51" t="s">
        <v>155</v>
      </c>
      <c r="C133" s="51" t="s">
        <v>11</v>
      </c>
      <c r="D133" s="51">
        <v>2017</v>
      </c>
      <c r="E133" s="159">
        <v>1.5</v>
      </c>
      <c r="F133" s="160" t="s">
        <v>156</v>
      </c>
      <c r="G133" s="157">
        <v>1.5</v>
      </c>
      <c r="H133" s="161" t="s">
        <v>156</v>
      </c>
      <c r="I133" s="51" t="s">
        <v>24</v>
      </c>
    </row>
    <row r="134" spans="1:9" s="51" customFormat="1">
      <c r="A134" s="75" t="s">
        <v>147</v>
      </c>
      <c r="B134" s="51" t="s">
        <v>155</v>
      </c>
      <c r="C134" s="51" t="s">
        <v>11</v>
      </c>
      <c r="D134" s="51">
        <v>2018</v>
      </c>
      <c r="E134" s="159">
        <v>1.5</v>
      </c>
      <c r="F134" s="160" t="s">
        <v>156</v>
      </c>
      <c r="G134" s="157">
        <v>1.5</v>
      </c>
      <c r="H134" s="161" t="s">
        <v>156</v>
      </c>
      <c r="I134" s="51" t="s">
        <v>24</v>
      </c>
    </row>
    <row r="135" spans="1:9" s="51" customFormat="1" ht="16.5" customHeight="1">
      <c r="A135" s="75" t="s">
        <v>147</v>
      </c>
      <c r="B135" s="51" t="s">
        <v>155</v>
      </c>
      <c r="C135" s="51" t="s">
        <v>15</v>
      </c>
      <c r="D135" s="51">
        <v>2014</v>
      </c>
      <c r="E135" s="157">
        <v>1.6853081546046109</v>
      </c>
      <c r="F135" s="160" t="s">
        <v>156</v>
      </c>
      <c r="G135" s="157">
        <v>1.6853081546046109</v>
      </c>
      <c r="H135" s="161" t="s">
        <v>156</v>
      </c>
      <c r="I135" s="158" t="s">
        <v>151</v>
      </c>
    </row>
    <row r="136" spans="1:9" s="51" customFormat="1">
      <c r="A136" s="75" t="s">
        <v>147</v>
      </c>
      <c r="B136" s="51" t="s">
        <v>155</v>
      </c>
      <c r="C136" s="51" t="s">
        <v>15</v>
      </c>
      <c r="D136" s="51">
        <v>2015</v>
      </c>
      <c r="E136" s="157">
        <v>1.8638338061372675</v>
      </c>
      <c r="F136" s="160" t="s">
        <v>156</v>
      </c>
      <c r="G136" s="157">
        <v>1.8638338061372675</v>
      </c>
      <c r="H136" s="161" t="s">
        <v>156</v>
      </c>
      <c r="I136" s="158" t="s">
        <v>152</v>
      </c>
    </row>
    <row r="137" spans="1:9" s="51" customFormat="1">
      <c r="A137" s="75" t="s">
        <v>147</v>
      </c>
      <c r="B137" s="51" t="s">
        <v>155</v>
      </c>
      <c r="C137" s="51" t="s">
        <v>15</v>
      </c>
      <c r="D137" s="51">
        <v>2016</v>
      </c>
      <c r="E137" s="157">
        <v>1.741596877371369</v>
      </c>
      <c r="F137" s="160" t="s">
        <v>156</v>
      </c>
      <c r="G137" s="157">
        <v>1.741596877371369</v>
      </c>
      <c r="H137" s="161" t="s">
        <v>156</v>
      </c>
      <c r="I137" s="158" t="s">
        <v>153</v>
      </c>
    </row>
    <row r="138" spans="1:9" s="51" customFormat="1">
      <c r="A138" s="75" t="s">
        <v>147</v>
      </c>
      <c r="B138" s="51" t="s">
        <v>155</v>
      </c>
      <c r="C138" s="51" t="s">
        <v>15</v>
      </c>
      <c r="D138" s="51">
        <v>2017</v>
      </c>
      <c r="E138" s="157">
        <v>1.3990179666404736</v>
      </c>
      <c r="F138" s="160" t="s">
        <v>156</v>
      </c>
      <c r="G138" s="157">
        <v>1.3990179666404736</v>
      </c>
      <c r="H138" s="161" t="s">
        <v>156</v>
      </c>
      <c r="I138" s="158" t="s">
        <v>154</v>
      </c>
    </row>
    <row r="139" spans="1:9" s="51" customFormat="1">
      <c r="A139" s="75" t="s">
        <v>147</v>
      </c>
      <c r="B139" s="51" t="s">
        <v>155</v>
      </c>
      <c r="C139" s="51" t="s">
        <v>15</v>
      </c>
      <c r="D139" s="51">
        <v>2018</v>
      </c>
      <c r="E139" s="157">
        <v>1.2031036241217372</v>
      </c>
      <c r="F139" s="160" t="s">
        <v>156</v>
      </c>
      <c r="G139" s="157">
        <v>1.2031036241217372</v>
      </c>
      <c r="H139" s="161" t="s">
        <v>156</v>
      </c>
      <c r="I139" s="158" t="s">
        <v>23</v>
      </c>
    </row>
    <row r="140" spans="1:9" s="51" customFormat="1">
      <c r="A140" s="75" t="s">
        <v>147</v>
      </c>
      <c r="B140" s="51" t="s">
        <v>155</v>
      </c>
      <c r="C140" s="51" t="s">
        <v>18</v>
      </c>
      <c r="D140" s="51">
        <v>2014</v>
      </c>
      <c r="E140" s="157">
        <v>1.603724780134506</v>
      </c>
      <c r="F140" s="160" t="s">
        <v>156</v>
      </c>
      <c r="G140" s="157">
        <v>1.603724780134506</v>
      </c>
      <c r="H140" s="161" t="s">
        <v>156</v>
      </c>
      <c r="I140" s="158" t="s">
        <v>139</v>
      </c>
    </row>
    <row r="141" spans="1:9" s="51" customFormat="1">
      <c r="A141" s="75" t="s">
        <v>147</v>
      </c>
      <c r="B141" s="51" t="s">
        <v>155</v>
      </c>
      <c r="C141" s="51" t="s">
        <v>18</v>
      </c>
      <c r="D141" s="51">
        <v>2015</v>
      </c>
      <c r="E141" s="157">
        <v>1.264</v>
      </c>
      <c r="F141" s="160" t="s">
        <v>156</v>
      </c>
      <c r="G141" s="157">
        <v>1.264</v>
      </c>
      <c r="H141" s="161" t="s">
        <v>156</v>
      </c>
      <c r="I141" s="158" t="s">
        <v>140</v>
      </c>
    </row>
    <row r="142" spans="1:9" s="51" customFormat="1">
      <c r="A142" s="75" t="s">
        <v>147</v>
      </c>
      <c r="B142" s="51" t="s">
        <v>155</v>
      </c>
      <c r="C142" s="51" t="s">
        <v>18</v>
      </c>
      <c r="D142" s="51">
        <v>2016</v>
      </c>
      <c r="E142" s="157">
        <v>1.3855083317730763</v>
      </c>
      <c r="F142" s="160" t="s">
        <v>156</v>
      </c>
      <c r="G142" s="157">
        <v>1.3855083317730763</v>
      </c>
      <c r="H142" s="161" t="s">
        <v>156</v>
      </c>
      <c r="I142" s="158" t="s">
        <v>141</v>
      </c>
    </row>
    <row r="143" spans="1:9" s="51" customFormat="1">
      <c r="A143" s="75" t="s">
        <v>147</v>
      </c>
      <c r="B143" s="51" t="s">
        <v>155</v>
      </c>
      <c r="C143" s="51" t="s">
        <v>18</v>
      </c>
      <c r="D143" s="51">
        <v>2017</v>
      </c>
      <c r="E143" s="157">
        <v>1.3413942943510295</v>
      </c>
      <c r="F143" s="160" t="s">
        <v>156</v>
      </c>
      <c r="G143" s="157">
        <v>1.3413942943510295</v>
      </c>
      <c r="H143" s="161" t="s">
        <v>156</v>
      </c>
      <c r="I143" s="158" t="s">
        <v>142</v>
      </c>
    </row>
    <row r="144" spans="1:9" s="81" customFormat="1">
      <c r="A144" s="80" t="s">
        <v>147</v>
      </c>
      <c r="B144" s="81" t="s">
        <v>155</v>
      </c>
      <c r="C144" s="81" t="s">
        <v>18</v>
      </c>
      <c r="D144" s="81">
        <v>2018</v>
      </c>
      <c r="E144" s="115">
        <v>1.6830294530154277</v>
      </c>
      <c r="F144" s="133" t="s">
        <v>156</v>
      </c>
      <c r="G144" s="115">
        <v>1.6830294530154277</v>
      </c>
      <c r="H144" s="134" t="s">
        <v>156</v>
      </c>
      <c r="I144" s="84" t="s">
        <v>19</v>
      </c>
    </row>
  </sheetData>
  <autoFilter ref="A1:I144" xr:uid="{3614E37E-F4C3-4B0E-9466-023FE8460AE8}"/>
  <hyperlinks>
    <hyperlink ref="I16" r:id="rId1" xr:uid="{1CCA57B1-161B-449A-A655-A3CEFD85551A}"/>
    <hyperlink ref="I42:I43" r:id="rId2" display="http://www.nexteraenergy.com/sustainability/overview/about-this-report/by-the-numbers.html" xr:uid="{56AF694D-DBF5-484A-A956-22DF175D1550}"/>
    <hyperlink ref="I14" r:id="rId3" xr:uid="{2683E035-17DA-445D-9A4D-0510BAAA2F26}"/>
    <hyperlink ref="I44:I47" r:id="rId4" display="http://www.nexteraenergy.com/sustainability/overview/about-this-report/by-the-numbers.html" xr:uid="{7066775D-7C05-4EC0-B955-685F0DDED33C}"/>
    <hyperlink ref="I10" r:id="rId5" display="http://www.nexteraenergy.com/sustainability/overview/about-this-report/by-the-numbers.html" xr:uid="{F579D505-92E2-4A00-9405-25FE9E51F2B9}"/>
    <hyperlink ref="I125" r:id="rId6" xr:uid="{BDCC3E71-4EF6-44E5-8A94-0133ADC4E45F}"/>
    <hyperlink ref="I126" r:id="rId7" xr:uid="{8135DCC4-71DC-46BB-8500-02CE09A0E47E}"/>
    <hyperlink ref="I128" r:id="rId8" xr:uid="{489417D2-62A2-4BA7-91D7-EDB77F6830C0}"/>
    <hyperlink ref="I129" r:id="rId9" xr:uid="{6C000149-9F3C-4469-894B-D857631BB803}"/>
    <hyperlink ref="I127" r:id="rId10" xr:uid="{1CB585C2-C40F-4EF9-BA4B-9E67D38D59B7}"/>
    <hyperlink ref="I124" r:id="rId11" xr:uid="{35B4C2B3-C8D6-41AE-B4D4-21A15649608D}"/>
    <hyperlink ref="I2:I4" r:id="rId12" display="https://www.exeloncorp.com/sustainability/interactive-csr?year=2015&amp;page=78" xr:uid="{86AD700D-E65A-41B7-BBCB-B1058202283C}"/>
    <hyperlink ref="I139" r:id="rId13" xr:uid="{9DB9E780-3E8E-44A6-B6A2-4F7B7C219074}"/>
    <hyperlink ref="I10:I11" r:id="rId14" display="https://www.exeloncorp.com/sustainability/interactive-csr?year=2015&amp;page=78" xr:uid="{AF868215-D0B3-4CF0-928C-BE7C5133257D}"/>
    <hyperlink ref="I140" r:id="rId15" xr:uid="{466FE2AA-760F-42B8-B016-DC0C4A66695C}"/>
    <hyperlink ref="I141" r:id="rId16" xr:uid="{80ACAF6F-630A-455B-B76C-6DF006FC503F}"/>
    <hyperlink ref="I143" r:id="rId17" xr:uid="{FD89C175-4458-4EFC-AE12-EFBF1055C83F}"/>
    <hyperlink ref="I144" r:id="rId18" xr:uid="{E4E52351-EF38-493B-86E9-277ECD7BC0A3}"/>
    <hyperlink ref="I142" r:id="rId19" xr:uid="{E39D3120-6869-43DD-B183-E999A81AFC46}"/>
    <hyperlink ref="I75" r:id="rId20" xr:uid="{DC3D9B10-7DD9-4211-B9CA-31A72E74D60F}"/>
    <hyperlink ref="I76" r:id="rId21" xr:uid="{BA6AADAC-6A42-4C53-9CFC-1AC0569AAB36}"/>
    <hyperlink ref="I78" r:id="rId22" xr:uid="{0E94032B-63AB-4BF1-A357-19543AAC14D7}"/>
    <hyperlink ref="I79" r:id="rId23" xr:uid="{878390A7-3292-4254-894F-039AADFF6F21}"/>
    <hyperlink ref="I77" r:id="rId24" xr:uid="{B42E6024-3823-4E3A-A1C1-8C8CF680C633}"/>
    <hyperlink ref="I80" r:id="rId25" xr:uid="{2124F74C-4691-4F45-886D-CD3C36316F2B}"/>
    <hyperlink ref="I81" r:id="rId26" xr:uid="{6B810A42-CFEB-42CC-BEF3-41E1B9BB84E7}"/>
    <hyperlink ref="I83" r:id="rId27" xr:uid="{7E1C6148-D241-4F69-9CDE-7D74823E1867}"/>
    <hyperlink ref="I84" r:id="rId28" xr:uid="{69ED3BA2-1D01-412D-93ED-549B78AD4348}"/>
    <hyperlink ref="I82" r:id="rId29" xr:uid="{4433734E-43A5-4D0D-A709-BB1FE4CD3A47}"/>
    <hyperlink ref="I62" r:id="rId30" location="overlay-context=content/benchmarking-air-emissions-past-reports" display="https://mjbradley.com/content/benchmarking-air-emissions-past-reports - overlay-context=content/benchmarking-air-emissions-past-reports" xr:uid="{24F27076-3ED0-47DA-B81B-B6AFAF2FDD65}"/>
    <hyperlink ref="I11" r:id="rId31" xr:uid="{8E70E89F-63F0-4CFF-950B-AEE2853FB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ecos</vt:lpstr>
      <vt:lpstr>hums</vt:lpstr>
      <vt:lpstr>wealth</vt:lpstr>
      <vt:lpstr>wealth (3)</vt:lpstr>
      <vt:lpstr>net_generation</vt:lpstr>
      <vt:lpstr>operating_revenue</vt:lpstr>
      <vt:lpstr>employees</vt:lpstr>
      <vt:lpstr>normalization_parameters</vt:lpstr>
      <vt:lpstr>wealth_old</vt:lpstr>
      <vt:lpstr>ecos_old</vt:lpstr>
      <vt:lpstr>ecos (2)</vt:lpstr>
      <vt:lpstr>hums (2)</vt:lpstr>
      <vt:lpstr>ecos (3)</vt:lpstr>
      <vt:lpstr>hums (3)</vt:lpstr>
      <vt:lpstr>wealth (2)</vt:lpstr>
      <vt:lpstr>ecos 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Zachary Tzavelis</cp:lastModifiedBy>
  <cp:revision/>
  <dcterms:created xsi:type="dcterms:W3CDTF">2020-03-12T16:22:36Z</dcterms:created>
  <dcterms:modified xsi:type="dcterms:W3CDTF">2020-04-18T23:06:22Z</dcterms:modified>
  <cp:category/>
  <cp:contentStatus/>
</cp:coreProperties>
</file>