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5B110141-D681-40ED-856A-F6EAFFAB8DC9}" xr6:coauthVersionLast="36" xr6:coauthVersionMax="47" xr10:uidLastSave="{00000000-0000-0000-0000-000000000000}"/>
  <bookViews>
    <workbookView xWindow="-105" yWindow="-105" windowWidth="25815" windowHeight="15495" xr2:uid="{00000000-000D-0000-FFFF-FFFF00000000}"/>
  </bookViews>
  <sheets>
    <sheet name="Ratio Analysis" sheetId="11" r:id="rId1"/>
    <sheet name="WACC Calculations" sheetId="19" r:id="rId2"/>
    <sheet name="FCFF Forecast and DCF" sheetId="12" r:id="rId3"/>
    <sheet name="Relative Valuation" sheetId="20" r:id="rId4"/>
    <sheet name="Weighted Valuation" sheetId="21" r:id="rId5"/>
    <sheet name="Football Field" sheetId="22" r:id="rId6"/>
    <sheet name="Balance Sheet Forecast" sheetId="14" r:id="rId7"/>
    <sheet name="Cashflow Statement" sheetId="9" r:id="rId8"/>
    <sheet name="Income Statement" sheetId="7" r:id="rId9"/>
    <sheet name="Balance Sheet" sheetId="8" r:id="rId10"/>
    <sheet name="Data Sheet" sheetId="2" r:id="rId11"/>
  </sheets>
  <externalReferences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</externalReferences>
  <definedNames>
    <definedName name="__123Graph_A" hidden="1">[1]Hi_low!$AQ$6:$AQ$76</definedName>
    <definedName name="__123Graph_AMM" hidden="1">#REF!</definedName>
    <definedName name="__123Graph_B" hidden="1">[1]Hi_low!#REF!</definedName>
    <definedName name="__123Graph_BMM" hidden="1">#REF!</definedName>
    <definedName name="__123Graph_C" hidden="1">[2]Financials!$D$20:$D$209</definedName>
    <definedName name="__123Graph_D" hidden="1">[2]Financials!$E$20:$E$209</definedName>
    <definedName name="__123Graph_E" hidden="1">[2]Financials!$F$20:$F$209</definedName>
    <definedName name="__123Graph_F" hidden="1">[2]Financials!$G$20:$G$209</definedName>
    <definedName name="__123Graph_X" hidden="1">[1]Hi_low!$A$6:$A$76</definedName>
    <definedName name="__123Graph_XMM" hidden="1">#REF!</definedName>
    <definedName name="__BPL1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__FDS_HYPERLINK_TOGGLE_STATE__" hidden="1">"ON"</definedName>
    <definedName name="__qwe345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__vr1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_BPL1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_Dist_Values" hidden="1">#REF!</definedName>
    <definedName name="_Fill" hidden="1">#REF!</definedName>
    <definedName name="_xlnm._FilterDatabase" localSheetId="1" hidden="1">'WACC Calculations'!$A$2:$E$744</definedName>
    <definedName name="_GSRATES_1" hidden="1">"CT30000120021231        "</definedName>
    <definedName name="_GSRATES_10" hidden="1">"CF3000012002123120020331"</definedName>
    <definedName name="_GSRATES_2" hidden="1">"CT30000120031231        "</definedName>
    <definedName name="_GSRATES_3" hidden="1">"CT30000120040331        "</definedName>
    <definedName name="_GSRATES_4" hidden="1">"CF3000012004033120030331"</definedName>
    <definedName name="_GSRATES_5" hidden="1">"CF3000012002093020020331"</definedName>
    <definedName name="_GSRATES_6" hidden="1">"CF3000012003123120030331"</definedName>
    <definedName name="_GSRATES_7" hidden="1">"CT300001Latest          "</definedName>
    <definedName name="_GSRATES_8" hidden="1">"CT300001Latest          "</definedName>
    <definedName name="_GSRATES_9" hidden="1">"CF3000012002123120020331"</definedName>
    <definedName name="_GSRATES_COUNT" hidden="1">10</definedName>
    <definedName name="_Key1" hidden="1">#REF!</definedName>
    <definedName name="_Key2" hidden="1">#REF!</definedName>
    <definedName name="_MatInverse_In" hidden="1">#N/A</definedName>
    <definedName name="_MatInverse_Out" hidden="1">[1]Hi_low!#REF!</definedName>
    <definedName name="_Order1" hidden="1">255</definedName>
    <definedName name="_Order2" hidden="1">255</definedName>
    <definedName name="_Parse_Out" hidden="1">#REF!</definedName>
    <definedName name="_qwe345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_Regression_Int" hidden="1">1</definedName>
    <definedName name="_Regression_Out" hidden="1">[3]Internet!#REF!</definedName>
    <definedName name="_Regression_X" hidden="1">[1]Hi_low!$E$132:$E$246</definedName>
    <definedName name="_Regression_Y" hidden="1">[1]Hi_low!$D$132:$D$246</definedName>
    <definedName name="_Sort" hidden="1">#REF!</definedName>
    <definedName name="_Table1_In1" hidden="1">#REF!</definedName>
    <definedName name="_Table2_In1" hidden="1">'[4]CV Financials'!$C$847</definedName>
    <definedName name="_Table2_In2" hidden="1">'[4]CV Financials'!$D$847</definedName>
    <definedName name="_Table2_Out" hidden="1">[5]Charts!#REF!</definedName>
    <definedName name="_vr1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_wrn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_wrn2" hidden="1">{#N/A,#N/A,FALSE,"INPUTS";#N/A,#N/A,FALSE,"PROFORMA BSHEET";#N/A,#N/A,FALSE,"COMBINED";#N/A,#N/A,FALSE,"HIGH YIELD";#N/A,#N/A,FALSE,"COMB_GRAPHS"}</definedName>
    <definedName name="_wrn3" hidden="1">{#N/A,#N/A,FALSE,"ACQ_GRAPHS";#N/A,#N/A,FALSE,"T_1 GRAPHS";#N/A,#N/A,FALSE,"T_2 GRAPHS";#N/A,#N/A,FALSE,"COMB_GRAPHS"}</definedName>
    <definedName name="_wrn4" hidden="1">{"vi1",#N/A,FALSE,"Financial Statements";"vi2",#N/A,FALSE,"Financial Statements";#N/A,#N/A,FALSE,"DCF"}</definedName>
    <definedName name="_wrn5" hidden="1">{#N/A,#N/A,FALSE,"Valuation Assumptions";#N/A,#N/A,FALSE,"Summary";#N/A,#N/A,FALSE,"DCF";#N/A,#N/A,FALSE,"Valuation";#N/A,#N/A,FALSE,"WACC";#N/A,#N/A,FALSE,"UBVH";#N/A,#N/A,FALSE,"Free Cash Flow"}</definedName>
    <definedName name="_wrn6" hidden="1">{#N/A,#N/A,FALSE,"INPUTS";#N/A,#N/A,FALSE,"PROFORMA BSHEET";#N/A,#N/A,FALSE,"COMBINED";#N/A,#N/A,FALSE,"ACQUIROR";#N/A,#N/A,FALSE,"TARGET 1";#N/A,#N/A,FALSE,"TARGET 2";#N/A,#N/A,FALSE,"HIGH YIELD";#N/A,#N/A,FALSE,"OVERFUND"}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cc" hidden="1">{#N/A,#N/A,FALSE,"Status of Projects";#N/A,#N/A,FALSE,"CEA-TEC";#N/A,#N/A,FALSE,"U-Constr.";#N/A,#N/A,FALSE,"summary";#N/A,#N/A,FALSE,"PPP-3 yrs"}</definedName>
    <definedName name="AccessDatabase" hidden="1">"D:\MIS\TALLY  31.09.04 sep\AS PER TALLY 31.09.04.mdb"</definedName>
    <definedName name="AdmExpSer" hidden="1">[6]Profile!$AX$5:$AX$12</definedName>
    <definedName name="afgdfgfd" hidden="1">[7]Input!$K$162:$Y$162,[7]Input!$K$180:$Y$180,[7]Input!$K$198:$Y$198,[7]Input!$K$216:$Y$216,[7]Input!$K$234:$Y$234,[7]Input!$K$252:$Y$252,[7]Input!$K$270:$Y$270,[7]Input!$K$288:$Y$288</definedName>
    <definedName name="anscount" hidden="1">3</definedName>
    <definedName name="AS2DocOpenMode" hidden="1">"AS2DocumentEdit"</definedName>
    <definedName name="AS2ReportLS" hidden="1">1</definedName>
    <definedName name="AS2SyncStepLS" hidden="1">0</definedName>
    <definedName name="AS2TickmarkLS" hidden="1">#REF!</definedName>
    <definedName name="AS2VersionLS" hidden="1">300</definedName>
    <definedName name="AvgSellPr" hidden="1">[8]Input!$K$162:$Y$162,[8]Input!$K$180:$Y$180,[8]Input!$K$198:$Y$198,[8]Input!$K$216:$Y$216,[8]Input!$K$234:$Y$234,[8]Input!$K$252:$Y$252,[8]Input!$K$270:$Y$270,[8]Input!$K$288:$Y$288</definedName>
    <definedName name="BG_Del" hidden="1">15</definedName>
    <definedName name="BG_Ins" hidden="1">4</definedName>
    <definedName name="BG_Mod" hidden="1">6</definedName>
    <definedName name="BLPH1" hidden="1">#REF!</definedName>
    <definedName name="BLPH10" hidden="1">#REF!</definedName>
    <definedName name="BLPH100" hidden="1">#REF!</definedName>
    <definedName name="BLPH101" hidden="1">#REF!</definedName>
    <definedName name="BLPH102" hidden="1">#REF!</definedName>
    <definedName name="BLPH103" hidden="1">#REF!</definedName>
    <definedName name="BLPH104" hidden="1">#REF!</definedName>
    <definedName name="BLPH105" hidden="1">#REF!</definedName>
    <definedName name="BLPH106" hidden="1">#REF!</definedName>
    <definedName name="BLPH107" hidden="1">#REF!</definedName>
    <definedName name="BLPH108" hidden="1">#REF!</definedName>
    <definedName name="BLPH109" hidden="1">#REF!</definedName>
    <definedName name="BLPH11" hidden="1">#REF!</definedName>
    <definedName name="BLPH110" hidden="1">#REF!</definedName>
    <definedName name="BLPH111" hidden="1">#REF!</definedName>
    <definedName name="BLPH112" hidden="1">#REF!</definedName>
    <definedName name="BLPH113" hidden="1">#REF!</definedName>
    <definedName name="BLPH114" hidden="1">#REF!</definedName>
    <definedName name="BLPH115" hidden="1">#REF!</definedName>
    <definedName name="BLPH116" hidden="1">#REF!</definedName>
    <definedName name="BLPH117" hidden="1">#REF!</definedName>
    <definedName name="BLPH118" hidden="1">#REF!</definedName>
    <definedName name="BLPH119" hidden="1">#REF!</definedName>
    <definedName name="BLPH12" hidden="1">#REF!</definedName>
    <definedName name="BLPH120" hidden="1">#REF!</definedName>
    <definedName name="BLPH121" hidden="1">#REF!</definedName>
    <definedName name="BLPH122" hidden="1">#REF!</definedName>
    <definedName name="BLPH123" hidden="1">#REF!</definedName>
    <definedName name="BLPH124" hidden="1">#REF!</definedName>
    <definedName name="BLPH125" hidden="1">#REF!</definedName>
    <definedName name="BLPH126" hidden="1">#REF!</definedName>
    <definedName name="BLPH127" hidden="1">#REF!</definedName>
    <definedName name="BLPH128" hidden="1">#REF!</definedName>
    <definedName name="BLPH129" hidden="1">#REF!</definedName>
    <definedName name="BLPH13" hidden="1">#REF!</definedName>
    <definedName name="BLPH130" hidden="1">#REF!</definedName>
    <definedName name="BLPH131" hidden="1">#REF!</definedName>
    <definedName name="BLPH132" hidden="1">#REF!</definedName>
    <definedName name="BLPH133" hidden="1">#REF!</definedName>
    <definedName name="BLPH134" hidden="1">#REF!</definedName>
    <definedName name="BLPH135" hidden="1">#REF!</definedName>
    <definedName name="BLPH136" hidden="1">#REF!</definedName>
    <definedName name="BLPH137" hidden="1">#REF!</definedName>
    <definedName name="BLPH138" hidden="1">#REF!</definedName>
    <definedName name="BLPH139" hidden="1">#REF!</definedName>
    <definedName name="BLPH14" hidden="1">#REF!</definedName>
    <definedName name="BLPH140" hidden="1">#REF!</definedName>
    <definedName name="BLPH141" hidden="1">#REF!</definedName>
    <definedName name="BLPH142" hidden="1">#REF!</definedName>
    <definedName name="BLPH143" hidden="1">#REF!</definedName>
    <definedName name="BLPH144" hidden="1">#REF!</definedName>
    <definedName name="BLPH145" hidden="1">#REF!</definedName>
    <definedName name="BLPH146" hidden="1">#REF!</definedName>
    <definedName name="BLPH147" hidden="1">#REF!</definedName>
    <definedName name="BLPH148" hidden="1">#REF!</definedName>
    <definedName name="BLPH149" hidden="1">#REF!</definedName>
    <definedName name="BLPH15" hidden="1">#REF!</definedName>
    <definedName name="BLPH150" hidden="1">#REF!</definedName>
    <definedName name="BLPH151" hidden="1">#REF!</definedName>
    <definedName name="BLPH152" hidden="1">#REF!</definedName>
    <definedName name="BLPH153" hidden="1">#REF!</definedName>
    <definedName name="BLPH154" hidden="1">#REF!</definedName>
    <definedName name="BLPH155" hidden="1">#REF!</definedName>
    <definedName name="BLPH156" hidden="1">#REF!</definedName>
    <definedName name="BLPH157" hidden="1">#REF!</definedName>
    <definedName name="BLPH158" hidden="1">#REF!</definedName>
    <definedName name="BLPH159" hidden="1">#REF!</definedName>
    <definedName name="BLPH16" hidden="1">#REF!</definedName>
    <definedName name="BLPH160" hidden="1">#REF!</definedName>
    <definedName name="BLPH161" hidden="1">#REF!</definedName>
    <definedName name="BLPH162" hidden="1">#REF!</definedName>
    <definedName name="BLPH163" hidden="1">#REF!</definedName>
    <definedName name="BLPH164" hidden="1">#REF!</definedName>
    <definedName name="BLPH165" hidden="1">#REF!</definedName>
    <definedName name="BLPH166" hidden="1">#REF!</definedName>
    <definedName name="BLPH167" hidden="1">#REF!</definedName>
    <definedName name="BLPH168" hidden="1">#REF!</definedName>
    <definedName name="BLPH169" hidden="1">#REF!</definedName>
    <definedName name="BLPH17" hidden="1">#REF!</definedName>
    <definedName name="BLPH170" hidden="1">#REF!</definedName>
    <definedName name="BLPH171" hidden="1">#REF!</definedName>
    <definedName name="BLPH172" hidden="1">#REF!</definedName>
    <definedName name="BLPH173" hidden="1">#REF!</definedName>
    <definedName name="BLPH174" hidden="1">#REF!</definedName>
    <definedName name="BLPH175" hidden="1">#REF!</definedName>
    <definedName name="BLPH176" hidden="1">#REF!</definedName>
    <definedName name="BLPH177" hidden="1">#REF!</definedName>
    <definedName name="BLPH178" hidden="1">#REF!</definedName>
    <definedName name="BLPH179" hidden="1">#REF!</definedName>
    <definedName name="BLPH18" hidden="1">#REF!</definedName>
    <definedName name="BLPH180" hidden="1">#REF!</definedName>
    <definedName name="BLPH181" hidden="1">#REF!</definedName>
    <definedName name="BLPH182" hidden="1">#REF!</definedName>
    <definedName name="BLPH183" hidden="1">#REF!</definedName>
    <definedName name="BLPH184" hidden="1">#REF!</definedName>
    <definedName name="BLPH185" hidden="1">#REF!</definedName>
    <definedName name="BLPH186" hidden="1">#REF!</definedName>
    <definedName name="BLPH187" hidden="1">#REF!</definedName>
    <definedName name="BLPH188" hidden="1">#REF!</definedName>
    <definedName name="BLPH189" hidden="1">#REF!</definedName>
    <definedName name="BLPH19" hidden="1">#REF!</definedName>
    <definedName name="BLPH190" hidden="1">#REF!</definedName>
    <definedName name="BLPH191" hidden="1">#REF!</definedName>
    <definedName name="BLPH192" hidden="1">#REF!</definedName>
    <definedName name="BLPH193" hidden="1">#REF!</definedName>
    <definedName name="BLPH194" hidden="1">#REF!</definedName>
    <definedName name="BLPH195" hidden="1">#REF!</definedName>
    <definedName name="BLPH196" hidden="1">#REF!</definedName>
    <definedName name="BLPH197" hidden="1">#REF!</definedName>
    <definedName name="BLPH198" hidden="1">#REF!</definedName>
    <definedName name="BLPH199" hidden="1">#REF!</definedName>
    <definedName name="BLPH2" hidden="1">#REF!</definedName>
    <definedName name="BLPH20" hidden="1">#REF!</definedName>
    <definedName name="BLPH200" hidden="1">#REF!</definedName>
    <definedName name="BLPH201" hidden="1">#REF!</definedName>
    <definedName name="BLPH202" hidden="1">#REF!</definedName>
    <definedName name="BLPH203" hidden="1">#REF!</definedName>
    <definedName name="BLPH204" hidden="1">#REF!</definedName>
    <definedName name="BLPH205" hidden="1">#REF!</definedName>
    <definedName name="BLPH206" hidden="1">#REF!</definedName>
    <definedName name="BLPH207" hidden="1">#REF!</definedName>
    <definedName name="BLPH208" hidden="1">#REF!</definedName>
    <definedName name="BLPH209" hidden="1">#REF!</definedName>
    <definedName name="BLPH21" hidden="1">#REF!</definedName>
    <definedName name="BLPH210" hidden="1">#REF!</definedName>
    <definedName name="BLPH211" hidden="1">#REF!</definedName>
    <definedName name="BLPH212" hidden="1">#REF!</definedName>
    <definedName name="BLPH213" hidden="1">#REF!</definedName>
    <definedName name="BLPH214" hidden="1">#REF!</definedName>
    <definedName name="BLPH22" hidden="1">#REF!</definedName>
    <definedName name="BLPH23" hidden="1">#REF!</definedName>
    <definedName name="BLPH24" hidden="1">#REF!</definedName>
    <definedName name="BLPH25" hidden="1">#REF!</definedName>
    <definedName name="BLPH26" hidden="1">#REF!</definedName>
    <definedName name="BLPH27" hidden="1">#REF!</definedName>
    <definedName name="BLPH28" hidden="1">#REF!</definedName>
    <definedName name="BLPH29" hidden="1">#REF!</definedName>
    <definedName name="BLPH3" hidden="1">[9]Sheet2!$G$3</definedName>
    <definedName name="BLPH30" hidden="1">#REF!</definedName>
    <definedName name="BLPH31" hidden="1">#REF!</definedName>
    <definedName name="BLPH32" hidden="1">#REF!</definedName>
    <definedName name="BLPH33" hidden="1">#REF!</definedName>
    <definedName name="BLPH34" hidden="1">#REF!</definedName>
    <definedName name="BLPH35" hidden="1">#REF!</definedName>
    <definedName name="BLPH36" hidden="1">#REF!</definedName>
    <definedName name="BLPH37" hidden="1">#REF!</definedName>
    <definedName name="BLPH38" hidden="1">#REF!</definedName>
    <definedName name="BLPH39" hidden="1">#REF!</definedName>
    <definedName name="BLPH4" hidden="1">[9]Sheet2!$J$3</definedName>
    <definedName name="BLPH40" hidden="1">#REF!</definedName>
    <definedName name="BLPH41" hidden="1">#REF!</definedName>
    <definedName name="BLPH42" hidden="1">#REF!</definedName>
    <definedName name="BLPH43" hidden="1">#REF!</definedName>
    <definedName name="BLPH44" hidden="1">#REF!</definedName>
    <definedName name="BLPH45" hidden="1">#REF!</definedName>
    <definedName name="BLPH46" hidden="1">#REF!</definedName>
    <definedName name="BLPH47" hidden="1">#REF!</definedName>
    <definedName name="BLPH48" hidden="1">#REF!</definedName>
    <definedName name="BLPH49" hidden="1">#REF!</definedName>
    <definedName name="BLPH5" hidden="1">#REF!</definedName>
    <definedName name="BLPH50" hidden="1">#REF!</definedName>
    <definedName name="BLPH51" hidden="1">#REF!</definedName>
    <definedName name="BLPH52" hidden="1">#REF!</definedName>
    <definedName name="BLPH53" hidden="1">#REF!</definedName>
    <definedName name="BLPH54" hidden="1">#REF!</definedName>
    <definedName name="BLPH55" hidden="1">#REF!</definedName>
    <definedName name="BLPH56" hidden="1">#REF!</definedName>
    <definedName name="BLPH57" hidden="1">#REF!</definedName>
    <definedName name="BLPH58" hidden="1">#REF!</definedName>
    <definedName name="BLPH59" hidden="1">#REF!</definedName>
    <definedName name="BLPH6" hidden="1">#REF!</definedName>
    <definedName name="BLPH60" hidden="1">#REF!</definedName>
    <definedName name="BLPH61" hidden="1">#REF!</definedName>
    <definedName name="BLPH62" hidden="1">#REF!</definedName>
    <definedName name="BLPH63" hidden="1">#REF!</definedName>
    <definedName name="BLPH64" hidden="1">#REF!</definedName>
    <definedName name="BLPH65" hidden="1">#REF!</definedName>
    <definedName name="BLPH66" hidden="1">#REF!</definedName>
    <definedName name="BLPH67" hidden="1">#REF!</definedName>
    <definedName name="BLPH68" hidden="1">#REF!</definedName>
    <definedName name="BLPH69" hidden="1">#REF!</definedName>
    <definedName name="BLPH7" hidden="1">#REF!</definedName>
    <definedName name="BLPH70" hidden="1">#REF!</definedName>
    <definedName name="BLPH71" hidden="1">#REF!</definedName>
    <definedName name="BLPH72" hidden="1">#REF!</definedName>
    <definedName name="BLPH73" hidden="1">#REF!</definedName>
    <definedName name="BLPH74" hidden="1">#REF!</definedName>
    <definedName name="BLPH75" hidden="1">#REF!</definedName>
    <definedName name="BLPH76" hidden="1">#REF!</definedName>
    <definedName name="BLPH77" hidden="1">#REF!</definedName>
    <definedName name="BLPH78" hidden="1">#REF!</definedName>
    <definedName name="BLPH79" hidden="1">#REF!</definedName>
    <definedName name="BLPH8" hidden="1">#REF!</definedName>
    <definedName name="BLPH80" hidden="1">#REF!</definedName>
    <definedName name="BLPH81" hidden="1">#REF!</definedName>
    <definedName name="BLPH82" hidden="1">#REF!</definedName>
    <definedName name="BLPH83" hidden="1">#REF!</definedName>
    <definedName name="BLPH84" hidden="1">#REF!</definedName>
    <definedName name="BLPH85" hidden="1">#REF!</definedName>
    <definedName name="BLPH86" hidden="1">#REF!</definedName>
    <definedName name="BLPH87" hidden="1">#REF!</definedName>
    <definedName name="BLPH88" hidden="1">#REF!</definedName>
    <definedName name="BLPH89" hidden="1">#REF!</definedName>
    <definedName name="BLPH9" hidden="1">#REF!</definedName>
    <definedName name="BLPH90" hidden="1">#REF!</definedName>
    <definedName name="BLPH91" hidden="1">#REF!</definedName>
    <definedName name="BLPH92" hidden="1">#REF!</definedName>
    <definedName name="BLPH93" hidden="1">#REF!</definedName>
    <definedName name="BLPH94" hidden="1">#REF!</definedName>
    <definedName name="BLPH95" hidden="1">#REF!</definedName>
    <definedName name="BLPH96" hidden="1">#REF!</definedName>
    <definedName name="BLPH97" hidden="1">#REF!</definedName>
    <definedName name="BLPH98" hidden="1">#REF!</definedName>
    <definedName name="BLPH99" hidden="1">#REF!</definedName>
    <definedName name="bnm" hidden="1">{"'PS-SOTM'!$A$1","'PS-SOTM'!$A$2:$M$30","'PS-SOTM'!$A$31:$A$38"}</definedName>
    <definedName name="cem" hidden="1">{#N/A,#N/A,FALSE,"Status of Projects";#N/A,#N/A,FALSE,"CEA-TEC";#N/A,#N/A,FALSE,"U-Constr.";#N/A,#N/A,FALSE,"summary";#N/A,#N/A,FALSE,"PPP-3 yrs"}</definedName>
    <definedName name="cfgrt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CoName" hidden="1">[6]Profile!$D$4</definedName>
    <definedName name="dfg" hidden="1">{#N/A,#N/A,FALSE,"Status of Projects";#N/A,#N/A,FALSE,"CEA-TEC";#N/A,#N/A,FALSE,"U-Constr.";#N/A,#N/A,FALSE,"summary";#N/A,#N/A,FALSE,"PPP-3 yrs"}</definedName>
    <definedName name="Diluted_Shares">[10]ValSum!$E$35</definedName>
    <definedName name="DispFmt" hidden="1">[6]Input!#REF!</definedName>
    <definedName name="dwe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eee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EnEsMode" hidden="1">[6]Profile!$K$9</definedName>
    <definedName name="EnYrRng" hidden="1">[6]Profile!$L$11:$AE$11</definedName>
    <definedName name="EqMult" hidden="1">[6]Capital!$K$18:$AE$18</definedName>
    <definedName name="EstRef" hidden="1">[6]Profile!$K$13:$AE$13</definedName>
    <definedName name="EsYrRng" hidden="1">[6]Profile!$L$12:$AE$12</definedName>
    <definedName name="ExpMfgDmy" hidden="1">[6]Input!$A$496:$IV$499</definedName>
    <definedName name="ExpPerDmy" hidden="1">[6]Input!$A$530:$IV$530</definedName>
    <definedName name="ExpSaleDmy" hidden="1">[6]Input!$A$514:$IV$514</definedName>
    <definedName name="FaceVal" hidden="1">[6]Profile!$K$15:$AE$15</definedName>
    <definedName name="FASer" hidden="1">[6]Profile!$BX$5:$BX$12</definedName>
    <definedName name="fdfe" hidden="1">{#N/A,#N/A,FALSE,"Status of Projects";#N/A,#N/A,FALSE,"CEA-TEC";#N/A,#N/A,FALSE,"U-Constr.";#N/A,#N/A,FALSE,"summary";#N/A,#N/A,FALSE,"PPP-3 yrs"}</definedName>
    <definedName name="fff" hidden="1">{#N/A,#N/A,TRUE,"Financials";#N/A,#N/A,TRUE,"Operating Statistics";#N/A,#N/A,TRUE,"Capex &amp; Depreciation";#N/A,#N/A,TRUE,"Debt"}</definedName>
    <definedName name="fgdfgd" hidden="1">[11]Internet!#REF!</definedName>
    <definedName name="fgyjg" hidden="1">{"'PS-SOTM'!$A$1","'PS-SOTM'!$A$2:$M$30","'PS-SOTM'!$A$31:$A$38"}</definedName>
    <definedName name="FH" hidden="1">[12]INDEX!#REF!</definedName>
    <definedName name="fill" hidden="1">'[13]Sheet3 (2)'!$A$60:$A$76</definedName>
    <definedName name="gfgrt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ggg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ggrtr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ghb" hidden="1">#N/A</definedName>
    <definedName name="gt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gyht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help" hidden="1">{#N/A,#N/A,FALSE,"Status of Projects";#N/A,#N/A,FALSE,"CEA-TEC";#N/A,#N/A,FALSE,"U-Constr.";#N/A,#N/A,FALSE,"summary";#N/A,#N/A,FALSE,"PPP-3 yrs"}</definedName>
    <definedName name="hgty6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hhh" hidden="1">{"Print Summary",#N/A,FALSE,"Bal_Graphs";"Print Summary",#N/A,FALSE,"DCF";"Print Summary",#N/A,FALSE,"Graphs";"Print Summary",#N/A,FALSE,"Summary"}</definedName>
    <definedName name="hhhhhhh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hj" hidden="1">[14]International!$B$29:$B$65</definedName>
    <definedName name="HTML_CodePage" hidden="1">1252</definedName>
    <definedName name="HTML_Control" hidden="1">{"'Input'!$D$3"}</definedName>
    <definedName name="HTML_Description" hidden="1">""</definedName>
    <definedName name="HTML_Email" hidden="1">""</definedName>
    <definedName name="HTML_Header" hidden="1">""</definedName>
    <definedName name="HTML_LastUpdate" hidden="1">""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hidden="1">"\\swati\macro\IN_Notes_MM.html"</definedName>
    <definedName name="HTML_PathTemplate" hidden="1">"C:\infac\pricewth\Aug99\Page06e.htm"</definedName>
    <definedName name="HTML_Title" hidden="1">""</definedName>
    <definedName name="InstCap" hidden="1">[8]Input!$K$149:$Y$149,[8]Input!$K$167:$Y$167,[8]Input!$K$185:$Y$185,[8]Input!$K$203:$Y$203,[8]Input!$K$221:$Y$221,[8]Input!$K$239:$Y$239,[8]Input!$K$257:$Y$257,[8]Input!$K$275:$Y$275</definedName>
    <definedName name="InvChg" hidden="1">[6]Input!$K$99:$AE$99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DIN" hidden="1">"AUTO"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"c2076"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" hidden="1">110000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PORT_PCT" hidden="1">"c2541"</definedName>
    <definedName name="IQ_CURRENT_RATIO" hidden="1">"c246"</definedName>
    <definedName name="IQ_CUSIP" hidden="1">"c2245"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ILY" hidden="1">500000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INT" hidden="1">"c360"</definedName>
    <definedName name="IQ_EBIT_MARGIN" hidden="1">"c359"</definedName>
    <definedName name="IQ_EBIT_OVER_IE" hidden="1">"c1369"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EST" hidden="1">"c369"</definedName>
    <definedName name="IQ_EBITDA_HIGH_EST" hidden="1">"c370"</definedName>
    <definedName name="IQ_EBITDA_INT" hidden="1">"c373"</definedName>
    <definedName name="IQ_EBITDA_LOW_EST" hidden="1">"c371"</definedName>
    <definedName name="IQ_EBITDA_MARGIN" hidden="1">"c372"</definedName>
    <definedName name="IQ_EBITDA_MEDIAN_EST" hidden="1">"c1663"</definedName>
    <definedName name="IQ_EBITDA_NUM_EST" hidden="1">"c374"</definedName>
    <definedName name="IQ_EBITDA_OVER_TOTAL_IE" hidden="1">"c1371"</definedName>
    <definedName name="IQ_EBITDA_STDDEV_EST" hidden="1">"c375"</definedName>
    <definedName name="IQ_EBITDAR" hidden="1">"c2989"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UM_EST" hidden="1">"c402"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CURRENCY" hidden="1">"c2140"</definedName>
    <definedName name="IQ_EST_DATE" hidden="1">"c1634"</definedName>
    <definedName name="IQ_EST_EPS_GROWTH_1YR" hidden="1">"c1636"</definedName>
    <definedName name="IQ_EST_EPS_GROWTH_5YR" hidden="1">"c1655"</definedName>
    <definedName name="IQ_EST_EPS_GROWTH_Q_1YR" hidden="1">"c1641"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H" hidden="1">100000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LTMMONTH" hidden="1">120000</definedName>
    <definedName name="IQ_MACHINERY" hidden="1">"c711"</definedName>
    <definedName name="IQ_MAINT_CAPEX" hidden="1">"c2947"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M_ACCOUNT" hidden="1">"c743"</definedName>
    <definedName name="IQ_MONTH" hidden="1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MTD" hidden="1">800000</definedName>
    <definedName name="IQ_NAMES_REVISION_DATE_" hidden="1">41334.5239583333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FAS" hidden="1">"c795"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NSION" hidden="1">"c1031"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TD" hidden="1">750000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UTI" hidden="1">"c1125"</definedName>
    <definedName name="IQ_REVENUE" hidden="1">"c1422"</definedName>
    <definedName name="IQ_REVENUE_EST" hidden="1">"c1126"</definedName>
    <definedName name="IQ_REVENUE_HIGH_EST" hidden="1">"c1127"</definedName>
    <definedName name="IQ_REVENUE_LOW_EST" hidden="1">"c1128"</definedName>
    <definedName name="IQ_REVENUE_MEDIAN_EST" hidden="1">"c1662"</definedName>
    <definedName name="IQ_REVENUE_NUM_EST" hidden="1">"c1129"</definedName>
    <definedName name="IQ_REVISION_DATE_" hidden="1">39244.5892013889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STDDEV" hidden="1">"c1654"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DA" hidden="1">"c1222"</definedName>
    <definedName name="IQ_TEV_EBITDA_AVG" hidden="1">"c1223"</definedName>
    <definedName name="IQ_TEV_EBITDA_FWD" hidden="1">"c1224"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DA" hidden="1">"c2381"</definedName>
    <definedName name="IQ_TR_ACQ_FILING_CURRENCY" hidden="1">"c3033"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DA" hidden="1">"c2334"</definedName>
    <definedName name="IQ_TR_TARGET_FILING_CURRENCY" hidden="1">"c3034"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 hidden="1">50000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jsadjgadf" hidden="1">{#N/A,#N/A,FALSE,"Status of Projects";#N/A,#N/A,FALSE,"CEA-TEC";#N/A,#N/A,FALSE,"U-Constr.";#N/A,#N/A,FALSE,"summary";#N/A,#N/A,FALSE,"PPP-3 yrs"}</definedName>
    <definedName name="kjiiop" hidden="1">#N/A</definedName>
    <definedName name="limcount" hidden="1">1</definedName>
    <definedName name="LtDebtChg" hidden="1">[6]Debt!$K$257:$AE$257</definedName>
    <definedName name="LtDebtDmy" hidden="1">[8]Debt!$A$46:$IV$46,[8]Debt!$A$92:$IV$92,[8]Debt!$A$138:$IV$138,[8]Debt!$A$187:$IV$187,[8]Debt!$A$231:$IV$231</definedName>
    <definedName name="LTDebtSer" hidden="1">[6]Profile!$BI$5:$BI$35</definedName>
    <definedName name="M_PlaceofPath" hidden="1">"\\SNYCEQT0100\HOME\LZURLO\DATA\TELMEX\Models\tmx_vdf.xls"</definedName>
    <definedName name="MfgExpSer" hidden="1">[6]Profile!$AU$5:$AU$12</definedName>
    <definedName name="mm" hidden="1">{#N/A,#N/A,FALSE,"Status of Projects";#N/A,#N/A,FALSE,"CEA-TEC";#N/A,#N/A,FALSE,"U-Constr.";#N/A,#N/A,FALSE,"summary";#N/A,#N/A,FALSE,"PPP-3 yrs"}</definedName>
    <definedName name="mnbg" hidden="1">{#N/A,#N/A,FALSE,"Status of Projects";#N/A,#N/A,FALSE,"CEA-TEC";#N/A,#N/A,FALSE,"U-Constr.";#N/A,#N/A,FALSE,"summary";#N/A,#N/A,FALSE,"PPP-3 yrs"}</definedName>
    <definedName name="n" hidden="1">{#N/A,#N/A,FALSE,"Status of Projects";#N/A,#N/A,FALSE,"CEA-TEC";#N/A,#N/A,FALSE,"U-Constr.";#N/A,#N/A,FALSE,"summary";#N/A,#N/A,FALSE,"PPP-3 yrs"}</definedName>
    <definedName name="NetCAChg" hidden="1">[6]Input!$K$100:$AE$100</definedName>
    <definedName name="NetDebtChg" hidden="1">[6]Formats!$K$109:$AE$109</definedName>
    <definedName name="NetEqChg" hidden="1">[6]Input!$K$45:$AE$45</definedName>
    <definedName name="NFAChg" hidden="1">[6]CapEx!$K$111:$AE$111</definedName>
    <definedName name="Nitin" hidden="1">'[15]Sheet3 (2)'!$A$60:$A$76</definedName>
    <definedName name="nitu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nn" hidden="1">{#N/A,#N/A,FALSE,"Status of Projects";#N/A,#N/A,FALSE,"CEA-TEC";#N/A,#N/A,FALSE,"U-Constr.";#N/A,#N/A,FALSE,"summary";#N/A,#N/A,FALSE,"PPP-3 yrs"}</definedName>
    <definedName name="nnnnnnnnnn" hidden="1">{#N/A,#N/A,FALSE,"Status of Projects";#N/A,#N/A,FALSE,"CEA-TEC";#N/A,#N/A,FALSE,"U-Constr.";#N/A,#N/A,FALSE,"summary";#N/A,#N/A,FALSE,"PPP-3 yrs"}</definedName>
    <definedName name="NtnlPr" hidden="1">[6]Capital!$K$77:$AE$77</definedName>
    <definedName name="OpIncDmy" hidden="1">[6]Input!$A$114:$IV$114</definedName>
    <definedName name="OpIncSer" hidden="1">[6]Profile!$BT$5:$BT$12</definedName>
    <definedName name="parse" hidden="1">#REF!</definedName>
    <definedName name="PrfDmy" hidden="1">[6]Input!$A$26:$IV$26</definedName>
    <definedName name="PrfShSer" hidden="1">[6]Profile!$BB$5:$BB$12</definedName>
    <definedName name="ProdDmy" hidden="1">[6]Input!$A$273:$AI$290</definedName>
    <definedName name="Product" hidden="1">[6]Profile!$AI$5:$AI$12</definedName>
    <definedName name="ProdUnit" hidden="1">[6]Profile!$AJ$5:$AJ$12</definedName>
    <definedName name="PrsExpSer" hidden="1">[6]Profile!$AW$5:$AW$12</definedName>
    <definedName name="PrYears" hidden="1">[6]Profile!$K$5:$AE$5</definedName>
    <definedName name="PUB_FileID" hidden="1">"L10003649.xls"</definedName>
    <definedName name="PUB_UserID" hidden="1">"MAYERX"</definedName>
    <definedName name="qwe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ranj" hidden="1">{"'PS-SOTM'!$A$1","'PS-SOTM'!$A$2:$M$30","'PS-SOTM'!$A$31:$A$38"}</definedName>
    <definedName name="ranja" hidden="1">{#N/A,#N/A,FALSE,"Status of Projects";#N/A,#N/A,FALSE,"CEA-TEC";#N/A,#N/A,FALSE,"U-Constr.";#N/A,#N/A,FALSE,"summary";#N/A,#N/A,FALSE,"PPP-3 yrs"}</definedName>
    <definedName name="ranjan" hidden="1">{"'PS-SOTM'!$A$1","'PS-SOTM'!$A$2:$M$30","'PS-SOTM'!$A$31:$A$38"}</definedName>
    <definedName name="RawMat" hidden="1">[6]Profile!$AO$5:$AO$12</definedName>
    <definedName name="redo" hidden="1">{#N/A,#N/A,FALSE,"ACQ_GRAPHS";#N/A,#N/A,FALSE,"T_1 GRAPHS";#N/A,#N/A,FALSE,"T_2 GRAPHS";#N/A,#N/A,FALSE,"COMB_GRAPHS"}</definedName>
    <definedName name="redo1" hidden="1">{#N/A,#N/A,FALSE,"ACQ_GRAPHS";#N/A,#N/A,FALSE,"T_1 GRAPHS";#N/A,#N/A,FALSE,"T_2 GRAPHS";#N/A,#N/A,FALSE,"COMB_GRAPHS"}</definedName>
    <definedName name="redo2" hidden="1">{#N/A,#N/A,FALSE,"ACQ_GRAPHS";#N/A,#N/A,FALSE,"T_1 GRAPHS";#N/A,#N/A,FALSE,"T_2 GRAPHS";#N/A,#N/A,FALSE,"COMB_GRAPHS"}</definedName>
    <definedName name="RMDmy" hidden="1">[6]Input!$A$423:$AJ$437</definedName>
    <definedName name="RMUnit" hidden="1">[6]Profile!$AP$5:$AP$12</definedName>
    <definedName name="roads_July04" hidden="1">#N/A</definedName>
    <definedName name="rtrg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rtrtr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s" hidden="1">#N/A</definedName>
    <definedName name="SaleUnit" hidden="1">[8]Input!$K$156:$Y$156,[8]Input!$K$174:$Y$174,[8]Input!$K$192:$Y$192,[8]Input!$K$210:$Y$210,[8]Input!$K$228:$Y$228,[8]Input!$K$246:$Y$246,[8]Input!$K$264:$Y$264,[8]Input!$K$282:$Y$282</definedName>
    <definedName name="SaleValue" hidden="1">[8]Input!$K$159:$Y$159,[8]Input!$K$177:$Y$177,[8]Input!$K$195:$Y$195,[8]Input!$K$213:$Y$213,[8]Input!$K$231:$Y$231,[8]Input!$K$249:$Y$249,[8]Input!$K$267:$Y$267,[8]Input!$K$285:$Y$285</definedName>
    <definedName name="sds" hidden="1">{"Print Summary",#N/A,FALSE,"Bal_Graphs";"Print Summary",#N/A,FALSE,"DCF";"Print Summary",#N/A,FALSE,"Graphs";"Print Summary",#N/A,FALSE,"Summary"}</definedName>
    <definedName name="sed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see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sef" hidden="1">{#N/A,#N/A,TRUE,"Economic Indicators";#N/A,#N/A,TRUE,"Cracker Shutdown schedule";#N/A,#N/A,TRUE,"Benzene Shutdown schedule";#N/A,#N/A,TRUE,"PX Shutdown schedule";#N/A,#N/A,TRUE,"Financials";#N/A,#N/A,TRUE,"Prices&amp;Margins";#N/A,#N/A,TRUE,"Demand-supply";#N/A,#N/A,TRUE,"Polymers-Ind Sum-1999-2000";#N/A,#N/A,TRUE,"Polymers-Ind Sum-Q4";#N/A,#N/A,TRUE,"Polymers-Ind Sum-Q3";#N/A,#N/A,TRUE,"Polymers-Ind Sum-Q4overQ3";#N/A,#N/A,TRUE,"RIL-Q4-Prodn-Sales";#N/A,#N/A,TRUE,"RIL-Q4-Prices";#N/A,#N/A,TRUE,"RIL-Q4-Feedstock";#N/A,#N/A,TRUE,"IPCL-Q4-Prodn-Sales";#N/A,#N/A,TRUE,"IPCL-Q4-Prices";#N/A,#N/A,TRUE,"IPCL-Q4-Feedstock";#N/A,#N/A,TRUE,"NOCIL-Q4-Prodn-Sales";#N/A,#N/A,TRUE,"NOCIL-Q4-Prices";#N/A,#N/A,TRUE,"GAIL-Q4-Prodn-Sales";#N/A,#N/A,TRUE,"GAIL-Q4-Prices"}</definedName>
    <definedName name="SelExpSer" hidden="1">[6]Profile!$AV$5:$AV$12</definedName>
    <definedName name="sencount" hidden="1">1</definedName>
    <definedName name="sert" hidden="1">{#N/A,#N/A,FALSE,"Status of Projects";#N/A,#N/A,FALSE,"CEA-TEC";#N/A,#N/A,FALSE,"U-Constr.";#N/A,#N/A,FALSE,"summary";#N/A,#N/A,FALSE,"PPP-3 yrs"}</definedName>
    <definedName name="sfsd" hidden="1">[16]finstats!#REF!</definedName>
    <definedName name="SGCInvChg" hidden="1">[6]Input!$K$98:$AE$98</definedName>
    <definedName name="ShPrmChg" hidden="1">[6]Input!$K$46:$AE$46</definedName>
    <definedName name="sin" hidden="1">{#N/A,#N/A,TRUE,"Economic Indicators";#N/A,#N/A,TRUE,"Cracker Shutdown schedule";#N/A,#N/A,TRUE,"Benzene Shutdown schedule";#N/A,#N/A,TRUE,"PX Shutdown schedule";#N/A,#N/A,TRUE,"Financials";#N/A,#N/A,TRUE,"Prices&amp;Margins";#N/A,#N/A,TRUE,"Demand-supply";#N/A,#N/A,TRUE,"Polymers-Ind Sum-1999-2000";#N/A,#N/A,TRUE,"Polymers-Ind Sum-Q4";#N/A,#N/A,TRUE,"Polymers-Ind Sum-Q3";#N/A,#N/A,TRUE,"Polymers-Ind Sum-Q4overQ3";#N/A,#N/A,TRUE,"RIL-Q4-Prodn-Sales";#N/A,#N/A,TRUE,"RIL-Q4-Prices";#N/A,#N/A,TRUE,"RIL-Q4-Feedstock";#N/A,#N/A,TRUE,"IPCL-Q4-Prodn-Sales";#N/A,#N/A,TRUE,"IPCL-Q4-Prices";#N/A,#N/A,TRUE,"IPCL-Q4-Feedstock";#N/A,#N/A,TRUE,"NOCIL-Q4-Prodn-Sales";#N/A,#N/A,TRUE,"NOCIL-Q4-Prices";#N/A,#N/A,TRUE,"GAIL-Q4-Prodn-Sales";#N/A,#N/A,TRUE,"GAIL-Q4-Prices"}</definedName>
    <definedName name="solver_adj" hidden="1">[1]Hi_low!#REF!</definedName>
    <definedName name="solver_lhs10" hidden="1">#REF!</definedName>
    <definedName name="solver_lhs11" hidden="1">#REF!</definedName>
    <definedName name="solver_lhs12" hidden="1">#REF!</definedName>
    <definedName name="solver_lhs13" hidden="1">#REF!</definedName>
    <definedName name="solver_lhs14" hidden="1">#REF!</definedName>
    <definedName name="solver_lhs15" hidden="1">#REF!</definedName>
    <definedName name="solver_lhs16" hidden="1">#REF!</definedName>
    <definedName name="solver_lhs17" hidden="1">#REF!</definedName>
    <definedName name="solver_lhs18" hidden="1">#REF!</definedName>
    <definedName name="solver_lhs19" hidden="1">#REF!</definedName>
    <definedName name="solver_lhs20" hidden="1">#REF!</definedName>
    <definedName name="solver_lhs21" hidden="1">#REF!</definedName>
    <definedName name="solver_lhs22" hidden="1">#REF!</definedName>
    <definedName name="solver_lhs23" hidden="1">#REF!</definedName>
    <definedName name="solver_lhs24" hidden="1">#REF!</definedName>
    <definedName name="solver_lhs25" hidden="1">#REF!</definedName>
    <definedName name="solver_lhs26" hidden="1">#REF!</definedName>
    <definedName name="solver_lhs27" hidden="1">#REF!</definedName>
    <definedName name="solver_lhs6" hidden="1">#REF!</definedName>
    <definedName name="solver_lhs7" hidden="1">#REF!</definedName>
    <definedName name="solver_lhs8" hidden="1">#REF!</definedName>
    <definedName name="solver_lhs9" hidden="1">#REF!</definedName>
    <definedName name="solver_lin" hidden="1">0</definedName>
    <definedName name="solver_num" hidden="1">0</definedName>
    <definedName name="solver_opt" hidden="1">[1]Hi_low!#REF!</definedName>
    <definedName name="solver_rel10" hidden="1">3</definedName>
    <definedName name="solver_rel11" hidden="1">3</definedName>
    <definedName name="solver_rel12" hidden="1">3</definedName>
    <definedName name="solver_rel13" hidden="1">3</definedName>
    <definedName name="solver_rel14" hidden="1">3</definedName>
    <definedName name="solver_rel15" hidden="1">2</definedName>
    <definedName name="solver_rel16" hidden="1">3</definedName>
    <definedName name="solver_rel17" hidden="1">3</definedName>
    <definedName name="solver_rel18" hidden="1">3</definedName>
    <definedName name="solver_rel19" hidden="1">3</definedName>
    <definedName name="solver_rel20" hidden="1">3</definedName>
    <definedName name="solver_rel21" hidden="1">3</definedName>
    <definedName name="solver_rel22" hidden="1">2</definedName>
    <definedName name="solver_rel23" hidden="1">2</definedName>
    <definedName name="solver_rel24" hidden="1">3</definedName>
    <definedName name="solver_rel25" hidden="1">3</definedName>
    <definedName name="solver_rel26" hidden="1">1</definedName>
    <definedName name="solver_rel27" hidden="1">3</definedName>
    <definedName name="solver_rel6" hidden="1">3</definedName>
    <definedName name="solver_rel7" hidden="1">3</definedName>
    <definedName name="solver_rel8" hidden="1">3</definedName>
    <definedName name="solver_rel9" hidden="1">3</definedName>
    <definedName name="solver_rhs10" hidden="1">270</definedName>
    <definedName name="solver_rhs11" hidden="1">10</definedName>
    <definedName name="solver_rhs12" hidden="1">40</definedName>
    <definedName name="solver_rhs13" hidden="1">30</definedName>
    <definedName name="solver_rhs14" hidden="1">20</definedName>
    <definedName name="solver_rhs15" hidden="1">100</definedName>
    <definedName name="solver_rhs16" hidden="1">15</definedName>
    <definedName name="solver_rhs17" hidden="1">10</definedName>
    <definedName name="solver_rhs18" hidden="1">5</definedName>
    <definedName name="solver_rhs19" hidden="1">1</definedName>
    <definedName name="solver_rhs20" hidden="1">1</definedName>
    <definedName name="solver_rhs21" hidden="1">15</definedName>
    <definedName name="solver_rhs22" hidden="1">0</definedName>
    <definedName name="solver_rhs23" hidden="1">0</definedName>
    <definedName name="solver_rhs24" hidden="1">4</definedName>
    <definedName name="solver_rhs25" hidden="1">5</definedName>
    <definedName name="solver_rhs26" hidden="1">3</definedName>
    <definedName name="solver_rhs27" hidden="1">10</definedName>
    <definedName name="solver_rhs6" hidden="1">8.5</definedName>
    <definedName name="solver_rhs7" hidden="1">25</definedName>
    <definedName name="solver_rhs8" hidden="1">110</definedName>
    <definedName name="solver_rhs9" hidden="1">40</definedName>
    <definedName name="solver_typ" hidden="1">3</definedName>
    <definedName name="solver_val" hidden="1">0.1076</definedName>
    <definedName name="StDebtChg" hidden="1">[6]Debt!$K$258:$AE$258</definedName>
    <definedName name="StDebtDmy" hidden="1">[8]Debt!$A$57:$IV$57,[8]Debt!$A$103:$IV$103,[8]Debt!$A$149:$IV$149,[8]Debt!$A$197:$IV$197,[8]Debt!$A$242:$IV$242</definedName>
    <definedName name="STDebtSer" hidden="1">[6]Profile!$BO$5:$BO$12</definedName>
    <definedName name="Sterling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sudhir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TextRefCopyRangeCount" hidden="1">1</definedName>
    <definedName name="tyui" hidden="1">{#N/A,#N/A,FALSE,"Status of Projects";#N/A,#N/A,FALSE,"CEA-TEC";#N/A,#N/A,FALSE,"U-Constr.";#N/A,#N/A,FALSE,"summary";#N/A,#N/A,FALSE,"PPP-3 yrs"}</definedName>
    <definedName name="UPDATE">'Data Sheet'!$E$1</definedName>
    <definedName name="UtilCap" hidden="1">[8]Input!$K$153:$Y$153,[8]Input!$K$171:$Y$171,[8]Input!$K$189:$Y$189,[8]Input!$K$207:$Y$207,[8]Input!$K$225:$Y$225,[8]Input!$K$243:$Y$243,[8]Input!$K$261:$Y$261,[8]Input!$K$279:$Y$279</definedName>
    <definedName name="UtilProd" hidden="1">[8]Input!$K$152:$Y$152,[8]Input!$K$170:$Y$170,[8]Input!$K$188:$Y$188,[8]Input!$K$206:$Y$206,[8]Input!$K$224:$Y$224,[8]Input!$K$242:$Y$242,[8]Input!$K$260:$Y$260,[8]Input!$K$278:$Y$278</definedName>
    <definedName name="vr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vvv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vvvvvvvvvvvvvvvvvvvvvvv" hidden="1">{#N/A,#N/A,FALSE,"Monthly";#N/A,#N/A,FALSE,"Hong Kong";#N/A,#N/A,FALSE,"New York";#N/A,#N/A,FALSE,"London";#N/A,#N/A,FALSE,"Singapore";#N/A,#N/A,FALSE,"Australia";#N/A,#N/A,FALSE,"Korea"}</definedName>
    <definedName name="wrn" hidden="1">{#N/A,#N/A,FALSE,"Status of Projects";#N/A,#N/A,FALSE,"CEA-TEC";#N/A,#N/A,FALSE,"U-Constr.";#N/A,#N/A,FALSE,"summary";#N/A,#N/A,FALSE,"PPP-3 yrs"}</definedName>
    <definedName name="wrn.All.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wrn.All._.Pages.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1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wrn.Asia.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COMBINED." hidden="1">{#N/A,#N/A,FALSE,"INPUTS";#N/A,#N/A,FALSE,"PROFORMA BSHEET";#N/A,#N/A,FALSE,"COMBINED";#N/A,#N/A,FALSE,"HIGH YIELD";#N/A,#N/A,FALSE,"COMB_GRAPHS"}</definedName>
    <definedName name="wrn.CONSOLIDATION.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tribution." hidden="1">{#N/A,#N/A,FALSE,"Contribution Analysis"}</definedName>
    <definedName name="wrn.Cover.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sc." hidden="1">{"orixcsc",#N/A,FALSE,"ORIX CSC";"orixcsc2",#N/A,FALSE,"ORIX CSC"}</definedName>
    <definedName name="wrn.csc2." hidden="1">{#N/A,#N/A,FALSE,"ORIX CSC"}</definedName>
    <definedName name="wrn.datapak." hidden="1">{#N/A,#N/A,FALSE,"Status of Projects";#N/A,#N/A,FALSE,"CEA-TEC";#N/A,#N/A,FALSE,"U-Constr.";#N/A,#N/A,FALSE,"summary";#N/A,#N/A,FALSE,"PPP-3 yrs"}</definedName>
    <definedName name="wrn.datapak.1" hidden="1">{#N/A,#N/A,FALSE,"Status of Projects";#N/A,#N/A,FALSE,"CEA-TEC";#N/A,#N/A,FALSE,"U-Constr.";#N/A,#N/A,FALSE,"summary";#N/A,#N/A,FALSE,"PPP-3 yrs"}</definedName>
    <definedName name="wrn.eur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Full._.Financials." hidden="1">{#N/A,#N/A,TRUE,"Financials";#N/A,#N/A,TRUE,"Operating Statistics";#N/A,#N/A,TRUE,"Capex &amp; Depreciation";#N/A,#N/A,TRUE,"Debt"}</definedName>
    <definedName name="wrn.GRAPHS." hidden="1">{#N/A,#N/A,FALSE,"ACQ_GRAPHS";#N/A,#N/A,FALSE,"T_1 GRAPHS";#N/A,#N/A,FALSE,"T_2 GRAPHS";#N/A,#N/A,FALSE,"COMB_GRAPHS"}</definedName>
    <definedName name="wrn.Main._.Report._.All._.Sections.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onthly._.Report." hidden="1">{#N/A,#N/A,FALSE,"Monthly";#N/A,#N/A,FALSE,"Hong Kong";#N/A,#N/A,FALSE,"New York";#N/A,#N/A,FALSE,"London";#N/A,#N/A,FALSE,"Singapore";#N/A,#N/A,FALSE,"Australia";#N/A,#N/A,FALSE,"Korea"}</definedName>
    <definedName name="wrn.One._.Pager._.plus._.Technicals." hidden="1">{#N/A,#N/A,FALSE,"One Pager";#N/A,#N/A,FALSE,"Technical"}</definedName>
    <definedName name="wrn.Output.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polymwe." hidden="1">{#N/A,#N/A,TRUE,"Economic Indicators";#N/A,#N/A,TRUE,"Cracker Shutdown schedule";#N/A,#N/A,TRUE,"Benzene Shutdown schedule";#N/A,#N/A,TRUE,"PX Shutdown schedule";#N/A,#N/A,TRUE,"Financials";#N/A,#N/A,TRUE,"Prices&amp;Margins";#N/A,#N/A,TRUE,"Demand-supply";#N/A,#N/A,TRUE,"Polymers-Ind Sum-1999-2000";#N/A,#N/A,TRUE,"Polymers-Ind Sum-Q4";#N/A,#N/A,TRUE,"Polymers-Ind Sum-Q3";#N/A,#N/A,TRUE,"Polymers-Ind Sum-Q4overQ3";#N/A,#N/A,TRUE,"RIL-Q4-Prodn-Sales";#N/A,#N/A,TRUE,"RIL-Q4-Prices";#N/A,#N/A,TRUE,"RIL-Q4-Feedstock";#N/A,#N/A,TRUE,"IPCL-Q4-Prodn-Sales";#N/A,#N/A,TRUE,"IPCL-Q4-Prices";#N/A,#N/A,TRUE,"IPCL-Q4-Feedstock";#N/A,#N/A,TRUE,"NOCIL-Q4-Prodn-Sales";#N/A,#N/A,TRUE,"NOCIL-Q4-Prices";#N/A,#N/A,TRUE,"GAIL-Q4-Prodn-Sales";#N/A,#N/A,TRUE,"GAIL-Q4-Prices"}</definedName>
    <definedName name="wrn.Print." hidden="1">{"vi1",#N/A,FALSE,"Financial Statements";"vi2",#N/A,FALSE,"Financial Statements";#N/A,#N/A,FALSE,"DCF"}</definedName>
    <definedName name="wrn.repot.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wrn.Summary." hidden="1">{"Print Summary",#N/A,FALSE,"Bal_Graphs";"Print Summary",#N/A,FALSE,"DCF";"Print Summary",#N/A,FALSE,"Graphs";"Print Summary",#N/A,FALSE,"Summary"}</definedName>
    <definedName name="wrn.test." hidden="1">{"test2",#N/A,TRUE,"Prices"}</definedName>
    <definedName name="wrn.VALUATION." hidden="1">{#N/A,#N/A,FALSE,"Valuation Assumptions";#N/A,#N/A,FALSE,"Summary";#N/A,#N/A,FALSE,"DCF";#N/A,#N/A,FALSE,"Valuation";#N/A,#N/A,FALSE,"WACC";#N/A,#N/A,FALSE,"UBVH";#N/A,#N/A,FALSE,"Free Cash Flow"}</definedName>
    <definedName name="wrn1.repot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xls" hidden="1">{"Print Summary",#N/A,FALSE,"Bal_Graphs";"Print Summary",#N/A,FALSE,"DCF";"Print Summary",#N/A,FALSE,"Graphs";"Print Summary",#N/A,FALSE,"Summary"}</definedName>
    <definedName name="YrRange" hidden="1">[6]Profile!$K$10:$AE$10</definedName>
    <definedName name="zaq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zzz" hidden="1">#N/A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" i="11" l="1"/>
  <c r="D23" i="11"/>
  <c r="E23" i="11"/>
  <c r="F23" i="11"/>
  <c r="B23" i="11"/>
  <c r="C26" i="11"/>
  <c r="D26" i="11"/>
  <c r="E26" i="11"/>
  <c r="F26" i="11"/>
  <c r="B26" i="11"/>
  <c r="C25" i="11"/>
  <c r="D25" i="11"/>
  <c r="E25" i="11"/>
  <c r="F25" i="11"/>
  <c r="B25" i="11"/>
  <c r="C24" i="11"/>
  <c r="D24" i="11"/>
  <c r="E24" i="11"/>
  <c r="F24" i="11"/>
  <c r="B24" i="11"/>
  <c r="F17" i="20"/>
  <c r="E17" i="20"/>
  <c r="D17" i="20"/>
  <c r="V2" i="12"/>
  <c r="G19" i="11"/>
  <c r="C27" i="11" l="1"/>
  <c r="B27" i="11"/>
  <c r="E27" i="11"/>
  <c r="D27" i="11"/>
  <c r="F27" i="11"/>
  <c r="D50" i="2"/>
  <c r="E50" i="2"/>
  <c r="B19" i="11"/>
  <c r="F11" i="22" l="1"/>
  <c r="E11" i="22"/>
  <c r="I4" i="20"/>
  <c r="I12" i="20" s="1"/>
  <c r="I21" i="20" s="1"/>
  <c r="M3" i="20"/>
  <c r="K3" i="20"/>
  <c r="D6" i="20"/>
  <c r="D5" i="20"/>
  <c r="D4" i="20"/>
  <c r="D3" i="20"/>
  <c r="H4" i="12"/>
  <c r="I4" i="12" s="1"/>
  <c r="J4" i="12" s="1"/>
  <c r="K4" i="12" s="1"/>
  <c r="P7" i="12"/>
  <c r="Y9" i="12"/>
  <c r="Y5" i="12"/>
  <c r="C19" i="14"/>
  <c r="D19" i="14"/>
  <c r="E19" i="14"/>
  <c r="F19" i="14"/>
  <c r="B19" i="14"/>
  <c r="C18" i="14"/>
  <c r="D18" i="14"/>
  <c r="E18" i="14"/>
  <c r="F18" i="14"/>
  <c r="B18" i="14"/>
  <c r="C17" i="14"/>
  <c r="D17" i="14"/>
  <c r="E17" i="14"/>
  <c r="F17" i="14"/>
  <c r="B17" i="14"/>
  <c r="C16" i="14"/>
  <c r="D16" i="14"/>
  <c r="E16" i="14"/>
  <c r="F16" i="14"/>
  <c r="B16" i="14"/>
  <c r="Y4" i="12"/>
  <c r="E43" i="12"/>
  <c r="B11" i="7"/>
  <c r="B30" i="12"/>
  <c r="B31" i="12" s="1"/>
  <c r="G31" i="12" s="1"/>
  <c r="C11" i="7"/>
  <c r="E32" i="14"/>
  <c r="J28" i="14"/>
  <c r="K28" i="14"/>
  <c r="L28" i="14"/>
  <c r="H30" i="14"/>
  <c r="I30" i="14"/>
  <c r="J30" i="14"/>
  <c r="K30" i="14"/>
  <c r="L30" i="14"/>
  <c r="D30" i="14"/>
  <c r="E30" i="14"/>
  <c r="F30" i="14"/>
  <c r="B30" i="14"/>
  <c r="B32" i="14" s="1"/>
  <c r="B43" i="12" s="1"/>
  <c r="C30" i="14"/>
  <c r="C29" i="14"/>
  <c r="D29" i="14"/>
  <c r="E29" i="14"/>
  <c r="F29" i="14"/>
  <c r="F32" i="14" s="1"/>
  <c r="F43" i="12" s="1"/>
  <c r="B29" i="14"/>
  <c r="H28" i="14"/>
  <c r="B45" i="12"/>
  <c r="B14" i="14"/>
  <c r="B15" i="14" s="1"/>
  <c r="C9" i="14"/>
  <c r="D9" i="14"/>
  <c r="E9" i="14"/>
  <c r="F9" i="14"/>
  <c r="B9" i="14"/>
  <c r="F10" i="14"/>
  <c r="F12" i="14"/>
  <c r="F13" i="14"/>
  <c r="F14" i="14"/>
  <c r="C7" i="14"/>
  <c r="C8" i="14" s="1"/>
  <c r="D7" i="14"/>
  <c r="D8" i="14" s="1"/>
  <c r="E7" i="14"/>
  <c r="E8" i="14" s="1"/>
  <c r="F7" i="14"/>
  <c r="F8" i="14" s="1"/>
  <c r="B7" i="14"/>
  <c r="B8" i="14" s="1"/>
  <c r="F6" i="14"/>
  <c r="C6" i="14"/>
  <c r="D6" i="14"/>
  <c r="E6" i="14"/>
  <c r="B6" i="14"/>
  <c r="C14" i="14"/>
  <c r="D14" i="14"/>
  <c r="D15" i="14" s="1"/>
  <c r="E14" i="14"/>
  <c r="E24" i="14" s="1"/>
  <c r="C13" i="14"/>
  <c r="D13" i="14"/>
  <c r="E13" i="14"/>
  <c r="C12" i="14"/>
  <c r="D12" i="14"/>
  <c r="E12" i="14"/>
  <c r="B12" i="14"/>
  <c r="B13" i="14"/>
  <c r="C10" i="14"/>
  <c r="D10" i="14"/>
  <c r="D11" i="14" s="1"/>
  <c r="E10" i="14"/>
  <c r="E11" i="14" s="1"/>
  <c r="B10" i="14"/>
  <c r="D3" i="14"/>
  <c r="E3" i="14"/>
  <c r="F3" i="14"/>
  <c r="C3" i="14"/>
  <c r="B3" i="14"/>
  <c r="D4" i="14"/>
  <c r="E4" i="14"/>
  <c r="F4" i="14"/>
  <c r="C4" i="14"/>
  <c r="B4" i="14"/>
  <c r="B19" i="8"/>
  <c r="C34" i="12"/>
  <c r="D34" i="12"/>
  <c r="E34" i="12"/>
  <c r="F34" i="12"/>
  <c r="B34" i="12"/>
  <c r="C30" i="12"/>
  <c r="D30" i="12"/>
  <c r="E30" i="12"/>
  <c r="F30" i="12"/>
  <c r="G32" i="12"/>
  <c r="C24" i="12"/>
  <c r="C41" i="12" s="1"/>
  <c r="D24" i="12"/>
  <c r="D25" i="12" s="1"/>
  <c r="E24" i="12"/>
  <c r="E41" i="12" s="1"/>
  <c r="F24" i="12"/>
  <c r="F25" i="12" s="1"/>
  <c r="B24" i="12"/>
  <c r="B41" i="12" s="1"/>
  <c r="B15" i="12"/>
  <c r="L7" i="12"/>
  <c r="Q7" i="12"/>
  <c r="R7" i="12" s="1"/>
  <c r="E19" i="12"/>
  <c r="F19" i="12"/>
  <c r="B19" i="12"/>
  <c r="C18" i="12"/>
  <c r="C19" i="12" s="1"/>
  <c r="D18" i="12"/>
  <c r="D19" i="12" s="1"/>
  <c r="E18" i="12"/>
  <c r="F18" i="12"/>
  <c r="B18" i="12"/>
  <c r="B5" i="7"/>
  <c r="D15" i="12"/>
  <c r="D16" i="12" s="1"/>
  <c r="E15" i="12"/>
  <c r="E16" i="12" s="1"/>
  <c r="F15" i="12"/>
  <c r="F16" i="12" s="1"/>
  <c r="C15" i="12"/>
  <c r="B12" i="12"/>
  <c r="F11" i="8"/>
  <c r="F12" i="8"/>
  <c r="F13" i="8"/>
  <c r="F14" i="8"/>
  <c r="E11" i="8"/>
  <c r="E12" i="8"/>
  <c r="E13" i="8"/>
  <c r="E14" i="8"/>
  <c r="D11" i="8"/>
  <c r="D12" i="8"/>
  <c r="D13" i="8"/>
  <c r="D14" i="8"/>
  <c r="C11" i="8"/>
  <c r="C12" i="8"/>
  <c r="C13" i="8"/>
  <c r="C14" i="8"/>
  <c r="B11" i="8"/>
  <c r="B12" i="8"/>
  <c r="B13" i="8"/>
  <c r="B14" i="8"/>
  <c r="C10" i="8"/>
  <c r="D10" i="8"/>
  <c r="E10" i="8"/>
  <c r="F10" i="8"/>
  <c r="B10" i="8"/>
  <c r="I7" i="12"/>
  <c r="J7" i="12" s="1"/>
  <c r="K7" i="12" s="1"/>
  <c r="P3" i="12"/>
  <c r="Q3" i="12" s="1"/>
  <c r="R3" i="12" s="1"/>
  <c r="S3" i="12" s="1"/>
  <c r="L4" i="12" s="1"/>
  <c r="C6" i="12"/>
  <c r="D6" i="12"/>
  <c r="E6" i="12"/>
  <c r="F6" i="12"/>
  <c r="F7" i="12" s="1"/>
  <c r="C9" i="12"/>
  <c r="D9" i="12"/>
  <c r="E9" i="12"/>
  <c r="F9" i="12"/>
  <c r="C12" i="12"/>
  <c r="C13" i="12" s="1"/>
  <c r="D12" i="12"/>
  <c r="E12" i="12"/>
  <c r="F12" i="12"/>
  <c r="B9" i="12"/>
  <c r="B6" i="12"/>
  <c r="D3" i="12"/>
  <c r="E3" i="12"/>
  <c r="F3" i="12"/>
  <c r="C3" i="12"/>
  <c r="C25" i="12" s="1"/>
  <c r="B3" i="12"/>
  <c r="J6" i="19"/>
  <c r="J10" i="19"/>
  <c r="J12" i="19" s="1"/>
  <c r="D9" i="22" l="1"/>
  <c r="F9" i="22"/>
  <c r="E9" i="22"/>
  <c r="H3" i="12"/>
  <c r="I3" i="12" s="1"/>
  <c r="I7" i="14" s="1"/>
  <c r="C24" i="14"/>
  <c r="H29" i="14"/>
  <c r="I29" i="14" s="1"/>
  <c r="B39" i="12"/>
  <c r="C11" i="14"/>
  <c r="F11" i="14"/>
  <c r="F24" i="14"/>
  <c r="F25" i="14" s="1"/>
  <c r="F45" i="12" s="1"/>
  <c r="B24" i="14"/>
  <c r="C5" i="14"/>
  <c r="F15" i="14"/>
  <c r="D24" i="14"/>
  <c r="E5" i="14"/>
  <c r="G8" i="14"/>
  <c r="H8" i="14" s="1"/>
  <c r="I8" i="14" s="1"/>
  <c r="J8" i="14" s="1"/>
  <c r="K8" i="14" s="1"/>
  <c r="L8" i="14" s="1"/>
  <c r="D5" i="14"/>
  <c r="G5" i="14" s="1"/>
  <c r="H5" i="14" s="1"/>
  <c r="E15" i="14"/>
  <c r="C15" i="14"/>
  <c r="F5" i="14"/>
  <c r="D41" i="12"/>
  <c r="G34" i="12"/>
  <c r="H34" i="12" s="1"/>
  <c r="I34" i="12" s="1"/>
  <c r="J34" i="12" s="1"/>
  <c r="K34" i="12" s="1"/>
  <c r="L34" i="12" s="1"/>
  <c r="B21" i="12"/>
  <c r="B22" i="12" s="1"/>
  <c r="E21" i="12"/>
  <c r="E27" i="12" s="1"/>
  <c r="E29" i="12" s="1"/>
  <c r="E25" i="12"/>
  <c r="D21" i="12"/>
  <c r="D27" i="12" s="1"/>
  <c r="D29" i="12" s="1"/>
  <c r="D32" i="12" s="1"/>
  <c r="C21" i="12"/>
  <c r="C27" i="12" s="1"/>
  <c r="C29" i="12" s="1"/>
  <c r="C32" i="12" s="1"/>
  <c r="G19" i="12"/>
  <c r="H19" i="12" s="1"/>
  <c r="C16" i="12"/>
  <c r="G16" i="12" s="1"/>
  <c r="H16" i="12" s="1"/>
  <c r="I16" i="12" s="1"/>
  <c r="J16" i="12" s="1"/>
  <c r="K16" i="12" s="1"/>
  <c r="L16" i="12" s="1"/>
  <c r="B25" i="12"/>
  <c r="G25" i="12" s="1"/>
  <c r="H25" i="12" s="1"/>
  <c r="I25" i="12" s="1"/>
  <c r="J25" i="12" s="1"/>
  <c r="K25" i="12" s="1"/>
  <c r="L25" i="12" s="1"/>
  <c r="F41" i="12"/>
  <c r="G15" i="12"/>
  <c r="B10" i="12"/>
  <c r="E4" i="12"/>
  <c r="F21" i="12"/>
  <c r="F22" i="12" s="1"/>
  <c r="H6" i="12"/>
  <c r="I6" i="12" s="1"/>
  <c r="J6" i="12" s="1"/>
  <c r="K6" i="12" s="1"/>
  <c r="L6" i="12" s="1"/>
  <c r="E7" i="12"/>
  <c r="B13" i="12"/>
  <c r="F10" i="12"/>
  <c r="C10" i="12"/>
  <c r="D13" i="12"/>
  <c r="D7" i="12"/>
  <c r="D4" i="12"/>
  <c r="E10" i="12"/>
  <c r="D10" i="12"/>
  <c r="C7" i="12"/>
  <c r="C4" i="12"/>
  <c r="F13" i="12"/>
  <c r="E13" i="12"/>
  <c r="F4" i="12"/>
  <c r="H7" i="14" l="1"/>
  <c r="D25" i="14"/>
  <c r="D45" i="12" s="1"/>
  <c r="J29" i="14"/>
  <c r="I32" i="14"/>
  <c r="I43" i="12" s="1"/>
  <c r="H32" i="14"/>
  <c r="H43" i="12" s="1"/>
  <c r="C25" i="14"/>
  <c r="C45" i="12" s="1"/>
  <c r="G11" i="14"/>
  <c r="H11" i="14" s="1"/>
  <c r="I11" i="14" s="1"/>
  <c r="J11" i="14" s="1"/>
  <c r="K11" i="14" s="1"/>
  <c r="L11" i="14" s="1"/>
  <c r="E25" i="14"/>
  <c r="E45" i="12" s="1"/>
  <c r="H10" i="14"/>
  <c r="I10" i="14" s="1"/>
  <c r="J10" i="14" s="1"/>
  <c r="K10" i="14" s="1"/>
  <c r="L10" i="14" s="1"/>
  <c r="G15" i="14"/>
  <c r="H15" i="14" s="1"/>
  <c r="H14" i="14" s="1"/>
  <c r="I5" i="14"/>
  <c r="J5" i="14" s="1"/>
  <c r="K5" i="14" s="1"/>
  <c r="L5" i="14" s="1"/>
  <c r="H4" i="14"/>
  <c r="I4" i="14" s="1"/>
  <c r="B27" i="12"/>
  <c r="B29" i="12" s="1"/>
  <c r="B32" i="12" s="1"/>
  <c r="E22" i="12"/>
  <c r="F27" i="12"/>
  <c r="F29" i="12" s="1"/>
  <c r="D31" i="12"/>
  <c r="D39" i="12" s="1"/>
  <c r="C31" i="12"/>
  <c r="C39" i="12" s="1"/>
  <c r="H15" i="12"/>
  <c r="I15" i="12" s="1"/>
  <c r="J15" i="12" s="1"/>
  <c r="G21" i="12"/>
  <c r="G10" i="12"/>
  <c r="H10" i="12" s="1"/>
  <c r="H9" i="12" s="1"/>
  <c r="H24" i="12"/>
  <c r="H41" i="12" s="1"/>
  <c r="G7" i="12"/>
  <c r="J3" i="12"/>
  <c r="J7" i="14" s="1"/>
  <c r="I18" i="12"/>
  <c r="I24" i="12"/>
  <c r="I41" i="12" s="1"/>
  <c r="H18" i="12"/>
  <c r="I19" i="12"/>
  <c r="J19" i="12" s="1"/>
  <c r="K19" i="12" s="1"/>
  <c r="L19" i="12" s="1"/>
  <c r="E31" i="12"/>
  <c r="E39" i="12" s="1"/>
  <c r="E32" i="12"/>
  <c r="G13" i="12"/>
  <c r="H13" i="12" s="1"/>
  <c r="I13" i="12" s="1"/>
  <c r="H24" i="14" l="1"/>
  <c r="H25" i="14" s="1"/>
  <c r="H45" i="12" s="1"/>
  <c r="K29" i="14"/>
  <c r="J32" i="14"/>
  <c r="J43" i="12" s="1"/>
  <c r="J4" i="14"/>
  <c r="K4" i="14" s="1"/>
  <c r="L4" i="14" s="1"/>
  <c r="I15" i="14"/>
  <c r="J15" i="14" s="1"/>
  <c r="J14" i="14" s="1"/>
  <c r="J24" i="14" s="1"/>
  <c r="I10" i="12"/>
  <c r="J10" i="12" s="1"/>
  <c r="K10" i="12" s="1"/>
  <c r="J18" i="12"/>
  <c r="J24" i="12"/>
  <c r="J41" i="12" s="1"/>
  <c r="K3" i="12"/>
  <c r="K7" i="14" s="1"/>
  <c r="F31" i="12"/>
  <c r="F32" i="12"/>
  <c r="K15" i="12"/>
  <c r="I12" i="12"/>
  <c r="I21" i="12" s="1"/>
  <c r="I27" i="12" s="1"/>
  <c r="I29" i="12" s="1"/>
  <c r="J13" i="12"/>
  <c r="K13" i="12" s="1"/>
  <c r="H12" i="12"/>
  <c r="H21" i="12" s="1"/>
  <c r="H27" i="12" s="1"/>
  <c r="H29" i="12" s="1"/>
  <c r="K32" i="14" l="1"/>
  <c r="K43" i="12" s="1"/>
  <c r="L29" i="14"/>
  <c r="L32" i="14" s="1"/>
  <c r="L43" i="12" s="1"/>
  <c r="K15" i="14"/>
  <c r="K14" i="14" s="1"/>
  <c r="K24" i="14" s="1"/>
  <c r="K25" i="14" s="1"/>
  <c r="K45" i="12" s="1"/>
  <c r="I14" i="14"/>
  <c r="I24" i="14" s="1"/>
  <c r="I25" i="14" s="1"/>
  <c r="I45" i="12" s="1"/>
  <c r="J9" i="12"/>
  <c r="I9" i="12"/>
  <c r="K18" i="12"/>
  <c r="K24" i="12"/>
  <c r="K41" i="12" s="1"/>
  <c r="F39" i="12"/>
  <c r="H31" i="12"/>
  <c r="H30" i="12" s="1"/>
  <c r="L15" i="12"/>
  <c r="J12" i="12"/>
  <c r="J21" i="12" s="1"/>
  <c r="J27" i="12" s="1"/>
  <c r="J29" i="12" s="1"/>
  <c r="L13" i="12"/>
  <c r="K12" i="12"/>
  <c r="K9" i="12"/>
  <c r="L10" i="12"/>
  <c r="L15" i="14" l="1"/>
  <c r="J25" i="14"/>
  <c r="J45" i="12" s="1"/>
  <c r="K21" i="12"/>
  <c r="K27" i="12" s="1"/>
  <c r="K29" i="12" s="1"/>
  <c r="I31" i="12"/>
  <c r="H39" i="12"/>
  <c r="H32" i="12"/>
  <c r="J31" i="12" l="1"/>
  <c r="I39" i="12"/>
  <c r="I30" i="12"/>
  <c r="I32" i="12" s="1"/>
  <c r="K31" i="12" l="1"/>
  <c r="J39" i="12"/>
  <c r="J30" i="12"/>
  <c r="J32" i="12" s="1"/>
  <c r="L31" i="12" l="1"/>
  <c r="K39" i="12"/>
  <c r="K30" i="12"/>
  <c r="K32" i="12" s="1"/>
  <c r="J5" i="19" l="1"/>
  <c r="J14" i="19" s="1"/>
  <c r="J16" i="19" s="1"/>
  <c r="H50" i="12" l="1"/>
  <c r="B14" i="7"/>
  <c r="B23" i="7" s="1"/>
  <c r="B24" i="7" s="1"/>
  <c r="C14" i="7"/>
  <c r="D14" i="7"/>
  <c r="E14" i="7"/>
  <c r="F14" i="7"/>
  <c r="C4" i="7"/>
  <c r="D4" i="7"/>
  <c r="E4" i="7"/>
  <c r="F4" i="7"/>
  <c r="C5" i="7"/>
  <c r="D5" i="7"/>
  <c r="E5" i="7"/>
  <c r="F5" i="7"/>
  <c r="F7" i="7" s="1"/>
  <c r="C6" i="7"/>
  <c r="D6" i="7"/>
  <c r="E6" i="7"/>
  <c r="F6" i="7"/>
  <c r="C8" i="7"/>
  <c r="D8" i="7"/>
  <c r="E8" i="7"/>
  <c r="F8" i="7"/>
  <c r="C9" i="7"/>
  <c r="D9" i="7"/>
  <c r="E9" i="7"/>
  <c r="F9" i="7"/>
  <c r="D11" i="7"/>
  <c r="E11" i="7"/>
  <c r="F11" i="7"/>
  <c r="B8" i="7"/>
  <c r="B26" i="2"/>
  <c r="B6" i="9"/>
  <c r="B6" i="7"/>
  <c r="H6" i="7" s="1"/>
  <c r="C7" i="7" l="1"/>
  <c r="D7" i="7"/>
  <c r="B7" i="7"/>
  <c r="C10" i="7"/>
  <c r="C12" i="7" s="1"/>
  <c r="D10" i="7"/>
  <c r="E7" i="7"/>
  <c r="E10" i="7" s="1"/>
  <c r="E12" i="7" s="1"/>
  <c r="F10" i="7"/>
  <c r="F12" i="7" s="1"/>
  <c r="D12" i="7"/>
  <c r="H5" i="7"/>
  <c r="C61" i="2" l="1"/>
  <c r="D61" i="2"/>
  <c r="E61" i="2"/>
  <c r="F61" i="2"/>
  <c r="B61" i="2"/>
  <c r="C26" i="2"/>
  <c r="D26" i="2"/>
  <c r="E26" i="2"/>
  <c r="F26" i="2"/>
  <c r="B28" i="2"/>
  <c r="C28" i="2"/>
  <c r="D28" i="2"/>
  <c r="E28" i="2"/>
  <c r="F28" i="2"/>
  <c r="B6" i="2"/>
  <c r="C11" i="22" l="1"/>
  <c r="D11" i="22" s="1"/>
  <c r="I49" i="12" l="1"/>
  <c r="Y11" i="12"/>
  <c r="J49" i="12" l="1"/>
  <c r="B20" i="14" l="1"/>
  <c r="C20" i="14"/>
  <c r="D20" i="14"/>
  <c r="E20" i="14"/>
  <c r="H3" i="14" l="1"/>
  <c r="I3" i="14" s="1"/>
  <c r="J3" i="14" s="1"/>
  <c r="K3" i="14" s="1"/>
  <c r="L3" i="14" s="1"/>
  <c r="K14" i="20"/>
  <c r="K23" i="20"/>
  <c r="K6" i="20"/>
  <c r="K22" i="20" l="1"/>
  <c r="K5" i="20"/>
  <c r="K13" i="20"/>
  <c r="Y6" i="12"/>
  <c r="M14" i="20"/>
  <c r="M6" i="20"/>
  <c r="M23" i="20"/>
  <c r="K11" i="20"/>
  <c r="K20" i="20"/>
  <c r="D28" i="14"/>
  <c r="D32" i="14" s="1"/>
  <c r="D43" i="12" s="1"/>
  <c r="C28" i="14"/>
  <c r="C32" i="14" s="1"/>
  <c r="C43" i="12" s="1"/>
  <c r="F28" i="14"/>
  <c r="E28" i="14"/>
  <c r="B47" i="12" l="1"/>
  <c r="M22" i="20"/>
  <c r="M5" i="20"/>
  <c r="M13" i="20"/>
  <c r="V8" i="12"/>
  <c r="I28" i="14" l="1"/>
  <c r="L3" i="12"/>
  <c r="L7" i="14" l="1"/>
  <c r="L14" i="14"/>
  <c r="L24" i="12"/>
  <c r="L41" i="12" s="1"/>
  <c r="L18" i="12"/>
  <c r="L9" i="12"/>
  <c r="L12" i="12"/>
  <c r="L24" i="14" l="1"/>
  <c r="L25" i="14" s="1"/>
  <c r="L45" i="12" s="1"/>
  <c r="L21" i="12"/>
  <c r="L27" i="12" s="1"/>
  <c r="L39" i="12" s="1"/>
  <c r="L22" i="12" l="1"/>
  <c r="L29" i="12"/>
  <c r="L30" i="12" s="1"/>
  <c r="L32" i="12" s="1"/>
  <c r="L47" i="12"/>
  <c r="L51" i="12" s="1"/>
  <c r="V5" i="12" s="1"/>
  <c r="C22" i="12" l="1"/>
  <c r="M20" i="20" l="1"/>
  <c r="M11" i="20"/>
  <c r="D22" i="12"/>
  <c r="G22" i="12" l="1"/>
  <c r="D47" i="12"/>
  <c r="C47" i="12"/>
  <c r="H22" i="12"/>
  <c r="F47" i="12"/>
  <c r="H47" i="12" l="1"/>
  <c r="H51" i="12" s="1"/>
  <c r="I22" i="12"/>
  <c r="I47" i="12" l="1"/>
  <c r="I51" i="12" s="1"/>
  <c r="J22" i="12"/>
  <c r="K22" i="12"/>
  <c r="K47" i="12" l="1"/>
  <c r="J47" i="12"/>
  <c r="B21" i="11"/>
  <c r="C21" i="11"/>
  <c r="D21" i="11"/>
  <c r="E21" i="11"/>
  <c r="F21" i="11"/>
  <c r="C19" i="11"/>
  <c r="D19" i="11"/>
  <c r="E19" i="11"/>
  <c r="F19" i="11"/>
  <c r="J51" i="12" l="1"/>
  <c r="V7" i="12"/>
  <c r="V9" i="12" s="1"/>
  <c r="K51" i="12"/>
  <c r="F3" i="11"/>
  <c r="E3" i="11"/>
  <c r="D3" i="11"/>
  <c r="C3" i="11"/>
  <c r="B3" i="11"/>
  <c r="B5" i="9"/>
  <c r="C5" i="9"/>
  <c r="D5" i="9"/>
  <c r="E5" i="9"/>
  <c r="F5" i="9"/>
  <c r="C6" i="9"/>
  <c r="D6" i="9"/>
  <c r="E6" i="9"/>
  <c r="F6" i="9"/>
  <c r="B4" i="9"/>
  <c r="C4" i="9"/>
  <c r="D4" i="9"/>
  <c r="E4" i="9"/>
  <c r="F4" i="9"/>
  <c r="F3" i="9"/>
  <c r="E3" i="9"/>
  <c r="D3" i="9"/>
  <c r="C3" i="9"/>
  <c r="B3" i="9"/>
  <c r="B17" i="8"/>
  <c r="C17" i="8"/>
  <c r="D17" i="8"/>
  <c r="E17" i="8"/>
  <c r="F17" i="8"/>
  <c r="B18" i="8"/>
  <c r="B9" i="9" s="1"/>
  <c r="C18" i="8"/>
  <c r="C9" i="9" s="1"/>
  <c r="D18" i="8"/>
  <c r="D9" i="9" s="1"/>
  <c r="E18" i="8"/>
  <c r="E9" i="9" s="1"/>
  <c r="F18" i="8"/>
  <c r="F9" i="9" s="1"/>
  <c r="B16" i="8"/>
  <c r="C16" i="8"/>
  <c r="D16" i="8"/>
  <c r="E16" i="8"/>
  <c r="F16" i="8"/>
  <c r="B5" i="8"/>
  <c r="C5" i="8"/>
  <c r="D5" i="8"/>
  <c r="E5" i="8"/>
  <c r="F5" i="8"/>
  <c r="B6" i="8"/>
  <c r="C6" i="8"/>
  <c r="D6" i="8"/>
  <c r="E6" i="8"/>
  <c r="F6" i="8"/>
  <c r="B7" i="8"/>
  <c r="C7" i="8"/>
  <c r="D7" i="8"/>
  <c r="E7" i="8"/>
  <c r="F7" i="8"/>
  <c r="B4" i="8"/>
  <c r="C4" i="8"/>
  <c r="D4" i="8"/>
  <c r="E4" i="8"/>
  <c r="F4" i="8"/>
  <c r="F3" i="8"/>
  <c r="E3" i="8"/>
  <c r="D3" i="8"/>
  <c r="C3" i="8"/>
  <c r="B3" i="8"/>
  <c r="B16" i="7"/>
  <c r="C16" i="7"/>
  <c r="D16" i="7"/>
  <c r="E16" i="7"/>
  <c r="F16" i="7"/>
  <c r="B9" i="7"/>
  <c r="B10" i="7" s="1"/>
  <c r="Y3" i="12" l="1"/>
  <c r="F21" i="8"/>
  <c r="H16" i="7"/>
  <c r="B16" i="9"/>
  <c r="B19" i="9" s="1"/>
  <c r="E7" i="9"/>
  <c r="C19" i="8"/>
  <c r="F16" i="9"/>
  <c r="F19" i="9" s="1"/>
  <c r="I6" i="7"/>
  <c r="B20" i="8"/>
  <c r="D7" i="9"/>
  <c r="F20" i="8"/>
  <c r="I16" i="7"/>
  <c r="B7" i="9"/>
  <c r="E20" i="8"/>
  <c r="E16" i="9"/>
  <c r="E19" i="9" s="1"/>
  <c r="D16" i="9"/>
  <c r="D19" i="9" s="1"/>
  <c r="C20" i="8"/>
  <c r="C16" i="9"/>
  <c r="C19" i="9" s="1"/>
  <c r="F7" i="9"/>
  <c r="F12" i="9"/>
  <c r="D21" i="8"/>
  <c r="E19" i="8"/>
  <c r="D20" i="8"/>
  <c r="C7" i="9"/>
  <c r="E12" i="9"/>
  <c r="D12" i="9"/>
  <c r="C12" i="9"/>
  <c r="B12" i="9"/>
  <c r="F19" i="8"/>
  <c r="C21" i="8"/>
  <c r="C25" i="8" s="1"/>
  <c r="D19" i="8"/>
  <c r="B21" i="8"/>
  <c r="B25" i="8" s="1"/>
  <c r="E21" i="8"/>
  <c r="E25" i="8" s="1"/>
  <c r="E14" i="11" s="1"/>
  <c r="E8" i="8"/>
  <c r="F8" i="8"/>
  <c r="B8" i="8"/>
  <c r="D8" i="8"/>
  <c r="C8" i="8"/>
  <c r="Y8" i="12" l="1"/>
  <c r="Y10" i="12" s="1"/>
  <c r="AB3" i="12" s="1"/>
  <c r="H12" i="9"/>
  <c r="B17" i="9"/>
  <c r="B20" i="9" s="1"/>
  <c r="F25" i="8"/>
  <c r="F14" i="11" s="1"/>
  <c r="I12" i="9"/>
  <c r="D25" i="8"/>
  <c r="D14" i="11" s="1"/>
  <c r="D17" i="9"/>
  <c r="D20" i="9" s="1"/>
  <c r="E17" i="9"/>
  <c r="E20" i="9" s="1"/>
  <c r="F17" i="9"/>
  <c r="F20" i="9" s="1"/>
  <c r="C17" i="9"/>
  <c r="G12" i="9"/>
  <c r="C14" i="11"/>
  <c r="G20" i="9" l="1"/>
  <c r="C20" i="9"/>
  <c r="I25" i="8"/>
  <c r="H25" i="8"/>
  <c r="B14" i="11"/>
  <c r="B20" i="11"/>
  <c r="C20" i="11"/>
  <c r="D20" i="11"/>
  <c r="E20" i="11"/>
  <c r="F20" i="11"/>
  <c r="B4" i="7"/>
  <c r="H4" i="7" s="1"/>
  <c r="B3" i="7"/>
  <c r="C3" i="7"/>
  <c r="D3" i="7"/>
  <c r="E3" i="7"/>
  <c r="F3" i="7"/>
  <c r="B23" i="8" l="1"/>
  <c r="B24" i="8"/>
  <c r="F23" i="8"/>
  <c r="F11" i="11" s="1"/>
  <c r="I4" i="7"/>
  <c r="F24" i="8"/>
  <c r="F12" i="11" s="1"/>
  <c r="E24" i="8"/>
  <c r="E12" i="11" s="1"/>
  <c r="E23" i="8"/>
  <c r="E11" i="11" s="1"/>
  <c r="D23" i="8"/>
  <c r="D24" i="8"/>
  <c r="I5" i="7"/>
  <c r="C23" i="8"/>
  <c r="C11" i="11" s="1"/>
  <c r="C24" i="8"/>
  <c r="C12" i="11" s="1"/>
  <c r="C19" i="7"/>
  <c r="C4" i="11" s="1"/>
  <c r="B19" i="7"/>
  <c r="B4" i="11" s="1"/>
  <c r="B12" i="7"/>
  <c r="B26" i="8" s="1"/>
  <c r="F19" i="7"/>
  <c r="F4" i="11" s="1"/>
  <c r="E19" i="7"/>
  <c r="E4" i="11" s="1"/>
  <c r="D19" i="7"/>
  <c r="D4" i="11" s="1"/>
  <c r="E1" i="2"/>
  <c r="H7" i="7" l="1"/>
  <c r="H23" i="8"/>
  <c r="I23" i="8"/>
  <c r="I20" i="20"/>
  <c r="I3" i="20"/>
  <c r="I11" i="20"/>
  <c r="C27" i="8"/>
  <c r="C16" i="11" s="1"/>
  <c r="C22" i="7"/>
  <c r="C7" i="11" s="1"/>
  <c r="E27" i="8"/>
  <c r="E16" i="11" s="1"/>
  <c r="E22" i="7"/>
  <c r="E7" i="11" s="1"/>
  <c r="B27" i="8"/>
  <c r="B22" i="7"/>
  <c r="B7" i="11" s="1"/>
  <c r="D27" i="8"/>
  <c r="D22" i="7"/>
  <c r="D7" i="11" s="1"/>
  <c r="I7" i="7"/>
  <c r="B12" i="11"/>
  <c r="H24" i="8"/>
  <c r="D12" i="11"/>
  <c r="I24" i="8"/>
  <c r="C21" i="7"/>
  <c r="C6" i="11" s="1"/>
  <c r="B11" i="11"/>
  <c r="B21" i="7"/>
  <c r="B6" i="11" s="1"/>
  <c r="D11" i="11"/>
  <c r="D21" i="7"/>
  <c r="D6" i="11" s="1"/>
  <c r="E21" i="7"/>
  <c r="E6" i="11" s="1"/>
  <c r="H12" i="7" l="1"/>
  <c r="H10" i="7"/>
  <c r="D23" i="7"/>
  <c r="D24" i="7" s="1"/>
  <c r="D26" i="8"/>
  <c r="C26" i="8"/>
  <c r="C15" i="11" s="1"/>
  <c r="C23" i="7"/>
  <c r="C24" i="7" s="1"/>
  <c r="F27" i="8"/>
  <c r="I10" i="7"/>
  <c r="F22" i="7"/>
  <c r="F7" i="11" s="1"/>
  <c r="E26" i="8"/>
  <c r="E15" i="11" s="1"/>
  <c r="E23" i="7"/>
  <c r="E24" i="7" s="1"/>
  <c r="D16" i="11"/>
  <c r="C20" i="7"/>
  <c r="C5" i="11" s="1"/>
  <c r="C11" i="9"/>
  <c r="F21" i="7"/>
  <c r="F6" i="11" s="1"/>
  <c r="D11" i="9"/>
  <c r="D20" i="7"/>
  <c r="D5" i="11" s="1"/>
  <c r="B16" i="11"/>
  <c r="B11" i="9"/>
  <c r="B14" i="9" s="1"/>
  <c r="B20" i="7"/>
  <c r="B5" i="11" s="1"/>
  <c r="E11" i="9"/>
  <c r="E20" i="7"/>
  <c r="E5" i="11" s="1"/>
  <c r="Y13" i="12" l="1"/>
  <c r="C4" i="21"/>
  <c r="H27" i="8"/>
  <c r="B18" i="11"/>
  <c r="D14" i="9"/>
  <c r="D18" i="11" s="1"/>
  <c r="F16" i="11"/>
  <c r="F26" i="8"/>
  <c r="F15" i="11" s="1"/>
  <c r="F23" i="7"/>
  <c r="H23" i="7" s="1"/>
  <c r="I12" i="7"/>
  <c r="E14" i="9"/>
  <c r="E18" i="11" s="1"/>
  <c r="C14" i="9"/>
  <c r="C18" i="11" s="1"/>
  <c r="B8" i="11"/>
  <c r="B9" i="11"/>
  <c r="E8" i="11"/>
  <c r="E9" i="11"/>
  <c r="D15" i="11"/>
  <c r="C8" i="11"/>
  <c r="C9" i="11"/>
  <c r="F11" i="9"/>
  <c r="F20" i="7"/>
  <c r="F5" i="11" s="1"/>
  <c r="D8" i="11"/>
  <c r="D9" i="11"/>
  <c r="I27" i="8"/>
  <c r="B15" i="11"/>
  <c r="G11" i="9" l="1"/>
  <c r="G14" i="9" s="1"/>
  <c r="H11" i="9"/>
  <c r="I11" i="9"/>
  <c r="F14" i="9"/>
  <c r="F18" i="11" s="1"/>
  <c r="I26" i="8"/>
  <c r="H26" i="8"/>
  <c r="I23" i="7"/>
  <c r="F24" i="7"/>
  <c r="F9" i="11" s="1"/>
  <c r="F8" i="11"/>
  <c r="D3" i="22"/>
  <c r="E3" i="22"/>
  <c r="F3" i="22"/>
  <c r="D5" i="22"/>
  <c r="E5" i="22"/>
  <c r="F5" i="22"/>
  <c r="D7" i="22"/>
  <c r="E7" i="22"/>
  <c r="F7" i="22"/>
  <c r="K4" i="20"/>
  <c r="M4" i="20"/>
  <c r="I5" i="20"/>
  <c r="K7" i="20"/>
  <c r="M7" i="20"/>
  <c r="C8" i="20"/>
  <c r="D8" i="20"/>
  <c r="E8" i="20"/>
  <c r="C9" i="20"/>
  <c r="D9" i="20"/>
  <c r="E9" i="20"/>
  <c r="C10" i="20"/>
  <c r="D10" i="20"/>
  <c r="E10" i="20"/>
  <c r="K12" i="20"/>
  <c r="M12" i="20"/>
  <c r="I13" i="20"/>
  <c r="D14" i="20"/>
  <c r="E14" i="20"/>
  <c r="F14" i="20"/>
  <c r="D15" i="20"/>
  <c r="E15" i="20"/>
  <c r="F15" i="20"/>
  <c r="K15" i="20"/>
  <c r="M15" i="20"/>
  <c r="D16" i="20"/>
  <c r="E16" i="20"/>
  <c r="F16" i="20"/>
  <c r="K21" i="20"/>
  <c r="M21" i="20"/>
  <c r="I22" i="20"/>
  <c r="K24" i="20"/>
  <c r="M24" i="20"/>
  <c r="D4" i="21"/>
  <c r="E4" i="21"/>
  <c r="F4" i="21"/>
  <c r="C6" i="21"/>
  <c r="D6" i="21"/>
</calcChain>
</file>

<file path=xl/sharedStrings.xml><?xml version="1.0" encoding="utf-8"?>
<sst xmlns="http://schemas.openxmlformats.org/spreadsheetml/2006/main" count="357" uniqueCount="241">
  <si>
    <t>COMPANY NAME</t>
  </si>
  <si>
    <t>Number of shares</t>
  </si>
  <si>
    <t>Face Value</t>
  </si>
  <si>
    <t>Current Price</t>
  </si>
  <si>
    <t>PROFIT &amp; LOSS</t>
  </si>
  <si>
    <t>Report Date</t>
  </si>
  <si>
    <t>Sales</t>
  </si>
  <si>
    <t>Raw Material Cost</t>
  </si>
  <si>
    <t>Change in Inventory</t>
  </si>
  <si>
    <t>Employee Cost</t>
  </si>
  <si>
    <t>Other Expenses</t>
  </si>
  <si>
    <t>Other Income</t>
  </si>
  <si>
    <t>Depreciation</t>
  </si>
  <si>
    <t>Interest</t>
  </si>
  <si>
    <t>Profit before tax</t>
  </si>
  <si>
    <t>Tax</t>
  </si>
  <si>
    <t>Net profit</t>
  </si>
  <si>
    <t>Dividend Amount</t>
  </si>
  <si>
    <t>Operating Profit</t>
  </si>
  <si>
    <t>BALANCE SHEET</t>
  </si>
  <si>
    <t>Equity Share Capital</t>
  </si>
  <si>
    <t>Reserves</t>
  </si>
  <si>
    <t>Borrowings</t>
  </si>
  <si>
    <t>Other Liabilities</t>
  </si>
  <si>
    <t>Total</t>
  </si>
  <si>
    <t>Net Block</t>
  </si>
  <si>
    <t>Capital Work in Progress</t>
  </si>
  <si>
    <t>Investments</t>
  </si>
  <si>
    <t>Other Assets</t>
  </si>
  <si>
    <t>Receivables</t>
  </si>
  <si>
    <t>Inventory</t>
  </si>
  <si>
    <t>Cash &amp; Bank</t>
  </si>
  <si>
    <t>No. of Equity Shares</t>
  </si>
  <si>
    <t>Face value</t>
  </si>
  <si>
    <t>CASH FLOW:</t>
  </si>
  <si>
    <t>Cash from Operating Activity</t>
  </si>
  <si>
    <t>Cash from Investing Activity</t>
  </si>
  <si>
    <t>Cash from Financing Activity</t>
  </si>
  <si>
    <t>Net Cash Flow</t>
  </si>
  <si>
    <t>PRICE:</t>
  </si>
  <si>
    <t>DERIVED:</t>
  </si>
  <si>
    <t>Adjusted Equity Shares in Cr</t>
  </si>
  <si>
    <t>COMPANY NAME &gt;&gt;</t>
  </si>
  <si>
    <t>INR (in crores)</t>
  </si>
  <si>
    <t>Income Statement Analysis</t>
  </si>
  <si>
    <t>Operating Profit Margin (OPM) %</t>
  </si>
  <si>
    <t>EBITDA</t>
  </si>
  <si>
    <t>Profit before tax (PBT)</t>
  </si>
  <si>
    <t>Net Profit Margin (NPM) %</t>
  </si>
  <si>
    <t>Profit after tax (PAT) / Net Profit</t>
  </si>
  <si>
    <t>Tax Payout %</t>
  </si>
  <si>
    <t>Interest Coverage Ratio (x)</t>
  </si>
  <si>
    <t>Adjusted Equity Shares (in crores)</t>
  </si>
  <si>
    <t>Earnings Per Share (EPS)</t>
  </si>
  <si>
    <t>Price</t>
  </si>
  <si>
    <t>PE Ratio (x)</t>
  </si>
  <si>
    <t>Balance Sheet Analysis</t>
  </si>
  <si>
    <t>Working Capital</t>
  </si>
  <si>
    <t>Fixed Assets (Net Block)</t>
  </si>
  <si>
    <t>Capital Work in Progress (CWIP)</t>
  </si>
  <si>
    <t>Total Liabilities</t>
  </si>
  <si>
    <t>Total Assets</t>
  </si>
  <si>
    <t>Total Equity</t>
  </si>
  <si>
    <t>Net Fixed Asset Turnover</t>
  </si>
  <si>
    <t>Debt To Equity</t>
  </si>
  <si>
    <t>Receivables Days</t>
  </si>
  <si>
    <t>Return on average Equity (RoAE)</t>
  </si>
  <si>
    <t>Return on average Capital Employed</t>
  </si>
  <si>
    <t>Capital Employed</t>
  </si>
  <si>
    <t>Cashflow Analysis</t>
  </si>
  <si>
    <t>Cash from Operating Activity (CFO)</t>
  </si>
  <si>
    <t>Cash from Investing Activity (CFI)</t>
  </si>
  <si>
    <t>Cash from Financing Activity (CFF)</t>
  </si>
  <si>
    <t>Net Cash Flow (CFO + CFI + CFF)</t>
  </si>
  <si>
    <t>Cash &amp; Equivalent at the end of year</t>
  </si>
  <si>
    <t>Profit After Tax (PAT)</t>
  </si>
  <si>
    <t>TOTAL</t>
  </si>
  <si>
    <t>CAPEX</t>
  </si>
  <si>
    <t>Re-investment (Capex/CFO)</t>
  </si>
  <si>
    <t>Free Cash Flows (FCF)</t>
  </si>
  <si>
    <t>FCF/CFO</t>
  </si>
  <si>
    <t>Ratio Analysis</t>
  </si>
  <si>
    <t>EV/EBITDA</t>
  </si>
  <si>
    <t>P/Sales</t>
  </si>
  <si>
    <t>EV</t>
  </si>
  <si>
    <t>EBIT</t>
  </si>
  <si>
    <t>EBT</t>
  </si>
  <si>
    <t>PAT</t>
  </si>
  <si>
    <t>Opening Balance</t>
  </si>
  <si>
    <t>Closing Balance</t>
  </si>
  <si>
    <t>Current Liabilities</t>
  </si>
  <si>
    <t>Current Assets</t>
  </si>
  <si>
    <t>WACC</t>
  </si>
  <si>
    <t>Beta</t>
  </si>
  <si>
    <t>Date</t>
  </si>
  <si>
    <t>FCFF</t>
  </si>
  <si>
    <t>Terminal Value</t>
  </si>
  <si>
    <t>Cost of Capital (WACC)</t>
  </si>
  <si>
    <t>Intrinsic Value of Share</t>
  </si>
  <si>
    <t>Enterprise Value</t>
  </si>
  <si>
    <t>Less: Total debt</t>
  </si>
  <si>
    <t>Terminal Year Free Cash Flow</t>
  </si>
  <si>
    <t>Plus: Cash and Cash Equi.</t>
  </si>
  <si>
    <t>Perpetuity Growth Rate</t>
  </si>
  <si>
    <t>Net Debt</t>
  </si>
  <si>
    <t>Discount Factor</t>
  </si>
  <si>
    <t>Equity Value</t>
  </si>
  <si>
    <t xml:space="preserve">   Present Value of Terminal Value</t>
  </si>
  <si>
    <t>Outstanding shares</t>
  </si>
  <si>
    <t>Market Price of a Share</t>
  </si>
  <si>
    <t>Add: Depreciation</t>
  </si>
  <si>
    <t>Discount Period</t>
  </si>
  <si>
    <t>Present value of free cash flow</t>
  </si>
  <si>
    <t>Value</t>
  </si>
  <si>
    <t>Multiple</t>
  </si>
  <si>
    <t>P/E</t>
  </si>
  <si>
    <t>EV/Sales</t>
  </si>
  <si>
    <t>no of shares</t>
  </si>
  <si>
    <t>EPS</t>
  </si>
  <si>
    <t>Debt</t>
  </si>
  <si>
    <t>Cash</t>
  </si>
  <si>
    <t>E/S</t>
  </si>
  <si>
    <t>Valaution</t>
  </si>
  <si>
    <t>FCFE Calculation</t>
  </si>
  <si>
    <t>CAGR trends</t>
  </si>
  <si>
    <t>No of Equity Shares</t>
  </si>
  <si>
    <t>Capex Schedule</t>
  </si>
  <si>
    <t>Less:Capex</t>
  </si>
  <si>
    <t>Less: IncWC</t>
  </si>
  <si>
    <t>FCFE</t>
  </si>
  <si>
    <t>EBIT(1-t)</t>
  </si>
  <si>
    <t>Rate</t>
  </si>
  <si>
    <t>Terminal Value (growth method)</t>
  </si>
  <si>
    <t>Terminal Value Calculation</t>
  </si>
  <si>
    <t>Assumptions</t>
  </si>
  <si>
    <t>Sales Growth</t>
  </si>
  <si>
    <t>UPSIDE</t>
  </si>
  <si>
    <t>Forecast</t>
  </si>
  <si>
    <t>Historical</t>
  </si>
  <si>
    <t xml:space="preserve"> </t>
  </si>
  <si>
    <t>top quartile</t>
  </si>
  <si>
    <t>bottom quartile</t>
  </si>
  <si>
    <t>CMP</t>
  </si>
  <si>
    <t>EV / Revenue:</t>
  </si>
  <si>
    <t>EV / EBITDA:</t>
  </si>
  <si>
    <t>P / E:</t>
  </si>
  <si>
    <t>25th</t>
  </si>
  <si>
    <t>50th</t>
  </si>
  <si>
    <t>75th</t>
  </si>
  <si>
    <t>Intrinsic Value Multiples</t>
  </si>
  <si>
    <t>Detail</t>
  </si>
  <si>
    <t>Detail/Percentile</t>
  </si>
  <si>
    <t>Base</t>
  </si>
  <si>
    <t xml:space="preserve">COMPANY NAME </t>
  </si>
  <si>
    <t>Top Quartile</t>
  </si>
  <si>
    <t>Weight</t>
  </si>
  <si>
    <t xml:space="preserve">Rationale </t>
  </si>
  <si>
    <t xml:space="preserve">Firstsource </t>
  </si>
  <si>
    <t xml:space="preserve">FirstSouce </t>
  </si>
  <si>
    <t>65% revenue from US, business process management using AI and data processing, focus on software tech, and 33% from UK, financial sector being the main driver, market cap of 22,533 Cr.</t>
  </si>
  <si>
    <t xml:space="preserve">Compareable company </t>
  </si>
  <si>
    <t>ECLERX</t>
  </si>
  <si>
    <t>Current Investments</t>
  </si>
  <si>
    <t>Reserves &amp; Surplus</t>
  </si>
  <si>
    <t>Long term Borrowings</t>
  </si>
  <si>
    <t xml:space="preserve">Total Current Assets </t>
  </si>
  <si>
    <t>Other current assets</t>
  </si>
  <si>
    <t>Operating and Direct expenses</t>
  </si>
  <si>
    <t>Finance Costs</t>
  </si>
  <si>
    <t>Effect of exchange rates</t>
  </si>
  <si>
    <t>Trend</t>
  </si>
  <si>
    <t>Trend Analysis</t>
  </si>
  <si>
    <t>CFO/PAT</t>
  </si>
  <si>
    <t>Revenue Growth</t>
  </si>
  <si>
    <t>Long term Investments</t>
  </si>
  <si>
    <t>Eclerx Close</t>
  </si>
  <si>
    <t>Eclerx Open</t>
  </si>
  <si>
    <t>Eclerx Change %</t>
  </si>
  <si>
    <t>Nifty Change %</t>
  </si>
  <si>
    <t>Daily Prices of Nifty and Eclerx</t>
  </si>
  <si>
    <t>The model is significant</t>
  </si>
  <si>
    <t>Rm(Nifty Market Return)</t>
  </si>
  <si>
    <t>Market Risk Premium (Rm - Rf)</t>
  </si>
  <si>
    <t>Expected Rate of Return on Capital (Er)</t>
  </si>
  <si>
    <t>WACC  Calculations</t>
  </si>
  <si>
    <t>Note: (Latest Par issue 10 yr Bond from RBI NSDP report)</t>
  </si>
  <si>
    <t xml:space="preserve">Rf (Risk Free Rate) </t>
  </si>
  <si>
    <t xml:space="preserve">Since there is no to negligible debt, WACC will be comprised of only cost of equity, i.e. the Er </t>
  </si>
  <si>
    <t>Alpha (Significance level)</t>
  </si>
  <si>
    <t>Revenues</t>
  </si>
  <si>
    <t xml:space="preserve">Revenue Growth </t>
  </si>
  <si>
    <t xml:space="preserve">Employee cost growth </t>
  </si>
  <si>
    <t>Finance cost as a percentage of revenue</t>
  </si>
  <si>
    <t>Rationale</t>
  </si>
  <si>
    <t xml:space="preserve">Average </t>
  </si>
  <si>
    <t xml:space="preserve">Total assets </t>
  </si>
  <si>
    <t>Other expenses as a percentage of revenue</t>
  </si>
  <si>
    <t>Finance Costs (Interest)</t>
  </si>
  <si>
    <t xml:space="preserve">Depreciation </t>
  </si>
  <si>
    <t>Average</t>
  </si>
  <si>
    <t xml:space="preserve">Employee Cost Growth </t>
  </si>
  <si>
    <t>Similar to the revenue as it is variable cost</t>
  </si>
  <si>
    <t xml:space="preserve"> Net working capital</t>
  </si>
  <si>
    <t>Change in NWC</t>
  </si>
  <si>
    <t>Net Working Capital</t>
  </si>
  <si>
    <t>Capex</t>
  </si>
  <si>
    <t>Discount Factor = WACC</t>
  </si>
  <si>
    <t>Inflection point, taking average growth of the last 5 years times 1.2</t>
  </si>
  <si>
    <t xml:space="preserve">AllSec Tech </t>
  </si>
  <si>
    <t>Hinduja Global</t>
  </si>
  <si>
    <t>More than 60% of the revenue coming from abroad, in the same business process solutioning as Eclerx. Market cap in a lower range of 4080 Cr.</t>
  </si>
  <si>
    <t>More than 70% of the revenue comes from outside India, is into very similar businesses of managing the backoffice systems. The market cap is a on a different scale of 1.7k Cr</t>
  </si>
  <si>
    <t xml:space="preserve">Hinduja Global </t>
  </si>
  <si>
    <t>DCF</t>
  </si>
  <si>
    <t>Eclerx</t>
  </si>
  <si>
    <t xml:space="preserve"> EV / EBITDA:</t>
  </si>
  <si>
    <t>Industry Close competitors</t>
  </si>
  <si>
    <t xml:space="preserve">Nifty IT Open </t>
  </si>
  <si>
    <t>Nifty IT Close</t>
  </si>
  <si>
    <t xml:space="preserve"> Bottom Quartile</t>
  </si>
  <si>
    <t xml:space="preserve">FCFF at 50% </t>
  </si>
  <si>
    <t xml:space="preserve">Being an IT and Consultancy firm, the cashflows are predictable and good for predictions </t>
  </si>
  <si>
    <t xml:space="preserve">This needs to be given lesser weight as for a mid-sized firm, this might be fluctuating </t>
  </si>
  <si>
    <t>Since sales is a good driver of growth especially for the IT companies, this can be a good metric to judge on</t>
  </si>
  <si>
    <t xml:space="preserve">It normalizes differences in capital structure and focuses on core profitability, hence a moderately good measure too </t>
  </si>
  <si>
    <t>P/E at 5%</t>
  </si>
  <si>
    <t>EV/Sales at 15%</t>
  </si>
  <si>
    <t>EV/EBITDA at 10%</t>
  </si>
  <si>
    <t>Component</t>
  </si>
  <si>
    <t>Median</t>
  </si>
  <si>
    <t xml:space="preserve"> P / E:</t>
  </si>
  <si>
    <t>What-if analysis</t>
  </si>
  <si>
    <t>Conclusion</t>
  </si>
  <si>
    <t>The company seems to have a good upside future potential</t>
  </si>
  <si>
    <t>This is reflected from DCF and P/E</t>
  </si>
  <si>
    <t>Market Capitalization (as on today)</t>
  </si>
  <si>
    <t>As on 6th Sept,2024</t>
  </si>
  <si>
    <t>Net Capex</t>
  </si>
  <si>
    <t>Change in Working Capital</t>
  </si>
  <si>
    <t xml:space="preserve">Reinvestment ratio </t>
  </si>
  <si>
    <t>Net Operating profit after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</si>
</sst>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[$-409]mmm\-yy;@"/>
    <numFmt numFmtId="166" formatCode="0.0%"/>
    <numFmt numFmtId="167" formatCode="#,##0;\ \(#,##0\)"/>
    <numFmt numFmtId="168" formatCode="0.0%;\ \(0.0%\)"/>
    <numFmt numFmtId="169" formatCode="#,##0.0;\ \(#,##0.0\)"/>
    <numFmt numFmtId="170" formatCode="#,##0.0\x;\ \(#,##0.0\x\)"/>
    <numFmt numFmtId="171" formatCode="#,##0.00;\ \(#,##0.00\)"/>
    <numFmt numFmtId="172" formatCode="0%;\ \(0%\)"/>
    <numFmt numFmtId="173" formatCode="0&quot; YEARS&quot;"/>
    <numFmt numFmtId="174" formatCode="0.0"/>
    <numFmt numFmtId="175" formatCode="#,##0.0"/>
    <numFmt numFmtId="184" formatCode="_ * #,##0.00_ ;_ * \-#,##0.00_ ;_ * &quot;-&quot;??_ ;_ @_ 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i/>
      <sz val="11"/>
      <color theme="9" tint="-0.499984740745262"/>
      <name val="Calibri"/>
      <family val="2"/>
      <scheme val="minor"/>
    </font>
    <font>
      <sz val="9"/>
      <color theme="1"/>
      <name val="Arial"/>
      <family val="2"/>
    </font>
    <font>
      <sz val="11"/>
      <color rgb="FF22222F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666E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FF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EEEEE"/>
      </left>
      <right style="medium">
        <color rgb="FFEEEEEE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</cellStyleXfs>
  <cellXfs count="361">
    <xf numFmtId="0" fontId="0" fillId="0" borderId="0" xfId="0"/>
    <xf numFmtId="0" fontId="3" fillId="0" borderId="0" xfId="0" applyFont="1"/>
    <xf numFmtId="43" fontId="3" fillId="0" borderId="0" xfId="1" applyFont="1" applyBorder="1"/>
    <xf numFmtId="164" fontId="7" fillId="0" borderId="0" xfId="1" applyNumberFormat="1" applyFont="1" applyFill="1" applyBorder="1"/>
    <xf numFmtId="43" fontId="1" fillId="0" borderId="0" xfId="1" applyFont="1" applyBorder="1"/>
    <xf numFmtId="164" fontId="2" fillId="2" borderId="0" xfId="1" applyNumberFormat="1" applyFont="1" applyFill="1" applyBorder="1"/>
    <xf numFmtId="164" fontId="2" fillId="2" borderId="0" xfId="0" applyNumberFormat="1" applyFont="1" applyFill="1" applyAlignment="1">
      <alignment horizontal="center"/>
    </xf>
    <xf numFmtId="0" fontId="1" fillId="0" borderId="0" xfId="0" applyFont="1"/>
    <xf numFmtId="164" fontId="2" fillId="0" borderId="0" xfId="0" applyNumberFormat="1" applyFont="1" applyAlignment="1">
      <alignment horizontal="center"/>
    </xf>
    <xf numFmtId="167" fontId="0" fillId="0" borderId="0" xfId="1" applyNumberFormat="1" applyFont="1" applyAlignment="1">
      <alignment horizontal="right" indent="1"/>
    </xf>
    <xf numFmtId="9" fontId="0" fillId="0" borderId="0" xfId="0" applyNumberFormat="1" applyAlignment="1">
      <alignment horizontal="left" indent="5"/>
    </xf>
    <xf numFmtId="167" fontId="3" fillId="0" borderId="0" xfId="1" applyNumberFormat="1" applyFont="1" applyAlignment="1">
      <alignment horizontal="right" indent="1"/>
    </xf>
    <xf numFmtId="167" fontId="1" fillId="0" borderId="0" xfId="1" applyNumberFormat="1" applyFont="1" applyAlignment="1">
      <alignment horizontal="right" indent="1"/>
    </xf>
    <xf numFmtId="9" fontId="3" fillId="0" borderId="0" xfId="0" applyNumberFormat="1" applyFont="1" applyAlignment="1">
      <alignment horizontal="left" indent="5"/>
    </xf>
    <xf numFmtId="0" fontId="3" fillId="0" borderId="11" xfId="0" applyFont="1" applyBorder="1"/>
    <xf numFmtId="168" fontId="3" fillId="0" borderId="11" xfId="0" applyNumberFormat="1" applyFont="1" applyBorder="1" applyAlignment="1">
      <alignment horizontal="left" indent="5"/>
    </xf>
    <xf numFmtId="0" fontId="0" fillId="0" borderId="11" xfId="0" applyBorder="1"/>
    <xf numFmtId="168" fontId="3" fillId="0" borderId="0" xfId="0" applyNumberFormat="1" applyFont="1" applyAlignment="1">
      <alignment horizontal="left" indent="5"/>
    </xf>
    <xf numFmtId="170" fontId="3" fillId="0" borderId="0" xfId="1" applyNumberFormat="1" applyFont="1" applyBorder="1" applyAlignment="1">
      <alignment horizontal="right" indent="1"/>
    </xf>
    <xf numFmtId="0" fontId="3" fillId="0" borderId="12" xfId="0" applyFont="1" applyBorder="1"/>
    <xf numFmtId="170" fontId="3" fillId="0" borderId="12" xfId="1" applyNumberFormat="1" applyFont="1" applyBorder="1" applyAlignment="1">
      <alignment horizontal="right" indent="1"/>
    </xf>
    <xf numFmtId="0" fontId="0" fillId="0" borderId="12" xfId="0" applyBorder="1"/>
    <xf numFmtId="167" fontId="1" fillId="0" borderId="11" xfId="1" applyNumberFormat="1" applyFont="1" applyBorder="1" applyAlignment="1">
      <alignment horizontal="right" indent="1"/>
    </xf>
    <xf numFmtId="167" fontId="1" fillId="0" borderId="0" xfId="1" applyNumberFormat="1" applyFont="1" applyBorder="1" applyAlignment="1">
      <alignment horizontal="right" indent="1"/>
    </xf>
    <xf numFmtId="167" fontId="3" fillId="0" borderId="12" xfId="1" applyNumberFormat="1" applyFont="1" applyBorder="1" applyAlignment="1">
      <alignment horizontal="right" indent="1"/>
    </xf>
    <xf numFmtId="167" fontId="0" fillId="0" borderId="11" xfId="1" applyNumberFormat="1" applyFont="1" applyBorder="1" applyAlignment="1">
      <alignment horizontal="right" indent="1"/>
    </xf>
    <xf numFmtId="167" fontId="0" fillId="0" borderId="0" xfId="1" applyNumberFormat="1" applyFont="1" applyBorder="1" applyAlignment="1">
      <alignment horizontal="right" indent="1"/>
    </xf>
    <xf numFmtId="167" fontId="1" fillId="0" borderId="12" xfId="1" applyNumberFormat="1" applyFont="1" applyBorder="1" applyAlignment="1">
      <alignment horizontal="right" indent="1"/>
    </xf>
    <xf numFmtId="167" fontId="3" fillId="0" borderId="0" xfId="1" applyNumberFormat="1" applyFont="1" applyBorder="1" applyAlignment="1">
      <alignment horizontal="right" indent="1"/>
    </xf>
    <xf numFmtId="170" fontId="3" fillId="0" borderId="11" xfId="1" applyNumberFormat="1" applyFont="1" applyBorder="1" applyAlignment="1">
      <alignment horizontal="right" indent="1"/>
    </xf>
    <xf numFmtId="169" fontId="1" fillId="0" borderId="11" xfId="1" applyNumberFormat="1" applyFont="1" applyBorder="1" applyAlignment="1">
      <alignment horizontal="right" indent="1"/>
    </xf>
    <xf numFmtId="0" fontId="0" fillId="0" borderId="13" xfId="0" applyBorder="1"/>
    <xf numFmtId="167" fontId="1" fillId="0" borderId="13" xfId="1" applyNumberFormat="1" applyFont="1" applyBorder="1" applyAlignment="1">
      <alignment horizontal="right" indent="1"/>
    </xf>
    <xf numFmtId="168" fontId="3" fillId="0" borderId="12" xfId="0" applyNumberFormat="1" applyFont="1" applyBorder="1" applyAlignment="1">
      <alignment horizontal="left" indent="5"/>
    </xf>
    <xf numFmtId="0" fontId="3" fillId="0" borderId="10" xfId="0" applyFont="1" applyBorder="1"/>
    <xf numFmtId="167" fontId="3" fillId="0" borderId="10" xfId="1" applyNumberFormat="1" applyFont="1" applyBorder="1" applyAlignment="1">
      <alignment horizontal="right" indent="1"/>
    </xf>
    <xf numFmtId="172" fontId="3" fillId="0" borderId="0" xfId="0" applyNumberFormat="1" applyFont="1" applyAlignment="1">
      <alignment horizontal="left" indent="6"/>
    </xf>
    <xf numFmtId="167" fontId="3" fillId="0" borderId="11" xfId="1" applyNumberFormat="1" applyFont="1" applyBorder="1" applyAlignment="1">
      <alignment horizontal="right" indent="1"/>
    </xf>
    <xf numFmtId="168" fontId="3" fillId="0" borderId="11" xfId="0" applyNumberFormat="1" applyFont="1" applyBorder="1" applyAlignment="1">
      <alignment horizontal="right" indent="1"/>
    </xf>
    <xf numFmtId="168" fontId="3" fillId="0" borderId="0" xfId="0" applyNumberFormat="1" applyFont="1" applyAlignment="1">
      <alignment horizontal="right" indent="1"/>
    </xf>
    <xf numFmtId="169" fontId="3" fillId="0" borderId="0" xfId="1" applyNumberFormat="1" applyFont="1" applyBorder="1" applyAlignment="1">
      <alignment horizontal="right" indent="1"/>
    </xf>
    <xf numFmtId="168" fontId="3" fillId="0" borderId="12" xfId="0" applyNumberFormat="1" applyFont="1" applyBorder="1" applyAlignment="1">
      <alignment horizontal="right" indent="1"/>
    </xf>
    <xf numFmtId="0" fontId="0" fillId="0" borderId="0" xfId="0" applyAlignment="1">
      <alignment horizontal="right" indent="1"/>
    </xf>
    <xf numFmtId="172" fontId="3" fillId="0" borderId="0" xfId="0" applyNumberFormat="1" applyFont="1" applyAlignment="1">
      <alignment horizontal="right" indent="1"/>
    </xf>
    <xf numFmtId="172" fontId="0" fillId="0" borderId="0" xfId="0" applyNumberFormat="1" applyAlignment="1">
      <alignment horizontal="right" indent="3"/>
    </xf>
    <xf numFmtId="172" fontId="3" fillId="0" borderId="0" xfId="0" applyNumberFormat="1" applyFont="1" applyAlignment="1">
      <alignment horizontal="right" indent="3"/>
    </xf>
    <xf numFmtId="172" fontId="0" fillId="0" borderId="11" xfId="0" applyNumberFormat="1" applyBorder="1" applyAlignment="1">
      <alignment horizontal="right" indent="3"/>
    </xf>
    <xf numFmtId="172" fontId="3" fillId="0" borderId="13" xfId="0" applyNumberFormat="1" applyFont="1" applyBorder="1" applyAlignment="1">
      <alignment horizontal="right" indent="3"/>
    </xf>
    <xf numFmtId="0" fontId="0" fillId="0" borderId="12" xfId="0" applyBorder="1" applyAlignment="1">
      <alignment horizontal="right" indent="3"/>
    </xf>
    <xf numFmtId="167" fontId="3" fillId="0" borderId="11" xfId="0" applyNumberFormat="1" applyFont="1" applyBorder="1" applyAlignment="1">
      <alignment horizontal="right" indent="1"/>
    </xf>
    <xf numFmtId="167" fontId="3" fillId="0" borderId="0" xfId="0" applyNumberFormat="1" applyFont="1" applyAlignment="1">
      <alignment horizontal="right" indent="1"/>
    </xf>
    <xf numFmtId="172" fontId="3" fillId="0" borderId="12" xfId="0" applyNumberFormat="1" applyFont="1" applyBorder="1" applyAlignment="1">
      <alignment horizontal="right" indent="1"/>
    </xf>
    <xf numFmtId="9" fontId="1" fillId="0" borderId="0" xfId="4" applyFont="1"/>
    <xf numFmtId="9" fontId="0" fillId="0" borderId="0" xfId="0" applyNumberFormat="1"/>
    <xf numFmtId="10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15" xfId="0" applyBorder="1"/>
    <xf numFmtId="0" fontId="1" fillId="0" borderId="0" xfId="5"/>
    <xf numFmtId="0" fontId="1" fillId="3" borderId="0" xfId="5" applyFill="1"/>
    <xf numFmtId="3" fontId="11" fillId="0" borderId="0" xfId="5" applyNumberFormat="1" applyFont="1" applyAlignment="1">
      <alignment horizontal="center" vertical="center" wrapText="1" readingOrder="1"/>
    </xf>
    <xf numFmtId="4" fontId="12" fillId="0" borderId="0" xfId="5" applyNumberFormat="1" applyFont="1" applyAlignment="1">
      <alignment horizontal="center" vertical="center" wrapText="1" readingOrder="1"/>
    </xf>
    <xf numFmtId="10" fontId="0" fillId="0" borderId="15" xfId="4" applyNumberFormat="1" applyFont="1" applyBorder="1"/>
    <xf numFmtId="9" fontId="0" fillId="0" borderId="15" xfId="0" applyNumberFormat="1" applyBorder="1"/>
    <xf numFmtId="10" fontId="0" fillId="0" borderId="15" xfId="0" applyNumberFormat="1" applyBorder="1"/>
    <xf numFmtId="9" fontId="0" fillId="0" borderId="0" xfId="3" applyFont="1"/>
    <xf numFmtId="3" fontId="2" fillId="0" borderId="0" xfId="5" applyNumberFormat="1" applyFont="1" applyAlignment="1">
      <alignment horizontal="center"/>
    </xf>
    <xf numFmtId="10" fontId="0" fillId="0" borderId="0" xfId="3" applyNumberFormat="1" applyFont="1"/>
    <xf numFmtId="0" fontId="4" fillId="0" borderId="0" xfId="0" applyFont="1"/>
    <xf numFmtId="10" fontId="0" fillId="0" borderId="0" xfId="3" applyNumberFormat="1" applyFont="1" applyBorder="1"/>
    <xf numFmtId="0" fontId="0" fillId="3" borderId="0" xfId="0" applyFill="1"/>
    <xf numFmtId="0" fontId="0" fillId="0" borderId="19" xfId="0" applyBorder="1"/>
    <xf numFmtId="0" fontId="0" fillId="0" borderId="20" xfId="0" applyBorder="1"/>
    <xf numFmtId="43" fontId="6" fillId="8" borderId="1" xfId="0" applyNumberFormat="1" applyFont="1" applyFill="1" applyBorder="1" applyAlignment="1">
      <alignment vertical="center"/>
    </xf>
    <xf numFmtId="0" fontId="6" fillId="8" borderId="9" xfId="0" applyFont="1" applyFill="1" applyBorder="1" applyAlignment="1">
      <alignment vertical="center"/>
    </xf>
    <xf numFmtId="164" fontId="6" fillId="8" borderId="4" xfId="0" applyNumberFormat="1" applyFont="1" applyFill="1" applyBorder="1" applyAlignment="1">
      <alignment horizontal="right" vertical="center" indent="1"/>
    </xf>
    <xf numFmtId="166" fontId="6" fillId="8" borderId="5" xfId="0" applyNumberFormat="1" applyFont="1" applyFill="1" applyBorder="1" applyAlignment="1">
      <alignment horizontal="right" vertical="center" indent="1"/>
    </xf>
    <xf numFmtId="173" fontId="6" fillId="8" borderId="4" xfId="0" applyNumberFormat="1" applyFont="1" applyFill="1" applyBorder="1" applyAlignment="1">
      <alignment horizontal="center" vertical="center"/>
    </xf>
    <xf numFmtId="173" fontId="6" fillId="8" borderId="5" xfId="0" applyNumberFormat="1" applyFont="1" applyFill="1" applyBorder="1" applyAlignment="1">
      <alignment horizontal="center" vertical="center"/>
    </xf>
    <xf numFmtId="164" fontId="6" fillId="8" borderId="15" xfId="0" applyNumberFormat="1" applyFont="1" applyFill="1" applyBorder="1" applyAlignment="1">
      <alignment horizontal="center" vertical="center"/>
    </xf>
    <xf numFmtId="168" fontId="3" fillId="0" borderId="15" xfId="0" applyNumberFormat="1" applyFont="1" applyBorder="1" applyAlignment="1">
      <alignment horizontal="center"/>
    </xf>
    <xf numFmtId="170" fontId="3" fillId="0" borderId="15" xfId="1" applyNumberFormat="1" applyFont="1" applyBorder="1" applyAlignment="1">
      <alignment horizontal="center"/>
    </xf>
    <xf numFmtId="171" fontId="3" fillId="0" borderId="15" xfId="1" applyNumberFormat="1" applyFont="1" applyBorder="1" applyAlignment="1">
      <alignment horizontal="center"/>
    </xf>
    <xf numFmtId="167" fontId="3" fillId="0" borderId="15" xfId="1" applyNumberFormat="1" applyFont="1" applyBorder="1" applyAlignment="1">
      <alignment horizontal="center"/>
    </xf>
    <xf numFmtId="172" fontId="3" fillId="0" borderId="15" xfId="0" applyNumberFormat="1" applyFont="1" applyBorder="1" applyAlignment="1">
      <alignment horizontal="center"/>
    </xf>
    <xf numFmtId="2" fontId="3" fillId="0" borderId="15" xfId="1" applyNumberFormat="1" applyFont="1" applyBorder="1" applyAlignment="1">
      <alignment horizontal="center"/>
    </xf>
    <xf numFmtId="43" fontId="6" fillId="8" borderId="25" xfId="0" applyNumberFormat="1" applyFont="1" applyFill="1" applyBorder="1" applyAlignment="1">
      <alignment horizontal="center" vertical="center"/>
    </xf>
    <xf numFmtId="0" fontId="6" fillId="8" borderId="25" xfId="0" applyFont="1" applyFill="1" applyBorder="1" applyAlignment="1">
      <alignment horizontal="center" vertical="center"/>
    </xf>
    <xf numFmtId="166" fontId="6" fillId="8" borderId="26" xfId="0" applyNumberFormat="1" applyFont="1" applyFill="1" applyBorder="1" applyAlignment="1">
      <alignment horizontal="center" vertical="center"/>
    </xf>
    <xf numFmtId="43" fontId="3" fillId="0" borderId="25" xfId="1" applyFont="1" applyBorder="1" applyAlignment="1">
      <alignment horizontal="left"/>
    </xf>
    <xf numFmtId="168" fontId="3" fillId="0" borderId="26" xfId="0" applyNumberFormat="1" applyFont="1" applyBorder="1" applyAlignment="1">
      <alignment horizontal="center"/>
    </xf>
    <xf numFmtId="170" fontId="3" fillId="0" borderId="26" xfId="1" applyNumberFormat="1" applyFont="1" applyBorder="1" applyAlignment="1">
      <alignment horizontal="center"/>
    </xf>
    <xf numFmtId="171" fontId="3" fillId="0" borderId="26" xfId="1" applyNumberFormat="1" applyFont="1" applyBorder="1" applyAlignment="1">
      <alignment horizontal="center"/>
    </xf>
    <xf numFmtId="0" fontId="0" fillId="0" borderId="26" xfId="0" applyBorder="1" applyAlignment="1">
      <alignment horizontal="center"/>
    </xf>
    <xf numFmtId="174" fontId="0" fillId="0" borderId="26" xfId="0" applyNumberFormat="1" applyBorder="1" applyAlignment="1">
      <alignment horizontal="center"/>
    </xf>
    <xf numFmtId="43" fontId="3" fillId="0" borderId="27" xfId="1" applyFont="1" applyBorder="1" applyAlignment="1">
      <alignment horizontal="left"/>
    </xf>
    <xf numFmtId="170" fontId="3" fillId="0" borderId="32" xfId="1" applyNumberFormat="1" applyFont="1" applyBorder="1" applyAlignment="1">
      <alignment horizontal="center"/>
    </xf>
    <xf numFmtId="174" fontId="0" fillId="0" borderId="28" xfId="0" applyNumberFormat="1" applyBorder="1" applyAlignment="1">
      <alignment horizontal="center"/>
    </xf>
    <xf numFmtId="0" fontId="0" fillId="0" borderId="25" xfId="0" applyBorder="1"/>
    <xf numFmtId="43" fontId="0" fillId="0" borderId="0" xfId="1" applyFont="1"/>
    <xf numFmtId="0" fontId="0" fillId="8" borderId="15" xfId="0" applyFill="1" applyBorder="1"/>
    <xf numFmtId="164" fontId="2" fillId="8" borderId="15" xfId="0" applyNumberFormat="1" applyFont="1" applyFill="1" applyBorder="1" applyAlignment="1">
      <alignment horizontal="center"/>
    </xf>
    <xf numFmtId="0" fontId="1" fillId="0" borderId="15" xfId="0" applyFont="1" applyBorder="1"/>
    <xf numFmtId="9" fontId="1" fillId="0" borderId="15" xfId="4" applyFont="1" applyBorder="1"/>
    <xf numFmtId="9" fontId="0" fillId="0" borderId="15" xfId="3" applyFont="1" applyBorder="1"/>
    <xf numFmtId="2" fontId="0" fillId="0" borderId="15" xfId="0" applyNumberFormat="1" applyBorder="1"/>
    <xf numFmtId="3" fontId="11" fillId="0" borderId="15" xfId="5" applyNumberFormat="1" applyFont="1" applyBorder="1" applyAlignment="1">
      <alignment horizontal="center" vertical="center" wrapText="1" readingOrder="1"/>
    </xf>
    <xf numFmtId="0" fontId="0" fillId="8" borderId="23" xfId="0" applyFill="1" applyBorder="1"/>
    <xf numFmtId="0" fontId="0" fillId="8" borderId="31" xfId="0" applyFill="1" applyBorder="1"/>
    <xf numFmtId="0" fontId="4" fillId="8" borderId="31" xfId="0" applyFont="1" applyFill="1" applyBorder="1"/>
    <xf numFmtId="0" fontId="4" fillId="8" borderId="24" xfId="0" applyFont="1" applyFill="1" applyBorder="1"/>
    <xf numFmtId="164" fontId="2" fillId="8" borderId="26" xfId="0" applyNumberFormat="1" applyFont="1" applyFill="1" applyBorder="1" applyAlignment="1">
      <alignment horizontal="center"/>
    </xf>
    <xf numFmtId="0" fontId="0" fillId="0" borderId="26" xfId="0" applyBorder="1"/>
    <xf numFmtId="43" fontId="1" fillId="0" borderId="25" xfId="1" applyFont="1" applyBorder="1"/>
    <xf numFmtId="43" fontId="1" fillId="0" borderId="25" xfId="1" applyFont="1" applyFill="1" applyBorder="1"/>
    <xf numFmtId="0" fontId="4" fillId="8" borderId="25" xfId="0" applyFont="1" applyFill="1" applyBorder="1"/>
    <xf numFmtId="0" fontId="11" fillId="0" borderId="25" xfId="5" applyFont="1" applyBorder="1" applyAlignment="1">
      <alignment horizontal="left" vertical="center" wrapText="1" readingOrder="1"/>
    </xf>
    <xf numFmtId="3" fontId="11" fillId="0" borderId="26" xfId="5" applyNumberFormat="1" applyFont="1" applyBorder="1" applyAlignment="1">
      <alignment horizontal="center" vertical="center" wrapText="1" readingOrder="1"/>
    </xf>
    <xf numFmtId="0" fontId="2" fillId="8" borderId="27" xfId="5" applyFont="1" applyFill="1" applyBorder="1" applyAlignment="1">
      <alignment horizontal="left" vertical="center" wrapText="1" readingOrder="1"/>
    </xf>
    <xf numFmtId="0" fontId="0" fillId="8" borderId="25" xfId="0" applyFill="1" applyBorder="1"/>
    <xf numFmtId="9" fontId="0" fillId="0" borderId="28" xfId="3" applyFont="1" applyBorder="1"/>
    <xf numFmtId="0" fontId="13" fillId="3" borderId="25" xfId="5" applyFont="1" applyFill="1" applyBorder="1" applyAlignment="1">
      <alignment horizontal="left" vertical="center" wrapText="1" readingOrder="1"/>
    </xf>
    <xf numFmtId="166" fontId="10" fillId="0" borderId="26" xfId="5" applyNumberFormat="1" applyFont="1" applyBorder="1" applyAlignment="1">
      <alignment horizontal="right" vertical="center" wrapText="1" readingOrder="1"/>
    </xf>
    <xf numFmtId="0" fontId="13" fillId="5" borderId="25" xfId="5" applyFont="1" applyFill="1" applyBorder="1" applyAlignment="1">
      <alignment horizontal="left" vertical="center" wrapText="1" readingOrder="1"/>
    </xf>
    <xf numFmtId="3" fontId="11" fillId="5" borderId="26" xfId="5" applyNumberFormat="1" applyFont="1" applyFill="1" applyBorder="1" applyAlignment="1">
      <alignment horizontal="center" vertical="center" wrapText="1" readingOrder="1"/>
    </xf>
    <xf numFmtId="3" fontId="12" fillId="0" borderId="26" xfId="5" applyNumberFormat="1" applyFont="1" applyBorder="1" applyAlignment="1">
      <alignment horizontal="right" vertical="center" wrapText="1" readingOrder="1"/>
    </xf>
    <xf numFmtId="0" fontId="11" fillId="3" borderId="25" xfId="5" applyFont="1" applyFill="1" applyBorder="1" applyAlignment="1">
      <alignment horizontal="left" vertical="center" wrapText="1" readingOrder="1"/>
    </xf>
    <xf numFmtId="166" fontId="14" fillId="0" borderId="26" xfId="5" applyNumberFormat="1" applyFont="1" applyBorder="1" applyAlignment="1">
      <alignment horizontal="right" vertical="center" wrapText="1" readingOrder="1"/>
    </xf>
    <xf numFmtId="3" fontId="11" fillId="0" borderId="26" xfId="5" applyNumberFormat="1" applyFont="1" applyBorder="1" applyAlignment="1">
      <alignment horizontal="right" vertical="center" wrapText="1" readingOrder="1"/>
    </xf>
    <xf numFmtId="3" fontId="13" fillId="5" borderId="26" xfId="5" applyNumberFormat="1" applyFont="1" applyFill="1" applyBorder="1" applyAlignment="1">
      <alignment horizontal="right" vertical="center" wrapText="1" readingOrder="1"/>
    </xf>
    <xf numFmtId="0" fontId="1" fillId="0" borderId="25" xfId="5" applyBorder="1"/>
    <xf numFmtId="0" fontId="1" fillId="5" borderId="26" xfId="5" applyFill="1" applyBorder="1"/>
    <xf numFmtId="3" fontId="13" fillId="0" borderId="26" xfId="5" applyNumberFormat="1" applyFont="1" applyBorder="1" applyAlignment="1">
      <alignment horizontal="right" vertical="center" wrapText="1" readingOrder="1"/>
    </xf>
    <xf numFmtId="3" fontId="14" fillId="0" borderId="26" xfId="5" applyNumberFormat="1" applyFont="1" applyBorder="1" applyAlignment="1">
      <alignment horizontal="right" vertical="center" wrapText="1" readingOrder="1"/>
    </xf>
    <xf numFmtId="3" fontId="12" fillId="3" borderId="26" xfId="5" applyNumberFormat="1" applyFont="1" applyFill="1" applyBorder="1" applyAlignment="1">
      <alignment horizontal="right" vertical="center" wrapText="1" readingOrder="1"/>
    </xf>
    <xf numFmtId="3" fontId="11" fillId="3" borderId="26" xfId="5" applyNumberFormat="1" applyFont="1" applyFill="1" applyBorder="1" applyAlignment="1">
      <alignment horizontal="right" vertical="center" wrapText="1" readingOrder="1"/>
    </xf>
    <xf numFmtId="175" fontId="10" fillId="3" borderId="26" xfId="5" applyNumberFormat="1" applyFont="1" applyFill="1" applyBorder="1" applyAlignment="1">
      <alignment horizontal="right" vertical="center" wrapText="1" readingOrder="1"/>
    </xf>
    <xf numFmtId="3" fontId="13" fillId="4" borderId="26" xfId="5" applyNumberFormat="1" applyFont="1" applyFill="1" applyBorder="1" applyAlignment="1">
      <alignment horizontal="right" vertical="center" wrapText="1" readingOrder="1"/>
    </xf>
    <xf numFmtId="1" fontId="1" fillId="4" borderId="26" xfId="5" applyNumberFormat="1" applyFill="1" applyBorder="1"/>
    <xf numFmtId="0" fontId="0" fillId="0" borderId="27" xfId="0" applyBorder="1"/>
    <xf numFmtId="43" fontId="0" fillId="0" borderId="0" xfId="1" applyFont="1" applyBorder="1"/>
    <xf numFmtId="43" fontId="0" fillId="0" borderId="15" xfId="1" applyFont="1" applyBorder="1"/>
    <xf numFmtId="43" fontId="0" fillId="5" borderId="10" xfId="1" applyFont="1" applyFill="1" applyBorder="1"/>
    <xf numFmtId="43" fontId="0" fillId="5" borderId="14" xfId="1" applyFont="1" applyFill="1" applyBorder="1"/>
    <xf numFmtId="43" fontId="0" fillId="4" borderId="15" xfId="1" applyFont="1" applyFill="1" applyBorder="1"/>
    <xf numFmtId="43" fontId="0" fillId="5" borderId="35" xfId="1" applyFont="1" applyFill="1" applyBorder="1"/>
    <xf numFmtId="43" fontId="0" fillId="5" borderId="36" xfId="1" applyFont="1" applyFill="1" applyBorder="1"/>
    <xf numFmtId="43" fontId="0" fillId="0" borderId="25" xfId="1" applyFont="1" applyBorder="1"/>
    <xf numFmtId="43" fontId="0" fillId="0" borderId="26" xfId="1" applyFont="1" applyBorder="1"/>
    <xf numFmtId="43" fontId="0" fillId="0" borderId="19" xfId="1" applyFont="1" applyBorder="1"/>
    <xf numFmtId="43" fontId="0" fillId="0" borderId="21" xfId="1" applyFont="1" applyBorder="1"/>
    <xf numFmtId="43" fontId="0" fillId="0" borderId="13" xfId="1" applyFont="1" applyBorder="1"/>
    <xf numFmtId="43" fontId="0" fillId="0" borderId="32" xfId="1" applyFont="1" applyBorder="1"/>
    <xf numFmtId="43" fontId="0" fillId="4" borderId="32" xfId="1" applyFont="1" applyFill="1" applyBorder="1"/>
    <xf numFmtId="43" fontId="0" fillId="4" borderId="28" xfId="1" applyFont="1" applyFill="1" applyBorder="1"/>
    <xf numFmtId="43" fontId="1" fillId="0" borderId="25" xfId="1" applyBorder="1"/>
    <xf numFmtId="43" fontId="1" fillId="0" borderId="27" xfId="1" applyBorder="1"/>
    <xf numFmtId="43" fontId="0" fillId="0" borderId="15" xfId="1" applyFont="1" applyBorder="1" applyAlignment="1">
      <alignment horizontal="center"/>
    </xf>
    <xf numFmtId="43" fontId="0" fillId="0" borderId="26" xfId="1" applyFont="1" applyBorder="1" applyAlignment="1">
      <alignment horizontal="center"/>
    </xf>
    <xf numFmtId="43" fontId="1" fillId="0" borderId="15" xfId="1" applyBorder="1" applyAlignment="1">
      <alignment horizontal="center"/>
    </xf>
    <xf numFmtId="43" fontId="1" fillId="0" borderId="26" xfId="1" applyBorder="1" applyAlignment="1">
      <alignment horizontal="center"/>
    </xf>
    <xf numFmtId="43" fontId="0" fillId="0" borderId="32" xfId="1" applyFont="1" applyBorder="1" applyAlignment="1">
      <alignment horizontal="center"/>
    </xf>
    <xf numFmtId="43" fontId="0" fillId="0" borderId="28" xfId="1" applyFont="1" applyBorder="1" applyAlignment="1">
      <alignment horizontal="center"/>
    </xf>
    <xf numFmtId="43" fontId="16" fillId="5" borderId="25" xfId="1" applyFont="1" applyFill="1" applyBorder="1" applyAlignment="1">
      <alignment horizontal="left"/>
    </xf>
    <xf numFmtId="43" fontId="16" fillId="5" borderId="27" xfId="1" applyFont="1" applyFill="1" applyBorder="1" applyAlignment="1">
      <alignment horizontal="left"/>
    </xf>
    <xf numFmtId="43" fontId="3" fillId="0" borderId="0" xfId="1" applyFont="1"/>
    <xf numFmtId="43" fontId="2" fillId="8" borderId="23" xfId="1" applyFont="1" applyFill="1" applyBorder="1"/>
    <xf numFmtId="43" fontId="2" fillId="8" borderId="31" xfId="1" applyFont="1" applyFill="1" applyBorder="1"/>
    <xf numFmtId="43" fontId="2" fillId="8" borderId="24" xfId="1" applyFont="1" applyFill="1" applyBorder="1"/>
    <xf numFmtId="10" fontId="0" fillId="3" borderId="15" xfId="3" applyNumberFormat="1" applyFont="1" applyFill="1" applyBorder="1"/>
    <xf numFmtId="0" fontId="0" fillId="3" borderId="25" xfId="0" applyFill="1" applyBorder="1"/>
    <xf numFmtId="0" fontId="0" fillId="3" borderId="15" xfId="0" applyFill="1" applyBorder="1"/>
    <xf numFmtId="0" fontId="0" fillId="3" borderId="26" xfId="0" applyFill="1" applyBorder="1"/>
    <xf numFmtId="2" fontId="0" fillId="3" borderId="15" xfId="0" applyNumberFormat="1" applyFill="1" applyBorder="1"/>
    <xf numFmtId="2" fontId="0" fillId="3" borderId="26" xfId="0" applyNumberFormat="1" applyFill="1" applyBorder="1"/>
    <xf numFmtId="10" fontId="0" fillId="3" borderId="15" xfId="0" applyNumberFormat="1" applyFill="1" applyBorder="1"/>
    <xf numFmtId="10" fontId="0" fillId="3" borderId="26" xfId="0" applyNumberFormat="1" applyFill="1" applyBorder="1"/>
    <xf numFmtId="9" fontId="0" fillId="3" borderId="15" xfId="0" applyNumberFormat="1" applyFill="1" applyBorder="1"/>
    <xf numFmtId="9" fontId="0" fillId="3" borderId="26" xfId="0" applyNumberFormat="1" applyFill="1" applyBorder="1"/>
    <xf numFmtId="10" fontId="0" fillId="6" borderId="0" xfId="4" applyNumberFormat="1" applyFont="1" applyFill="1"/>
    <xf numFmtId="0" fontId="4" fillId="8" borderId="15" xfId="0" applyFont="1" applyFill="1" applyBorder="1" applyAlignment="1">
      <alignment horizontal="center"/>
    </xf>
    <xf numFmtId="0" fontId="4" fillId="8" borderId="23" xfId="0" applyFont="1" applyFill="1" applyBorder="1" applyAlignment="1">
      <alignment horizontal="center" vertical="center"/>
    </xf>
    <xf numFmtId="0" fontId="4" fillId="8" borderId="31" xfId="0" applyFont="1" applyFill="1" applyBorder="1" applyAlignment="1">
      <alignment horizontal="center" vertical="center"/>
    </xf>
    <xf numFmtId="0" fontId="4" fillId="8" borderId="24" xfId="0" applyFont="1" applyFill="1" applyBorder="1" applyAlignment="1">
      <alignment horizontal="center" vertical="center"/>
    </xf>
    <xf numFmtId="0" fontId="16" fillId="7" borderId="25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43" fontId="0" fillId="3" borderId="15" xfId="0" applyNumberFormat="1" applyFill="1" applyBorder="1" applyAlignment="1">
      <alignment horizontal="center" vertical="center"/>
    </xf>
    <xf numFmtId="3" fontId="0" fillId="3" borderId="26" xfId="0" applyNumberFormat="1" applyFill="1" applyBorder="1" applyAlignment="1">
      <alignment horizontal="center" vertical="center"/>
    </xf>
    <xf numFmtId="3" fontId="0" fillId="3" borderId="15" xfId="0" applyNumberFormat="1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164" fontId="4" fillId="8" borderId="15" xfId="0" applyNumberFormat="1" applyFont="1" applyFill="1" applyBorder="1"/>
    <xf numFmtId="167" fontId="0" fillId="0" borderId="15" xfId="0" applyNumberFormat="1" applyBorder="1"/>
    <xf numFmtId="2" fontId="0" fillId="0" borderId="15" xfId="3" applyNumberFormat="1" applyFont="1" applyBorder="1"/>
    <xf numFmtId="167" fontId="1" fillId="0" borderId="15" xfId="0" applyNumberFormat="1" applyFont="1" applyBorder="1"/>
    <xf numFmtId="164" fontId="4" fillId="8" borderId="26" xfId="0" applyNumberFormat="1" applyFont="1" applyFill="1" applyBorder="1"/>
    <xf numFmtId="0" fontId="15" fillId="0" borderId="25" xfId="0" applyFont="1" applyBorder="1"/>
    <xf numFmtId="0" fontId="0" fillId="8" borderId="26" xfId="0" applyFill="1" applyBorder="1"/>
    <xf numFmtId="0" fontId="2" fillId="8" borderId="23" xfId="5" applyFont="1" applyFill="1" applyBorder="1" applyAlignment="1">
      <alignment horizontal="center"/>
    </xf>
    <xf numFmtId="0" fontId="2" fillId="8" borderId="24" xfId="5" applyFont="1" applyFill="1" applyBorder="1" applyAlignment="1">
      <alignment horizontal="center"/>
    </xf>
    <xf numFmtId="43" fontId="2" fillId="8" borderId="33" xfId="1" applyFont="1" applyFill="1" applyBorder="1" applyAlignment="1">
      <alignment horizontal="center"/>
    </xf>
    <xf numFmtId="43" fontId="2" fillId="8" borderId="16" xfId="1" applyFont="1" applyFill="1" applyBorder="1" applyAlignment="1">
      <alignment horizontal="center"/>
    </xf>
    <xf numFmtId="43" fontId="2" fillId="8" borderId="34" xfId="1" applyFont="1" applyFill="1" applyBorder="1" applyAlignment="1">
      <alignment horizontal="center"/>
    </xf>
    <xf numFmtId="3" fontId="1" fillId="0" borderId="0" xfId="0" applyNumberFormat="1" applyFont="1"/>
    <xf numFmtId="44" fontId="1" fillId="0" borderId="0" xfId="0" applyNumberFormat="1" applyFont="1"/>
    <xf numFmtId="0" fontId="19" fillId="9" borderId="37" xfId="0" applyFont="1" applyFill="1" applyBorder="1" applyAlignment="1">
      <alignment horizontal="right" vertical="center" wrapText="1"/>
    </xf>
    <xf numFmtId="0" fontId="0" fillId="0" borderId="0" xfId="0" applyFont="1"/>
    <xf numFmtId="4" fontId="0" fillId="0" borderId="0" xfId="0" applyNumberFormat="1"/>
    <xf numFmtId="0" fontId="0" fillId="0" borderId="0" xfId="0" applyBorder="1"/>
    <xf numFmtId="10" fontId="0" fillId="0" borderId="20" xfId="0" applyNumberFormat="1" applyBorder="1"/>
    <xf numFmtId="2" fontId="0" fillId="0" borderId="20" xfId="0" applyNumberFormat="1" applyBorder="1"/>
    <xf numFmtId="10" fontId="0" fillId="0" borderId="20" xfId="3" applyNumberFormat="1" applyFont="1" applyBorder="1"/>
    <xf numFmtId="0" fontId="0" fillId="0" borderId="21" xfId="0" applyBorder="1"/>
    <xf numFmtId="10" fontId="0" fillId="0" borderId="22" xfId="0" applyNumberFormat="1" applyBorder="1"/>
    <xf numFmtId="0" fontId="4" fillId="8" borderId="30" xfId="0" applyFont="1" applyFill="1" applyBorder="1"/>
    <xf numFmtId="0" fontId="0" fillId="0" borderId="14" xfId="0" applyBorder="1"/>
    <xf numFmtId="9" fontId="0" fillId="0" borderId="14" xfId="0" applyNumberFormat="1" applyBorder="1"/>
    <xf numFmtId="3" fontId="11" fillId="0" borderId="14" xfId="5" applyNumberFormat="1" applyFont="1" applyBorder="1" applyAlignment="1">
      <alignment horizontal="center" vertical="center" wrapText="1" readingOrder="1"/>
    </xf>
    <xf numFmtId="0" fontId="20" fillId="9" borderId="0" xfId="0" applyFont="1" applyFill="1" applyAlignment="1">
      <alignment horizontal="right" vertical="center" wrapText="1" indent="1"/>
    </xf>
    <xf numFmtId="0" fontId="0" fillId="0" borderId="15" xfId="0" applyNumberFormat="1" applyBorder="1"/>
    <xf numFmtId="164" fontId="2" fillId="8" borderId="38" xfId="1" applyNumberFormat="1" applyFont="1" applyFill="1" applyBorder="1"/>
    <xf numFmtId="164" fontId="2" fillId="8" borderId="39" xfId="0" applyNumberFormat="1" applyFont="1" applyFill="1" applyBorder="1" applyAlignment="1">
      <alignment horizontal="center"/>
    </xf>
    <xf numFmtId="164" fontId="2" fillId="8" borderId="40" xfId="0" applyNumberFormat="1" applyFont="1" applyFill="1" applyBorder="1" applyAlignment="1">
      <alignment horizontal="center"/>
    </xf>
    <xf numFmtId="0" fontId="0" fillId="0" borderId="9" xfId="0" applyBorder="1"/>
    <xf numFmtId="9" fontId="0" fillId="0" borderId="4" xfId="4" applyFont="1" applyBorder="1"/>
    <xf numFmtId="9" fontId="0" fillId="0" borderId="4" xfId="0" applyNumberFormat="1" applyBorder="1"/>
    <xf numFmtId="0" fontId="0" fillId="0" borderId="4" xfId="0" applyBorder="1"/>
    <xf numFmtId="0" fontId="0" fillId="0" borderId="5" xfId="0" applyBorder="1"/>
    <xf numFmtId="10" fontId="1" fillId="0" borderId="0" xfId="3" applyNumberFormat="1" applyFont="1" applyBorder="1"/>
    <xf numFmtId="0" fontId="1" fillId="0" borderId="0" xfId="0" applyFont="1" applyBorder="1"/>
    <xf numFmtId="43" fontId="1" fillId="0" borderId="0" xfId="4" applyNumberFormat="1" applyFont="1" applyBorder="1"/>
    <xf numFmtId="9" fontId="0" fillId="0" borderId="20" xfId="0" applyNumberFormat="1" applyBorder="1"/>
    <xf numFmtId="0" fontId="1" fillId="3" borderId="15" xfId="0" applyFont="1" applyFill="1" applyBorder="1"/>
    <xf numFmtId="9" fontId="1" fillId="3" borderId="15" xfId="4" applyFont="1" applyFill="1" applyBorder="1"/>
    <xf numFmtId="43" fontId="1" fillId="3" borderId="15" xfId="0" applyNumberFormat="1" applyFont="1" applyFill="1" applyBorder="1"/>
    <xf numFmtId="10" fontId="1" fillId="3" borderId="15" xfId="3" applyNumberFormat="1" applyFont="1" applyFill="1" applyBorder="1"/>
    <xf numFmtId="10" fontId="1" fillId="3" borderId="15" xfId="0" applyNumberFormat="1" applyFont="1" applyFill="1" applyBorder="1"/>
    <xf numFmtId="43" fontId="1" fillId="3" borderId="15" xfId="4" applyNumberFormat="1" applyFont="1" applyFill="1" applyBorder="1"/>
    <xf numFmtId="10" fontId="1" fillId="3" borderId="15" xfId="4" applyNumberFormat="1" applyFont="1" applyFill="1" applyBorder="1"/>
    <xf numFmtId="43" fontId="0" fillId="3" borderId="23" xfId="1" applyFont="1" applyFill="1" applyBorder="1"/>
    <xf numFmtId="0" fontId="1" fillId="3" borderId="31" xfId="0" applyFont="1" applyFill="1" applyBorder="1"/>
    <xf numFmtId="0" fontId="0" fillId="3" borderId="31" xfId="0" applyFill="1" applyBorder="1"/>
    <xf numFmtId="0" fontId="0" fillId="3" borderId="24" xfId="0" applyFill="1" applyBorder="1"/>
    <xf numFmtId="43" fontId="0" fillId="3" borderId="25" xfId="1" applyFont="1" applyFill="1" applyBorder="1"/>
    <xf numFmtId="43" fontId="1" fillId="3" borderId="25" xfId="1" applyFont="1" applyFill="1" applyBorder="1"/>
    <xf numFmtId="43" fontId="1" fillId="3" borderId="26" xfId="0" applyNumberFormat="1" applyFont="1" applyFill="1" applyBorder="1"/>
    <xf numFmtId="9" fontId="1" fillId="3" borderId="26" xfId="4" applyFont="1" applyFill="1" applyBorder="1"/>
    <xf numFmtId="10" fontId="1" fillId="3" borderId="26" xfId="0" applyNumberFormat="1" applyFont="1" applyFill="1" applyBorder="1"/>
    <xf numFmtId="43" fontId="1" fillId="3" borderId="26" xfId="4" applyNumberFormat="1" applyFont="1" applyFill="1" applyBorder="1"/>
    <xf numFmtId="43" fontId="15" fillId="3" borderId="25" xfId="1" applyFont="1" applyFill="1" applyBorder="1"/>
    <xf numFmtId="43" fontId="1" fillId="3" borderId="27" xfId="1" applyFont="1" applyFill="1" applyBorder="1"/>
    <xf numFmtId="43" fontId="1" fillId="3" borderId="32" xfId="0" applyNumberFormat="1" applyFont="1" applyFill="1" applyBorder="1"/>
    <xf numFmtId="43" fontId="0" fillId="3" borderId="32" xfId="0" applyNumberFormat="1" applyFill="1" applyBorder="1"/>
    <xf numFmtId="43" fontId="0" fillId="3" borderId="28" xfId="0" applyNumberFormat="1" applyFill="1" applyBorder="1"/>
    <xf numFmtId="43" fontId="1" fillId="3" borderId="38" xfId="1" applyFont="1" applyFill="1" applyBorder="1"/>
    <xf numFmtId="9" fontId="1" fillId="3" borderId="39" xfId="4" applyFont="1" applyFill="1" applyBorder="1"/>
    <xf numFmtId="9" fontId="0" fillId="3" borderId="39" xfId="0" applyNumberFormat="1" applyFill="1" applyBorder="1"/>
    <xf numFmtId="0" fontId="0" fillId="3" borderId="39" xfId="0" applyFill="1" applyBorder="1"/>
    <xf numFmtId="0" fontId="0" fillId="3" borderId="40" xfId="0" applyFill="1" applyBorder="1"/>
    <xf numFmtId="43" fontId="1" fillId="3" borderId="23" xfId="1" applyFont="1" applyFill="1" applyBorder="1"/>
    <xf numFmtId="43" fontId="1" fillId="3" borderId="31" xfId="0" applyNumberFormat="1" applyFont="1" applyFill="1" applyBorder="1"/>
    <xf numFmtId="43" fontId="1" fillId="3" borderId="24" xfId="0" applyNumberFormat="1" applyFont="1" applyFill="1" applyBorder="1"/>
    <xf numFmtId="3" fontId="2" fillId="3" borderId="32" xfId="5" applyNumberFormat="1" applyFont="1" applyFill="1" applyBorder="1" applyAlignment="1">
      <alignment horizontal="center"/>
    </xf>
    <xf numFmtId="3" fontId="17" fillId="3" borderId="32" xfId="5" applyNumberFormat="1" applyFont="1" applyFill="1" applyBorder="1" applyAlignment="1">
      <alignment horizontal="center"/>
    </xf>
    <xf numFmtId="9" fontId="18" fillId="3" borderId="32" xfId="5" applyNumberFormat="1" applyFont="1" applyFill="1" applyBorder="1" applyAlignment="1">
      <alignment horizontal="center" vertical="center" wrapText="1" readingOrder="1"/>
    </xf>
    <xf numFmtId="0" fontId="0" fillId="8" borderId="14" xfId="0" applyFill="1" applyBorder="1"/>
    <xf numFmtId="10" fontId="0" fillId="0" borderId="15" xfId="3" applyNumberFormat="1" applyFont="1" applyBorder="1"/>
    <xf numFmtId="167" fontId="0" fillId="0" borderId="15" xfId="0" applyNumberFormat="1" applyFont="1" applyBorder="1"/>
    <xf numFmtId="2" fontId="1" fillId="0" borderId="15" xfId="4" applyNumberFormat="1" applyFont="1" applyBorder="1"/>
    <xf numFmtId="0" fontId="1" fillId="3" borderId="15" xfId="0" applyNumberFormat="1" applyFont="1" applyFill="1" applyBorder="1"/>
    <xf numFmtId="10" fontId="0" fillId="0" borderId="22" xfId="0" quotePrefix="1" applyNumberFormat="1" applyBorder="1"/>
    <xf numFmtId="10" fontId="12" fillId="0" borderId="15" xfId="5" applyNumberFormat="1" applyFont="1" applyBorder="1" applyAlignment="1">
      <alignment horizontal="center" vertical="center" wrapText="1" readingOrder="1"/>
    </xf>
    <xf numFmtId="10" fontId="12" fillId="0" borderId="26" xfId="3" applyNumberFormat="1" applyFont="1" applyBorder="1" applyAlignment="1">
      <alignment horizontal="right" vertical="center" wrapText="1" readingOrder="1"/>
    </xf>
    <xf numFmtId="0" fontId="1" fillId="0" borderId="19" xfId="0" applyFont="1" applyBorder="1"/>
    <xf numFmtId="9" fontId="0" fillId="0" borderId="20" xfId="3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13" xfId="0" applyFont="1" applyBorder="1"/>
    <xf numFmtId="9" fontId="1" fillId="0" borderId="22" xfId="4" applyFont="1" applyBorder="1"/>
    <xf numFmtId="9" fontId="1" fillId="0" borderId="0" xfId="3" applyFont="1" applyBorder="1"/>
    <xf numFmtId="0" fontId="0" fillId="0" borderId="0" xfId="0" applyFont="1" applyBorder="1"/>
    <xf numFmtId="3" fontId="12" fillId="0" borderId="26" xfId="3" applyNumberFormat="1" applyFont="1" applyBorder="1" applyAlignment="1">
      <alignment horizontal="right" vertical="center" wrapText="1" readingOrder="1"/>
    </xf>
    <xf numFmtId="43" fontId="0" fillId="4" borderId="32" xfId="1" applyNumberFormat="1" applyFont="1" applyFill="1" applyBorder="1"/>
    <xf numFmtId="0" fontId="0" fillId="4" borderId="15" xfId="0" applyNumberFormat="1" applyFill="1" applyBorder="1"/>
    <xf numFmtId="3" fontId="0" fillId="0" borderId="0" xfId="0" applyNumberFormat="1"/>
    <xf numFmtId="43" fontId="0" fillId="3" borderId="0" xfId="0" applyNumberFormat="1" applyFill="1"/>
    <xf numFmtId="43" fontId="1" fillId="0" borderId="0" xfId="0" applyNumberFormat="1" applyFont="1"/>
    <xf numFmtId="0" fontId="9" fillId="8" borderId="23" xfId="0" applyFont="1" applyFill="1" applyBorder="1" applyAlignment="1">
      <alignment horizontal="center" vertical="center"/>
    </xf>
    <xf numFmtId="0" fontId="9" fillId="8" borderId="31" xfId="0" applyFont="1" applyFill="1" applyBorder="1" applyAlignment="1">
      <alignment horizontal="center" vertical="center"/>
    </xf>
    <xf numFmtId="0" fontId="9" fillId="8" borderId="24" xfId="0" applyFont="1" applyFill="1" applyBorder="1" applyAlignment="1">
      <alignment horizontal="center" vertical="center"/>
    </xf>
    <xf numFmtId="0" fontId="6" fillId="8" borderId="15" xfId="0" applyFont="1" applyFill="1" applyBorder="1" applyAlignment="1">
      <alignment horizontal="center" vertical="center"/>
    </xf>
    <xf numFmtId="0" fontId="6" fillId="8" borderId="26" xfId="0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center"/>
    </xf>
    <xf numFmtId="0" fontId="4" fillId="8" borderId="18" xfId="0" applyFont="1" applyFill="1" applyBorder="1" applyAlignment="1">
      <alignment horizontal="center"/>
    </xf>
    <xf numFmtId="0" fontId="4" fillId="8" borderId="0" xfId="0" applyFont="1" applyFill="1" applyAlignment="1">
      <alignment horizontal="center"/>
    </xf>
    <xf numFmtId="0" fontId="4" fillId="8" borderId="30" xfId="0" applyFont="1" applyFill="1" applyBorder="1" applyAlignment="1">
      <alignment horizontal="center"/>
    </xf>
    <xf numFmtId="0" fontId="4" fillId="8" borderId="16" xfId="0" applyFont="1" applyFill="1" applyBorder="1" applyAlignment="1">
      <alignment horizontal="center"/>
    </xf>
    <xf numFmtId="0" fontId="4" fillId="8" borderId="29" xfId="0" applyFont="1" applyFill="1" applyBorder="1" applyAlignment="1">
      <alignment horizontal="center"/>
    </xf>
    <xf numFmtId="164" fontId="2" fillId="8" borderId="33" xfId="0" applyNumberFormat="1" applyFont="1" applyFill="1" applyBorder="1" applyAlignment="1">
      <alignment horizontal="center"/>
    </xf>
    <xf numFmtId="164" fontId="2" fillId="8" borderId="16" xfId="0" applyNumberFormat="1" applyFont="1" applyFill="1" applyBorder="1" applyAlignment="1">
      <alignment horizontal="center"/>
    </xf>
    <xf numFmtId="164" fontId="2" fillId="8" borderId="34" xfId="0" applyNumberFormat="1" applyFont="1" applyFill="1" applyBorder="1" applyAlignment="1">
      <alignment horizontal="center"/>
    </xf>
    <xf numFmtId="0" fontId="4" fillId="8" borderId="34" xfId="0" applyFont="1" applyFill="1" applyBorder="1" applyAlignment="1">
      <alignment horizontal="center"/>
    </xf>
    <xf numFmtId="0" fontId="9" fillId="8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43" fontId="8" fillId="0" borderId="0" xfId="2" applyNumberFormat="1" applyFont="1" applyBorder="1" applyAlignment="1" applyProtection="1">
      <alignment horizontal="center"/>
    </xf>
    <xf numFmtId="2" fontId="3" fillId="0" borderId="26" xfId="0" applyNumberFormat="1" applyFont="1" applyBorder="1" applyAlignment="1">
      <alignment horizontal="center"/>
    </xf>
    <xf numFmtId="10" fontId="14" fillId="0" borderId="26" xfId="5" applyNumberFormat="1" applyFont="1" applyBorder="1"/>
    <xf numFmtId="0" fontId="0" fillId="0" borderId="41" xfId="0" applyBorder="1"/>
    <xf numFmtId="0" fontId="0" fillId="0" borderId="18" xfId="0" applyBorder="1"/>
    <xf numFmtId="0" fontId="0" fillId="0" borderId="22" xfId="0" applyBorder="1"/>
    <xf numFmtId="43" fontId="2" fillId="8" borderId="17" xfId="1" applyFont="1" applyFill="1" applyBorder="1" applyAlignment="1">
      <alignment horizontal="center"/>
    </xf>
    <xf numFmtId="43" fontId="2" fillId="8" borderId="41" xfId="1" applyFont="1" applyFill="1" applyBorder="1" applyAlignment="1">
      <alignment horizontal="center"/>
    </xf>
    <xf numFmtId="43" fontId="2" fillId="8" borderId="18" xfId="1" applyFont="1" applyFill="1" applyBorder="1" applyAlignment="1">
      <alignment horizontal="center"/>
    </xf>
    <xf numFmtId="43" fontId="0" fillId="0" borderId="20" xfId="1" applyFont="1" applyBorder="1"/>
    <xf numFmtId="43" fontId="0" fillId="0" borderId="0" xfId="1" applyFont="1" applyBorder="1" applyAlignment="1">
      <alignment horizontal="center" wrapText="1"/>
    </xf>
    <xf numFmtId="43" fontId="0" fillId="0" borderId="20" xfId="1" applyFont="1" applyBorder="1" applyAlignment="1">
      <alignment horizontal="center" wrapText="1"/>
    </xf>
    <xf numFmtId="43" fontId="0" fillId="0" borderId="13" xfId="1" applyFont="1" applyBorder="1" applyAlignment="1">
      <alignment horizontal="center" wrapText="1"/>
    </xf>
    <xf numFmtId="43" fontId="0" fillId="0" borderId="22" xfId="1" applyFont="1" applyBorder="1" applyAlignment="1">
      <alignment horizontal="center" wrapText="1"/>
    </xf>
    <xf numFmtId="43" fontId="4" fillId="8" borderId="7" xfId="1" applyFont="1" applyFill="1" applyBorder="1" applyAlignment="1">
      <alignment horizontal="center" wrapText="1"/>
    </xf>
    <xf numFmtId="43" fontId="4" fillId="8" borderId="8" xfId="1" applyFont="1" applyFill="1" applyBorder="1" applyAlignment="1">
      <alignment horizontal="center" wrapText="1"/>
    </xf>
    <xf numFmtId="43" fontId="4" fillId="8" borderId="1" xfId="1" applyFont="1" applyFill="1" applyBorder="1" applyAlignment="1">
      <alignment wrapText="1"/>
    </xf>
    <xf numFmtId="43" fontId="0" fillId="0" borderId="42" xfId="1" applyFont="1" applyBorder="1" applyAlignment="1">
      <alignment horizontal="center" vertical="center" wrapText="1"/>
    </xf>
    <xf numFmtId="43" fontId="0" fillId="0" borderId="43" xfId="1" applyFont="1" applyBorder="1" applyAlignment="1">
      <alignment horizontal="center" vertical="center" wrapText="1"/>
    </xf>
    <xf numFmtId="0" fontId="0" fillId="3" borderId="19" xfId="0" applyFill="1" applyBorder="1"/>
    <xf numFmtId="0" fontId="0" fillId="3" borderId="0" xfId="0" applyFill="1" applyBorder="1"/>
    <xf numFmtId="0" fontId="0" fillId="3" borderId="20" xfId="0" applyFill="1" applyBorder="1"/>
    <xf numFmtId="0" fontId="0" fillId="3" borderId="21" xfId="0" applyFill="1" applyBorder="1"/>
    <xf numFmtId="43" fontId="0" fillId="3" borderId="13" xfId="0" applyNumberFormat="1" applyFill="1" applyBorder="1"/>
    <xf numFmtId="43" fontId="0" fillId="3" borderId="22" xfId="0" applyNumberFormat="1" applyFill="1" applyBorder="1"/>
    <xf numFmtId="0" fontId="4" fillId="8" borderId="17" xfId="0" applyFont="1" applyFill="1" applyBorder="1"/>
    <xf numFmtId="0" fontId="4" fillId="8" borderId="18" xfId="0" applyFont="1" applyFill="1" applyBorder="1"/>
    <xf numFmtId="0" fontId="2" fillId="8" borderId="17" xfId="0" applyFont="1" applyFill="1" applyBorder="1" applyAlignment="1">
      <alignment horizontal="center"/>
    </xf>
    <xf numFmtId="0" fontId="2" fillId="8" borderId="41" xfId="0" applyFont="1" applyFill="1" applyBorder="1" applyAlignment="1">
      <alignment horizontal="center"/>
    </xf>
    <xf numFmtId="0" fontId="2" fillId="8" borderId="18" xfId="0" applyFont="1" applyFill="1" applyBorder="1" applyAlignment="1">
      <alignment horizontal="center"/>
    </xf>
    <xf numFmtId="43" fontId="3" fillId="0" borderId="17" xfId="1" applyFont="1" applyFill="1" applyBorder="1" applyAlignment="1">
      <alignment horizontal="left"/>
    </xf>
    <xf numFmtId="43" fontId="3" fillId="0" borderId="19" xfId="1" applyFont="1" applyFill="1" applyBorder="1" applyAlignment="1">
      <alignment horizontal="left"/>
    </xf>
    <xf numFmtId="2" fontId="0" fillId="0" borderId="0" xfId="0" applyNumberFormat="1" applyBorder="1"/>
    <xf numFmtId="43" fontId="3" fillId="0" borderId="21" xfId="1" applyFont="1" applyFill="1" applyBorder="1" applyAlignment="1">
      <alignment horizontal="left"/>
    </xf>
    <xf numFmtId="9" fontId="0" fillId="0" borderId="13" xfId="0" applyNumberFormat="1" applyBorder="1"/>
    <xf numFmtId="9" fontId="0" fillId="0" borderId="22" xfId="0" applyNumberFormat="1" applyBorder="1"/>
    <xf numFmtId="169" fontId="1" fillId="0" borderId="11" xfId="6" applyNumberFormat="1" applyFont="1" applyBorder="1" applyAlignment="1">
      <alignment horizontal="right" indent="1"/>
    </xf>
    <xf numFmtId="0" fontId="0" fillId="0" borderId="13" xfId="0" applyBorder="1"/>
    <xf numFmtId="0" fontId="0" fillId="0" borderId="20" xfId="0" applyBorder="1"/>
    <xf numFmtId="0" fontId="0" fillId="0" borderId="22" xfId="0" applyBorder="1"/>
    <xf numFmtId="0" fontId="4" fillId="8" borderId="41" xfId="0" applyFont="1" applyFill="1" applyBorder="1"/>
    <xf numFmtId="0" fontId="0" fillId="0" borderId="43" xfId="0" applyBorder="1"/>
    <xf numFmtId="0" fontId="0" fillId="0" borderId="42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3" fontId="0" fillId="0" borderId="1" xfId="0" applyNumberFormat="1" applyBorder="1"/>
    <xf numFmtId="10" fontId="0" fillId="0" borderId="42" xfId="0" applyNumberFormat="1" applyBorder="1"/>
    <xf numFmtId="10" fontId="0" fillId="0" borderId="43" xfId="0" applyNumberFormat="1" applyBorder="1"/>
  </cellXfs>
  <cellStyles count="7">
    <cellStyle name="Comma" xfId="1" builtinId="3"/>
    <cellStyle name="Comma 2" xfId="6" xr:uid="{00000000-0005-0000-0000-000033000000}"/>
    <cellStyle name="Hyperlink" xfId="2" builtinId="8"/>
    <cellStyle name="Normal" xfId="0" builtinId="0"/>
    <cellStyle name="Normal 2" xfId="5" xr:uid="{B1EDCFF5-8EF2-49E6-AE59-C58E639227A1}"/>
    <cellStyle name="Percent" xfId="3" builtinId="5"/>
    <cellStyle name="Percent 2" xfId="4" xr:uid="{E7074AC2-23CF-42A8-ADF5-5F69BEAA0F7D}"/>
  </cellStyles>
  <dxfs count="25">
    <dxf>
      <font>
        <b/>
        <i val="0"/>
        <color theme="0"/>
      </font>
      <fill>
        <patternFill>
          <bgColor theme="5"/>
        </patternFill>
      </fill>
    </dxf>
    <dxf>
      <font>
        <color rgb="FFFF0000"/>
      </font>
    </dxf>
    <dxf>
      <font>
        <color rgb="FF00B05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</dxfs>
  <tableStyles count="0" defaultTableStyle="TableStyleMedium2" defaultPivotStyle="PivotStyleLight16"/>
  <colors>
    <mruColors>
      <color rgb="FF0666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externalLink" Target="externalLinks/externalLink7.xml"/><Relationship Id="rId26" Type="http://schemas.openxmlformats.org/officeDocument/2006/relationships/externalLink" Target="externalLinks/externalLink15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0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externalLink" Target="externalLinks/externalLink6.xml"/><Relationship Id="rId25" Type="http://schemas.openxmlformats.org/officeDocument/2006/relationships/externalLink" Target="externalLinks/externalLink1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5.xml"/><Relationship Id="rId20" Type="http://schemas.openxmlformats.org/officeDocument/2006/relationships/externalLink" Target="externalLinks/externalLink9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4.xml"/><Relationship Id="rId23" Type="http://schemas.openxmlformats.org/officeDocument/2006/relationships/externalLink" Target="externalLinks/externalLink12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8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Relationship Id="rId22" Type="http://schemas.openxmlformats.org/officeDocument/2006/relationships/externalLink" Target="externalLinks/externalLink11.xml"/><Relationship Id="rId27" Type="http://schemas.openxmlformats.org/officeDocument/2006/relationships/externalLink" Target="externalLinks/externalLink16.xml"/><Relationship Id="rId30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Football Field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'Football Field'!$C$2</c:f>
              <c:strCache>
                <c:ptCount val="1"/>
                <c:pt idx="0">
                  <c:v>Base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'Football Field'!$B$3:$B$9</c:f>
              <c:strCache>
                <c:ptCount val="7"/>
                <c:pt idx="0">
                  <c:v>EV / Revenue:</c:v>
                </c:pt>
                <c:pt idx="2">
                  <c:v>EV / EBITDA:</c:v>
                </c:pt>
                <c:pt idx="4">
                  <c:v>P / E:</c:v>
                </c:pt>
                <c:pt idx="6">
                  <c:v>DCF</c:v>
                </c:pt>
              </c:strCache>
            </c:strRef>
          </c:cat>
          <c:val>
            <c:numRef>
              <c:f>'Football Field'!$C$3:$C$9</c:f>
              <c:numCache>
                <c:formatCode>General</c:formatCode>
                <c:ptCount val="7"/>
                <c:pt idx="0">
                  <c:v>0</c:v>
                </c:pt>
                <c:pt idx="2">
                  <c:v>0</c:v>
                </c:pt>
                <c:pt idx="4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30-485E-9BC8-7B87C89BC604}"/>
            </c:ext>
          </c:extLst>
        </c:ser>
        <c:ser>
          <c:idx val="1"/>
          <c:order val="1"/>
          <c:tx>
            <c:strRef>
              <c:f>'Football Field'!$D$2</c:f>
              <c:strCache>
                <c:ptCount val="1"/>
                <c:pt idx="0">
                  <c:v>25th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'Football Field'!$B$3:$B$9</c:f>
              <c:strCache>
                <c:ptCount val="7"/>
                <c:pt idx="0">
                  <c:v>EV / Revenue:</c:v>
                </c:pt>
                <c:pt idx="2">
                  <c:v>EV / EBITDA:</c:v>
                </c:pt>
                <c:pt idx="4">
                  <c:v>P / E:</c:v>
                </c:pt>
                <c:pt idx="6">
                  <c:v>DCF</c:v>
                </c:pt>
              </c:strCache>
            </c:strRef>
          </c:cat>
          <c:val>
            <c:numRef>
              <c:f>'Football Field'!$D$3:$D$9</c:f>
              <c:numCache>
                <c:formatCode>General</c:formatCode>
                <c:ptCount val="7"/>
                <c:pt idx="0" formatCode="_(* #,##0.00_);_(* \(#,##0.00\);_(* &quot;-&quot;??_);_(@_)">
                  <c:v>2157.2880085018023</c:v>
                </c:pt>
                <c:pt idx="2" formatCode="#,##0">
                  <c:v>2330.3548276410997</c:v>
                </c:pt>
                <c:pt idx="4" formatCode="_(* #,##0.00_);_(* \(#,##0.00\);_(* &quot;-&quot;??_);_(@_)">
                  <c:v>2889.2893641099831</c:v>
                </c:pt>
                <c:pt idx="6" formatCode="_(* #,##0.00_);_(* \(#,##0.00\);_(* &quot;-&quot;??_);_(@_)">
                  <c:v>2404.6026211777043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30-485E-9BC8-7B87C89BC604}"/>
            </c:ext>
          </c:extLst>
        </c:ser>
        <c:ser>
          <c:idx val="2"/>
          <c:order val="2"/>
          <c:tx>
            <c:strRef>
              <c:f>'Football Field'!$E$2</c:f>
              <c:strCache>
                <c:ptCount val="1"/>
                <c:pt idx="0">
                  <c:v>50th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'Football Field'!$B$3:$B$9</c:f>
              <c:strCache>
                <c:ptCount val="7"/>
                <c:pt idx="0">
                  <c:v>EV / Revenue:</c:v>
                </c:pt>
                <c:pt idx="2">
                  <c:v>EV / EBITDA:</c:v>
                </c:pt>
                <c:pt idx="4">
                  <c:v>P / E:</c:v>
                </c:pt>
                <c:pt idx="6">
                  <c:v>DCF</c:v>
                </c:pt>
              </c:strCache>
            </c:strRef>
          </c:cat>
          <c:val>
            <c:numRef>
              <c:f>'Football Field'!$E$3:$E$9</c:f>
              <c:numCache>
                <c:formatCode>_(* #,##0.00_);_(* \(#,##0.00\);_(* "-"??_);_(@_)</c:formatCode>
                <c:ptCount val="7"/>
                <c:pt idx="0">
                  <c:v>63.857939936895946</c:v>
                </c:pt>
                <c:pt idx="2">
                  <c:v>273.45010723588985</c:v>
                </c:pt>
                <c:pt idx="4">
                  <c:v>840.91257612156278</c:v>
                </c:pt>
                <c:pt idx="6">
                  <c:v>617.40287458869261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30-485E-9BC8-7B87C89BC604}"/>
            </c:ext>
          </c:extLst>
        </c:ser>
        <c:ser>
          <c:idx val="3"/>
          <c:order val="3"/>
          <c:tx>
            <c:strRef>
              <c:f>'Football Field'!$F$2</c:f>
              <c:strCache>
                <c:ptCount val="1"/>
                <c:pt idx="0">
                  <c:v>75th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'Football Field'!$B$3:$B$9</c:f>
              <c:strCache>
                <c:ptCount val="7"/>
                <c:pt idx="0">
                  <c:v>EV / Revenue:</c:v>
                </c:pt>
                <c:pt idx="2">
                  <c:v>EV / EBITDA:</c:v>
                </c:pt>
                <c:pt idx="4">
                  <c:v>P / E:</c:v>
                </c:pt>
                <c:pt idx="6">
                  <c:v>DCF</c:v>
                </c:pt>
              </c:strCache>
            </c:strRef>
          </c:cat>
          <c:val>
            <c:numRef>
              <c:f>'Football Field'!$F$3:$F$9</c:f>
              <c:numCache>
                <c:formatCode>#,##0</c:formatCode>
                <c:ptCount val="7"/>
                <c:pt idx="0">
                  <c:v>63.8579399368964</c:v>
                </c:pt>
                <c:pt idx="2">
                  <c:v>273.4501072358903</c:v>
                </c:pt>
                <c:pt idx="4">
                  <c:v>840.91257612156323</c:v>
                </c:pt>
                <c:pt idx="6">
                  <c:v>1343.3951731489669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30-485E-9BC8-7B87C89BC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59246655"/>
        <c:axId val="1511664687"/>
      </c:barChart>
      <c:catAx>
        <c:axId val="19592466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1664687"/>
        <c:crosses val="autoZero"/>
        <c:auto val="1"/>
        <c:lblAlgn val="ctr"/>
        <c:lblOffset val="100"/>
        <c:noMultiLvlLbl val="0"/>
      </c:catAx>
      <c:valAx>
        <c:axId val="1511664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9246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560676</xdr:colOff>
      <xdr:row>1</xdr:row>
      <xdr:rowOff>78798</xdr:rowOff>
    </xdr:from>
    <xdr:to>
      <xdr:col>16</xdr:col>
      <xdr:colOff>238124</xdr:colOff>
      <xdr:row>16</xdr:row>
      <xdr:rowOff>86591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9170325-406D-4F8F-8219-7460D35F32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uskinvest-my.sharepoint.com/kS2K3BOMBKH03/users/ksinst/kotakval/kotakval_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uskinvest-my.sharepoint.com/kS2K3BOMBKH03/users/Users/research/rashi/Autos/Bajaj/Models/bajaj%20Auto%20Lt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uskinvest-my.sharepoint.com/kS2K3BOMBKH03/users/USERS/NEELESH/TELECOM/VSNL/VSN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uskinvest-my.sharepoint.com/kS2K3BOMBKH03/users/old%20research/Research/Telco/Tata%20Engineering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uskinvest-my.sharepoint.com/Ks2k3bombkh03/users/Users/research/abhijeetn/Metals/Tisco/Models/Blank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uskinvest-my.sharepoint.com/Ks2k3bombkh03/users/New%20Folder/Pharma%20EMs/blank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ES\NARAYAN\FMCG\ITC\ITC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RES\NARAYAN\FMCG\ITC\ITC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uskinvest-my.sharepoint.com/Ksiesr00001/users/Users/research/sujay/SUJAY/Prices/Consumer/comm%20price%20Bloomberg%20(Updated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ork\XLRI\Placements\tasks\whiteoak\EID_valuation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NEELESH\TELECOM\VSNL\VSNL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Mark\Data\INDEX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uskinvest-my.sharepoint.com/JOSHI/MY%20DOCUMENTS/WINDOWS/Desktop/Manoj%20Gandhi/WINDOWS/DEPRE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uskinvest-my.sharepoint.com/MUMINFAPP01/infobase/DOCSOPEN/PROGS/DOCS/ISDLIB5/0020445.01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WINDOWS\DEPRE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uskinvest-my.sharepoint.com/kS2K3BOMBKH03/users/Users/research/PRASAD/pras1/ENERGY/Companies/IOCL/models/IOC%20mast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(3)"/>
      <sheetName val="Top-10_Aug07"/>
      <sheetName val="Top-10_Dec06"/>
      <sheetName val="Top-10 New"/>
      <sheetName val="summary_new"/>
      <sheetName val="Sectoral Parameters"/>
      <sheetName val="Sectoral Perf"/>
      <sheetName val="Sectoral Summary"/>
      <sheetName val="Hi_low"/>
      <sheetName val="Top-10"/>
      <sheetName val="summary"/>
      <sheetName val="operating_stats"/>
      <sheetName val="performance"/>
      <sheetName val="Sheet1"/>
      <sheetName val="KS vs Consensus"/>
      <sheetName val="ADRs"/>
      <sheetName val="Tech"/>
      <sheetName val="Consumers"/>
      <sheetName val="Pharma"/>
      <sheetName val="Pharma_mids"/>
      <sheetName val="Chem_Energy"/>
      <sheetName val="Banks"/>
      <sheetName val="Auto"/>
      <sheetName val="Telecom"/>
      <sheetName val="Cement"/>
      <sheetName val="Media"/>
      <sheetName val="Metals"/>
      <sheetName val="Hotels"/>
      <sheetName val="summary_09E"/>
      <sheetName val="dump"/>
      <sheetName val="IBES"/>
      <sheetName val="control"/>
      <sheetName val="all_dump"/>
      <sheetName val="check"/>
      <sheetName val="Portfolio"/>
      <sheetName val="Rating_dist"/>
      <sheetName val="JCF"/>
      <sheetName val="Bloomberg"/>
      <sheetName val="GS"/>
      <sheetName val="IBES_o"/>
      <sheetName val="IBES06"/>
      <sheetName val="IBES02-03"/>
      <sheetName val="summary08"/>
      <sheetName val="Sectoral Summary (2)"/>
      <sheetName val="Temp"/>
      <sheetName val="summary (Report)"/>
      <sheetName val="summary (2)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6">
          <cell r="A6" t="str">
            <v xml:space="preserve">Hero Honda </v>
          </cell>
        </row>
        <row r="7">
          <cell r="A7" t="str">
            <v>Bajaj Auto</v>
          </cell>
        </row>
        <row r="8">
          <cell r="A8" t="str">
            <v>Tata Motors</v>
          </cell>
        </row>
        <row r="9">
          <cell r="A9" t="str">
            <v>Maruti Udyog</v>
          </cell>
        </row>
        <row r="10">
          <cell r="A10" t="str">
            <v xml:space="preserve">Mahindra &amp; Mahindra </v>
          </cell>
        </row>
        <row r="11">
          <cell r="A11" t="str">
            <v>Ashok Leyland</v>
          </cell>
        </row>
        <row r="12">
          <cell r="A12" t="str">
            <v>Punjab Tractors</v>
          </cell>
        </row>
        <row r="13">
          <cell r="A13" t="str">
            <v>TVS Motor Co</v>
          </cell>
        </row>
        <row r="14">
          <cell r="A14" t="str">
            <v>Bharat Forge</v>
          </cell>
        </row>
        <row r="16">
          <cell r="A16" t="str">
            <v>Auto Ancillaries</v>
          </cell>
        </row>
        <row r="17">
          <cell r="A17" t="str">
            <v>Motherson Sumi</v>
          </cell>
        </row>
        <row r="18">
          <cell r="A18" t="str">
            <v>Rico Auto</v>
          </cell>
        </row>
        <row r="19">
          <cell r="A19" t="str">
            <v>MICO</v>
          </cell>
        </row>
        <row r="21">
          <cell r="A21" t="str">
            <v>Banks/Financial Institutions</v>
          </cell>
        </row>
        <row r="22">
          <cell r="A22" t="str">
            <v>State Bank of India</v>
          </cell>
        </row>
        <row r="23">
          <cell r="A23" t="str">
            <v>HDFC</v>
          </cell>
        </row>
        <row r="24">
          <cell r="A24" t="str">
            <v>HDFC Bank</v>
          </cell>
        </row>
        <row r="25">
          <cell r="A25" t="str">
            <v>ICICI Bank</v>
          </cell>
        </row>
        <row r="26">
          <cell r="A26" t="str">
            <v>IDFC</v>
          </cell>
        </row>
        <row r="27">
          <cell r="A27" t="str">
            <v>Corporation Bank</v>
          </cell>
        </row>
        <row r="28">
          <cell r="A28" t="str">
            <v>Bank of Baroda</v>
          </cell>
        </row>
        <row r="29">
          <cell r="A29" t="str">
            <v>Punjab National Bank</v>
          </cell>
        </row>
        <row r="30">
          <cell r="A30" t="str">
            <v>Oriental Bank of Commerce</v>
          </cell>
        </row>
        <row r="31">
          <cell r="A31" t="str">
            <v>Canara Bank</v>
          </cell>
        </row>
        <row r="32">
          <cell r="A32" t="str">
            <v>LIC Housing Finance</v>
          </cell>
        </row>
        <row r="33">
          <cell r="A33" t="str">
            <v>Axis Bank</v>
          </cell>
        </row>
        <row r="34">
          <cell r="A34" t="str">
            <v>MMFSL</v>
          </cell>
        </row>
        <row r="35">
          <cell r="A35" t="str">
            <v>Shriram Transport</v>
          </cell>
        </row>
        <row r="36">
          <cell r="A36" t="str">
            <v>SREI</v>
          </cell>
        </row>
        <row r="37">
          <cell r="A37" t="str">
            <v>Andhra Bank</v>
          </cell>
        </row>
        <row r="38">
          <cell r="A38" t="str">
            <v>Indian Overseas Bank</v>
          </cell>
        </row>
        <row r="39">
          <cell r="A39" t="str">
            <v>PFC</v>
          </cell>
        </row>
        <row r="40">
          <cell r="A40" t="str">
            <v>Centurion Bank of Punjab</v>
          </cell>
        </row>
        <row r="41">
          <cell r="A41" t="str">
            <v>Federal Bank</v>
          </cell>
        </row>
        <row r="42">
          <cell r="A42" t="str">
            <v>J&amp;K Bank</v>
          </cell>
        </row>
        <row r="43">
          <cell r="A43" t="str">
            <v>India Infoline</v>
          </cell>
        </row>
        <row r="44">
          <cell r="A44" t="str">
            <v>Indian Bank</v>
          </cell>
        </row>
        <row r="46">
          <cell r="A46" t="str">
            <v>Cement</v>
          </cell>
        </row>
        <row r="47">
          <cell r="A47" t="str">
            <v>Ambuja Cements</v>
          </cell>
        </row>
        <row r="48">
          <cell r="A48" t="str">
            <v>ACC</v>
          </cell>
        </row>
        <row r="49">
          <cell r="A49" t="str">
            <v>Grasim Industries</v>
          </cell>
        </row>
        <row r="50">
          <cell r="A50" t="str">
            <v>UltraTech Cement</v>
          </cell>
        </row>
        <row r="51">
          <cell r="A51" t="str">
            <v>India Cements</v>
          </cell>
        </row>
        <row r="52">
          <cell r="A52" t="str">
            <v>Madras Cements</v>
          </cell>
        </row>
        <row r="53">
          <cell r="A53" t="str">
            <v>Shree Cement</v>
          </cell>
        </row>
        <row r="55">
          <cell r="A55" t="str">
            <v>Construction</v>
          </cell>
        </row>
        <row r="56">
          <cell r="A56" t="str">
            <v>Punj</v>
          </cell>
        </row>
        <row r="57">
          <cell r="A57" t="str">
            <v>Nagarjuna Construction Co.</v>
          </cell>
        </row>
        <row r="58">
          <cell r="A58" t="str">
            <v>IVRCL</v>
          </cell>
        </row>
        <row r="60">
          <cell r="A60" t="str">
            <v>Consumer Products</v>
          </cell>
        </row>
        <row r="61">
          <cell r="A61" t="str">
            <v>Hindustan Unilever</v>
          </cell>
        </row>
        <row r="62">
          <cell r="A62" t="str">
            <v>ITC</v>
          </cell>
        </row>
        <row r="63">
          <cell r="A63" t="str">
            <v>Nestle India</v>
          </cell>
        </row>
        <row r="64">
          <cell r="A64" t="str">
            <v>Colgate-Palmolive (India)</v>
          </cell>
        </row>
        <row r="65">
          <cell r="A65" t="str">
            <v>Glaxo SmithKline Consumer</v>
          </cell>
        </row>
        <row r="66">
          <cell r="A66" t="str">
            <v>Asian Paints</v>
          </cell>
        </row>
        <row r="67">
          <cell r="A67" t="str">
            <v>Godrej Consumer Products</v>
          </cell>
        </row>
        <row r="68">
          <cell r="A68" t="str">
            <v>Lakshmi</v>
          </cell>
        </row>
        <row r="69">
          <cell r="A69" t="str">
            <v>Tata Tea</v>
          </cell>
        </row>
        <row r="71">
          <cell r="A71" t="str">
            <v>Diversified</v>
          </cell>
        </row>
        <row r="72">
          <cell r="A72" t="str">
            <v>Sintex</v>
          </cell>
        </row>
        <row r="73">
          <cell r="A73" t="str">
            <v>Aditya Birla Nuvo</v>
          </cell>
        </row>
        <row r="74">
          <cell r="A74" t="str">
            <v>Monnet Ispat</v>
          </cell>
        </row>
        <row r="75">
          <cell r="A75" t="str">
            <v>Max</v>
          </cell>
        </row>
        <row r="133">
          <cell r="D133">
            <v>434.4</v>
          </cell>
        </row>
        <row r="134">
          <cell r="D134">
            <v>649</v>
          </cell>
        </row>
        <row r="135">
          <cell r="D135">
            <v>182.4</v>
          </cell>
        </row>
        <row r="136">
          <cell r="D136">
            <v>965.5</v>
          </cell>
        </row>
        <row r="137">
          <cell r="D137">
            <v>473.4</v>
          </cell>
        </row>
        <row r="138">
          <cell r="D138">
            <v>1112.0999999999999</v>
          </cell>
        </row>
        <row r="139">
          <cell r="D139">
            <v>323.7</v>
          </cell>
        </row>
        <row r="140">
          <cell r="D140">
            <v>1166.0999999999999</v>
          </cell>
        </row>
        <row r="141">
          <cell r="D141">
            <v>416.6</v>
          </cell>
        </row>
        <row r="142">
          <cell r="D142">
            <v>310.95</v>
          </cell>
        </row>
        <row r="143">
          <cell r="D143">
            <v>281.2</v>
          </cell>
        </row>
        <row r="144">
          <cell r="D144">
            <v>1216.9000000000001</v>
          </cell>
        </row>
        <row r="145">
          <cell r="D145">
            <v>571</v>
          </cell>
        </row>
        <row r="146">
          <cell r="D146">
            <v>658.45</v>
          </cell>
        </row>
        <row r="147">
          <cell r="D147">
            <v>586.15</v>
          </cell>
        </row>
        <row r="148">
          <cell r="D148">
            <v>715.35</v>
          </cell>
        </row>
        <row r="149">
          <cell r="D149">
            <v>189.25</v>
          </cell>
        </row>
        <row r="152">
          <cell r="D152">
            <v>659.05</v>
          </cell>
        </row>
        <row r="153">
          <cell r="D153">
            <v>280.89999999999998</v>
          </cell>
        </row>
        <row r="154">
          <cell r="D154">
            <v>390.05</v>
          </cell>
        </row>
        <row r="155">
          <cell r="D155">
            <v>296.7</v>
          </cell>
        </row>
        <row r="158">
          <cell r="D158">
            <v>762.95</v>
          </cell>
        </row>
        <row r="159">
          <cell r="D159">
            <v>618.6</v>
          </cell>
        </row>
        <row r="160">
          <cell r="D160">
            <v>914.5</v>
          </cell>
        </row>
        <row r="163">
          <cell r="D163">
            <v>539.95000000000005</v>
          </cell>
        </row>
        <row r="166">
          <cell r="D166">
            <v>646.9</v>
          </cell>
        </row>
        <row r="169">
          <cell r="D169">
            <v>1056.75</v>
          </cell>
        </row>
        <row r="170">
          <cell r="D170">
            <v>459.85</v>
          </cell>
        </row>
        <row r="171">
          <cell r="D171">
            <v>1896.75</v>
          </cell>
        </row>
        <row r="172">
          <cell r="D172">
            <v>443.5</v>
          </cell>
        </row>
        <row r="173">
          <cell r="D173">
            <v>299.8</v>
          </cell>
        </row>
        <row r="174">
          <cell r="D174">
            <v>1889.75</v>
          </cell>
        </row>
        <row r="175">
          <cell r="D175">
            <v>124.55</v>
          </cell>
        </row>
        <row r="176">
          <cell r="D176">
            <v>122.8</v>
          </cell>
        </row>
        <row r="177">
          <cell r="D177">
            <v>1330.85</v>
          </cell>
        </row>
        <row r="178">
          <cell r="D178">
            <v>509.6</v>
          </cell>
        </row>
        <row r="179">
          <cell r="D179">
            <v>286</v>
          </cell>
        </row>
        <row r="180">
          <cell r="D180">
            <v>231.15</v>
          </cell>
        </row>
        <row r="181">
          <cell r="D181">
            <v>469.9</v>
          </cell>
        </row>
        <row r="184">
          <cell r="D184">
            <v>159.9</v>
          </cell>
        </row>
        <row r="185">
          <cell r="D185">
            <v>941.2</v>
          </cell>
        </row>
        <row r="186">
          <cell r="D186">
            <v>585.65</v>
          </cell>
        </row>
        <row r="187">
          <cell r="D187">
            <v>438.55</v>
          </cell>
        </row>
        <row r="188">
          <cell r="D188">
            <v>125.15</v>
          </cell>
        </row>
        <row r="191">
          <cell r="D191">
            <v>147.4</v>
          </cell>
        </row>
        <row r="194">
          <cell r="D194">
            <v>602</v>
          </cell>
        </row>
        <row r="195">
          <cell r="D195">
            <v>1611.7</v>
          </cell>
        </row>
        <row r="196">
          <cell r="D196">
            <v>221.95</v>
          </cell>
        </row>
        <row r="197">
          <cell r="D197">
            <v>2524.25</v>
          </cell>
        </row>
        <row r="200">
          <cell r="D200">
            <v>2100.85</v>
          </cell>
        </row>
        <row r="201">
          <cell r="D201">
            <v>337.35</v>
          </cell>
        </row>
        <row r="202">
          <cell r="D202">
            <v>134.80000000000001</v>
          </cell>
        </row>
        <row r="203">
          <cell r="D203">
            <v>907.35</v>
          </cell>
        </row>
        <row r="206">
          <cell r="D206">
            <v>1205.5</v>
          </cell>
        </row>
        <row r="207">
          <cell r="D207">
            <v>855.2</v>
          </cell>
        </row>
        <row r="208">
          <cell r="D208">
            <v>193.45</v>
          </cell>
        </row>
        <row r="209">
          <cell r="D209">
            <v>487.15</v>
          </cell>
        </row>
        <row r="210">
          <cell r="D210">
            <v>654.6</v>
          </cell>
        </row>
        <row r="211">
          <cell r="D211">
            <v>347.15</v>
          </cell>
        </row>
      </sheetData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cremental analysis"/>
      <sheetName val="Raw Materials "/>
      <sheetName val="Invsetments"/>
      <sheetName val="Financials"/>
      <sheetName val="Productwise break up"/>
      <sheetName val="Monthly (1)"/>
      <sheetName val="Forecast"/>
      <sheetName val="InQuart"/>
      <sheetName val="InqUpdate"/>
      <sheetName val="Header"/>
      <sheetName val="Monthly"/>
      <sheetName val="Chart"/>
      <sheetName val="fins"/>
      <sheetName val="Sheet1"/>
      <sheetName val="RM"/>
      <sheetName val="Dubai"/>
      <sheetName val="bajaj_copeland"/>
      <sheetName val="segment wise"/>
      <sheetName val="BA-HH-TVS"/>
      <sheetName val="graphs"/>
      <sheetName val="Sheet2"/>
      <sheetName val="quarterly"/>
      <sheetName val="Q1FY04"/>
      <sheetName val="Q4FY03"/>
      <sheetName val="Q3FY02"/>
      <sheetName val="share price info"/>
      <sheetName val="WACC"/>
      <sheetName val="formatted"/>
      <sheetName val="Chart3"/>
      <sheetName val="Chart4"/>
      <sheetName val="Chart5"/>
      <sheetName val="Chart6"/>
      <sheetName val="Chart7"/>
      <sheetName val="Chart8"/>
      <sheetName val="Chart9"/>
      <sheetName val="Chart10"/>
      <sheetName val="earnmodel"/>
      <sheetName val="cap_add_Asia"/>
    </sheetNames>
    <sheetDataSet>
      <sheetData sheetId="0" refreshError="1"/>
      <sheetData sheetId="1" refreshError="1"/>
      <sheetData sheetId="2" refreshError="1"/>
      <sheetData sheetId="3" refreshError="1">
        <row r="20">
          <cell r="C20">
            <v>1991</v>
          </cell>
          <cell r="D20" t="str">
            <v>1992</v>
          </cell>
          <cell r="E20" t="str">
            <v>1993</v>
          </cell>
          <cell r="F20" t="str">
            <v>1994</v>
          </cell>
          <cell r="G20" t="str">
            <v>1995</v>
          </cell>
        </row>
        <row r="21">
          <cell r="D21">
            <v>808962</v>
          </cell>
          <cell r="E21">
            <v>768142</v>
          </cell>
          <cell r="F21">
            <v>913622</v>
          </cell>
          <cell r="G21">
            <v>1135637</v>
          </cell>
        </row>
        <row r="22">
          <cell r="D22">
            <v>-5.9841734528207846E-2</v>
          </cell>
          <cell r="E22">
            <v>-5.0459724931455341E-2</v>
          </cell>
          <cell r="F22">
            <v>0.18939206552955046</v>
          </cell>
          <cell r="G22">
            <v>0.24300531291934746</v>
          </cell>
        </row>
        <row r="23">
          <cell r="D23">
            <v>589241</v>
          </cell>
          <cell r="E23">
            <v>538421</v>
          </cell>
          <cell r="F23">
            <v>623890</v>
          </cell>
          <cell r="G23">
            <v>741104</v>
          </cell>
        </row>
        <row r="24">
          <cell r="E24">
            <v>-8.6246544283238968E-2</v>
          </cell>
          <cell r="F24">
            <v>0.15874009371848419</v>
          </cell>
          <cell r="G24">
            <v>0.18787606789658429</v>
          </cell>
        </row>
        <row r="31">
          <cell r="D31">
            <v>808286</v>
          </cell>
          <cell r="E31">
            <v>773313</v>
          </cell>
          <cell r="F31">
            <v>920762</v>
          </cell>
          <cell r="G31">
            <v>1132104</v>
          </cell>
        </row>
        <row r="32">
          <cell r="E32">
            <v>-4.3268100647543051E-2</v>
          </cell>
          <cell r="F32">
            <v>0.19067182369881275</v>
          </cell>
          <cell r="G32">
            <v>0.22952945495144239</v>
          </cell>
        </row>
        <row r="39">
          <cell r="D39">
            <v>30108</v>
          </cell>
          <cell r="E39">
            <v>34672</v>
          </cell>
          <cell r="F39">
            <v>42080</v>
          </cell>
          <cell r="G39">
            <v>75087</v>
          </cell>
        </row>
        <row r="40">
          <cell r="D40">
            <v>-0.37218758471130386</v>
          </cell>
          <cell r="E40">
            <v>0.15158761790886133</v>
          </cell>
          <cell r="F40">
            <v>0.21365943700969092</v>
          </cell>
          <cell r="G40">
            <v>0.78438688212927765</v>
          </cell>
        </row>
        <row r="47">
          <cell r="D47">
            <v>85433</v>
          </cell>
          <cell r="E47">
            <v>75221</v>
          </cell>
          <cell r="F47">
            <v>92023</v>
          </cell>
          <cell r="G47">
            <v>123968</v>
          </cell>
        </row>
        <row r="48">
          <cell r="D48">
            <v>0.14380388796658283</v>
          </cell>
          <cell r="E48">
            <v>-0.11953226504980508</v>
          </cell>
          <cell r="F48">
            <v>0.22336847422927097</v>
          </cell>
          <cell r="G48">
            <v>0.34714147550069008</v>
          </cell>
        </row>
        <row r="55">
          <cell r="D55">
            <v>34574</v>
          </cell>
          <cell r="E55">
            <v>61115</v>
          </cell>
          <cell r="F55">
            <v>68286</v>
          </cell>
          <cell r="G55">
            <v>73882</v>
          </cell>
        </row>
        <row r="56">
          <cell r="D56">
            <v>14.91804788213628</v>
          </cell>
          <cell r="E56">
            <v>0.76765777752068032</v>
          </cell>
          <cell r="F56">
            <v>0.1173361695164854</v>
          </cell>
          <cell r="G56">
            <v>8.1949447910259821E-2</v>
          </cell>
        </row>
        <row r="61">
          <cell r="D61">
            <v>69606</v>
          </cell>
          <cell r="E61">
            <v>58713</v>
          </cell>
          <cell r="F61">
            <v>87343</v>
          </cell>
          <cell r="G61">
            <v>121596</v>
          </cell>
        </row>
        <row r="62">
          <cell r="D62">
            <v>-0.12295247215362126</v>
          </cell>
          <cell r="E62">
            <v>-0.15649512973019564</v>
          </cell>
          <cell r="F62">
            <v>0.48762624972322999</v>
          </cell>
          <cell r="G62">
            <v>0.39216651591999363</v>
          </cell>
        </row>
        <row r="69">
          <cell r="D69">
            <v>531.17700000000002</v>
          </cell>
          <cell r="E69">
            <v>557.05799999999999</v>
          </cell>
          <cell r="F69">
            <v>688.58699999999999</v>
          </cell>
          <cell r="G69">
            <v>1062.5999999999999</v>
          </cell>
        </row>
        <row r="70">
          <cell r="E70">
            <v>4.872387170378234E-2</v>
          </cell>
          <cell r="F70">
            <v>0.23611365423349095</v>
          </cell>
          <cell r="G70">
            <v>0.54316012355737175</v>
          </cell>
        </row>
        <row r="74">
          <cell r="D74">
            <v>388.57301999999999</v>
          </cell>
          <cell r="E74">
            <v>388.27496600000001</v>
          </cell>
          <cell r="F74">
            <v>447.916766</v>
          </cell>
          <cell r="G74">
            <v>559.78139699999997</v>
          </cell>
        </row>
        <row r="75">
          <cell r="E75">
            <v>-7.6704759378298792E-4</v>
          </cell>
          <cell r="F75">
            <v>0.15360712181480163</v>
          </cell>
          <cell r="G75">
            <v>0.24974423707997562</v>
          </cell>
        </row>
        <row r="81">
          <cell r="D81" t="str">
            <v>1992</v>
          </cell>
          <cell r="E81" t="str">
            <v>1993</v>
          </cell>
          <cell r="F81" t="str">
            <v>1994</v>
          </cell>
          <cell r="G81" t="str">
            <v>1995</v>
          </cell>
        </row>
        <row r="84">
          <cell r="D84">
            <v>12121.301301</v>
          </cell>
          <cell r="E84">
            <v>12410.06366</v>
          </cell>
          <cell r="F84">
            <v>15979.746736999999</v>
          </cell>
          <cell r="G84">
            <v>21440.273613000001</v>
          </cell>
        </row>
        <row r="85">
          <cell r="D85">
            <v>2327.7985920000001</v>
          </cell>
          <cell r="E85">
            <v>2344.2822580000002</v>
          </cell>
          <cell r="F85">
            <v>2713.5462560000001</v>
          </cell>
          <cell r="G85">
            <v>3571.271659</v>
          </cell>
        </row>
        <row r="88">
          <cell r="D88">
            <v>9793.5027090000003</v>
          </cell>
          <cell r="E88">
            <v>10065.781402000001</v>
          </cell>
          <cell r="F88">
            <v>13266.200481</v>
          </cell>
          <cell r="G88">
            <v>17869.001953999999</v>
          </cell>
        </row>
        <row r="89">
          <cell r="D89">
            <v>388.57301999999999</v>
          </cell>
          <cell r="E89">
            <v>388.27496600000001</v>
          </cell>
          <cell r="F89">
            <v>447.916766</v>
          </cell>
          <cell r="G89">
            <v>559.78139699999997</v>
          </cell>
        </row>
        <row r="90">
          <cell r="D90">
            <v>-2.7773782849891626E-2</v>
          </cell>
          <cell r="E90">
            <v>-7.6704759378298792E-4</v>
          </cell>
          <cell r="F90">
            <v>0.15360712181480163</v>
          </cell>
          <cell r="G90">
            <v>0.24974423707997562</v>
          </cell>
        </row>
        <row r="91">
          <cell r="D91">
            <v>10182.075729</v>
          </cell>
          <cell r="E91">
            <v>10454.056368000001</v>
          </cell>
          <cell r="F91">
            <v>13714.117247</v>
          </cell>
          <cell r="G91">
            <v>18428.783350999998</v>
          </cell>
        </row>
        <row r="94">
          <cell r="E94">
            <v>79</v>
          </cell>
          <cell r="F94">
            <v>52.78</v>
          </cell>
          <cell r="G94">
            <v>-14.03</v>
          </cell>
        </row>
        <row r="96">
          <cell r="E96">
            <v>10533.056368000001</v>
          </cell>
          <cell r="F96">
            <v>13766.897247000001</v>
          </cell>
          <cell r="G96">
            <v>18414.753350999999</v>
          </cell>
        </row>
        <row r="99">
          <cell r="D99">
            <v>6146.9487280000003</v>
          </cell>
          <cell r="E99">
            <v>6512.0013150000004</v>
          </cell>
          <cell r="F99">
            <v>7753.7512130000005</v>
          </cell>
          <cell r="G99">
            <v>10417.157952000001</v>
          </cell>
        </row>
        <row r="100">
          <cell r="D100">
            <v>118.67894699999999</v>
          </cell>
          <cell r="E100">
            <v>-77</v>
          </cell>
          <cell r="F100">
            <v>81.61</v>
          </cell>
          <cell r="G100">
            <v>6.7496869999999998</v>
          </cell>
        </row>
        <row r="101">
          <cell r="D101">
            <v>6265.6276750000006</v>
          </cell>
          <cell r="E101">
            <v>6435.0013150000004</v>
          </cell>
          <cell r="F101">
            <v>7835.3612130000001</v>
          </cell>
          <cell r="G101">
            <v>10423.907639000001</v>
          </cell>
        </row>
        <row r="103">
          <cell r="D103">
            <v>872.15034300000002</v>
          </cell>
          <cell r="E103">
            <v>996.01015900000004</v>
          </cell>
          <cell r="F103">
            <v>1049.18174</v>
          </cell>
          <cell r="G103">
            <v>1279.200094</v>
          </cell>
        </row>
        <row r="105">
          <cell r="D105">
            <v>888.56516799999997</v>
          </cell>
          <cell r="E105">
            <v>1060.637434</v>
          </cell>
          <cell r="F105">
            <v>1172.000581</v>
          </cell>
          <cell r="G105">
            <v>1502.5856040000001</v>
          </cell>
        </row>
        <row r="106">
          <cell r="D106">
            <v>11.279229000000001</v>
          </cell>
          <cell r="E106">
            <v>10.303694</v>
          </cell>
          <cell r="F106">
            <v>9.6539000000000001</v>
          </cell>
          <cell r="G106">
            <v>13.364953999999999</v>
          </cell>
        </row>
        <row r="107">
          <cell r="D107">
            <v>450.19233300000002</v>
          </cell>
          <cell r="E107">
            <v>471.63548700000001</v>
          </cell>
          <cell r="F107">
            <v>707.15147999999999</v>
          </cell>
          <cell r="G107">
            <v>960.23516600000005</v>
          </cell>
        </row>
        <row r="109">
          <cell r="D109">
            <v>48.892175000000002</v>
          </cell>
          <cell r="E109">
            <v>49.063445000000002</v>
          </cell>
          <cell r="F109">
            <v>73.662903999999997</v>
          </cell>
          <cell r="G109">
            <v>76.715789000000001</v>
          </cell>
        </row>
        <row r="110">
          <cell r="E110">
            <v>8.167160488276802E-2</v>
          </cell>
          <cell r="F110">
            <v>0.23234830252962449</v>
          </cell>
          <cell r="G110">
            <v>5.7947931751721034E-2</v>
          </cell>
        </row>
        <row r="111">
          <cell r="D111">
            <v>8438.9225729999998</v>
          </cell>
          <cell r="E111">
            <v>8924.524644000001</v>
          </cell>
          <cell r="F111">
            <v>10699.686009999999</v>
          </cell>
          <cell r="G111">
            <v>14102.577668000002</v>
          </cell>
        </row>
        <row r="113">
          <cell r="D113">
            <v>1743.1531560000003</v>
          </cell>
          <cell r="E113">
            <v>1608.5317240000004</v>
          </cell>
          <cell r="F113">
            <v>3067.2112370000013</v>
          </cell>
          <cell r="G113">
            <v>4312.1756829999977</v>
          </cell>
        </row>
        <row r="115">
          <cell r="D115">
            <v>215.864867</v>
          </cell>
          <cell r="E115">
            <v>256.19737800000001</v>
          </cell>
          <cell r="F115">
            <v>331.79179899999997</v>
          </cell>
          <cell r="G115">
            <v>704.74375300000008</v>
          </cell>
        </row>
        <row r="116">
          <cell r="D116" t="str">
            <v>NOI/(Inv+Loans)</v>
          </cell>
          <cell r="E116">
            <v>0</v>
          </cell>
          <cell r="F116" t="e">
            <v>#REF!</v>
          </cell>
          <cell r="G116" t="e">
            <v>#REF!</v>
          </cell>
        </row>
        <row r="117">
          <cell r="D117">
            <v>62.38</v>
          </cell>
          <cell r="E117">
            <v>192.87</v>
          </cell>
          <cell r="F117">
            <v>49.030833000000086</v>
          </cell>
          <cell r="G117">
            <v>166.37473499999999</v>
          </cell>
        </row>
        <row r="118">
          <cell r="D118">
            <v>20.712864</v>
          </cell>
          <cell r="E118">
            <v>2.4747669999999999</v>
          </cell>
          <cell r="F118">
            <v>2.1963550000000001</v>
          </cell>
          <cell r="G118">
            <v>9.2413659999999993</v>
          </cell>
        </row>
        <row r="120">
          <cell r="D120">
            <v>330.551939</v>
          </cell>
          <cell r="E120">
            <v>262.74609600000002</v>
          </cell>
          <cell r="F120">
            <v>151.546695</v>
          </cell>
          <cell r="G120">
            <v>114.61515</v>
          </cell>
        </row>
        <row r="121">
          <cell r="D121">
            <v>0.15361664545722983</v>
          </cell>
          <cell r="E121">
            <v>0.14021214253883313</v>
          </cell>
          <cell r="F121">
            <v>8.21981825030631E-2</v>
          </cell>
          <cell r="G121">
            <v>5.6601868003895543E-2</v>
          </cell>
        </row>
        <row r="122">
          <cell r="D122">
            <v>1670.1332200000002</v>
          </cell>
          <cell r="E122">
            <v>1792.3782390000003</v>
          </cell>
          <cell r="F122">
            <v>3294.2908190000016</v>
          </cell>
          <cell r="G122">
            <v>5059.4376549999979</v>
          </cell>
        </row>
        <row r="124">
          <cell r="D124">
            <v>832.72556299999997</v>
          </cell>
          <cell r="E124">
            <v>811.86362899999995</v>
          </cell>
          <cell r="F124">
            <v>664.61281199999996</v>
          </cell>
          <cell r="G124">
            <v>586.63266299999998</v>
          </cell>
        </row>
        <row r="125">
          <cell r="D125">
            <v>0.13026786330190546</v>
          </cell>
          <cell r="E125">
            <v>0.11298135181897004</v>
          </cell>
          <cell r="F125">
            <v>8.6484437665473965E-2</v>
          </cell>
          <cell r="G125">
            <v>6.8917663019596453E-2</v>
          </cell>
        </row>
        <row r="126">
          <cell r="D126">
            <v>837.4076570000002</v>
          </cell>
          <cell r="E126">
            <v>980.5146100000004</v>
          </cell>
          <cell r="F126">
            <v>2629.6780070000018</v>
          </cell>
          <cell r="G126">
            <v>4472.8049919999976</v>
          </cell>
        </row>
        <row r="127">
          <cell r="D127">
            <v>390</v>
          </cell>
          <cell r="E127">
            <v>460</v>
          </cell>
          <cell r="F127">
            <v>1172.5</v>
          </cell>
          <cell r="G127">
            <v>1435</v>
          </cell>
        </row>
        <row r="128">
          <cell r="D128">
            <v>0.46572299254722471</v>
          </cell>
          <cell r="E128">
            <v>0.46914140320662823</v>
          </cell>
          <cell r="F128">
            <v>0.44587207896894399</v>
          </cell>
          <cell r="G128">
            <v>0.32082775854673362</v>
          </cell>
        </row>
        <row r="129">
          <cell r="D129">
            <v>447.4076570000002</v>
          </cell>
          <cell r="E129">
            <v>520.5146100000004</v>
          </cell>
          <cell r="F129">
            <v>1457.1780070000018</v>
          </cell>
          <cell r="G129">
            <v>3037.8049919999976</v>
          </cell>
        </row>
        <row r="130">
          <cell r="D130">
            <v>-0.20586344295199843</v>
          </cell>
          <cell r="E130">
            <v>0.16340121107940764</v>
          </cell>
          <cell r="F130">
            <v>1.7994949209975117</v>
          </cell>
          <cell r="G130">
            <v>1.0847178432607198</v>
          </cell>
        </row>
        <row r="136">
          <cell r="G136" t="str">
            <v>EPS</v>
          </cell>
        </row>
        <row r="137">
          <cell r="G137" t="str">
            <v>RoE</v>
          </cell>
        </row>
        <row r="138">
          <cell r="D138" t="str">
            <v>BALANCE SHEET</v>
          </cell>
          <cell r="E138">
            <v>0</v>
          </cell>
          <cell r="F138">
            <v>0</v>
          </cell>
          <cell r="G138" t="str">
            <v>BV</v>
          </cell>
        </row>
        <row r="141">
          <cell r="D141">
            <v>1992</v>
          </cell>
          <cell r="E141">
            <v>1993</v>
          </cell>
          <cell r="F141">
            <v>1994</v>
          </cell>
          <cell r="G141" t="str">
            <v>1995</v>
          </cell>
        </row>
        <row r="142">
          <cell r="E142">
            <v>0.79599991908056267</v>
          </cell>
          <cell r="F142">
            <v>0.61841892136129983</v>
          </cell>
          <cell r="G142">
            <v>0.48442772936101142</v>
          </cell>
        </row>
        <row r="143">
          <cell r="D143" t="str">
            <v>Ret on Op asets</v>
          </cell>
          <cell r="E143" t="e">
            <v>#REF!</v>
          </cell>
          <cell r="F143" t="e">
            <v>#REF!</v>
          </cell>
          <cell r="G143" t="e">
            <v>#REF!</v>
          </cell>
        </row>
        <row r="146">
          <cell r="D146">
            <v>376.25599999999997</v>
          </cell>
          <cell r="E146">
            <v>376.25599999999997</v>
          </cell>
          <cell r="F146">
            <v>376.25599999999997</v>
          </cell>
          <cell r="G146">
            <v>796</v>
          </cell>
        </row>
        <row r="147">
          <cell r="D147">
            <v>4293.3365280000016</v>
          </cell>
          <cell r="E147">
            <v>1156.1780070000018</v>
          </cell>
          <cell r="F147">
            <v>1181.5116860000003</v>
          </cell>
        </row>
        <row r="148">
          <cell r="D148">
            <v>2799.656896</v>
          </cell>
          <cell r="E148">
            <v>3137.1585209999998</v>
          </cell>
          <cell r="F148">
            <v>4318.6702070000001</v>
          </cell>
          <cell r="G148">
            <v>6460.9900969999999</v>
          </cell>
        </row>
        <row r="150">
          <cell r="D150">
            <v>233.755</v>
          </cell>
          <cell r="E150">
            <v>223.22499999999999</v>
          </cell>
          <cell r="F150">
            <v>202.42500000000001</v>
          </cell>
          <cell r="G150">
            <v>163.5</v>
          </cell>
        </row>
        <row r="151">
          <cell r="D151">
            <v>0</v>
          </cell>
          <cell r="E151">
            <v>0</v>
          </cell>
          <cell r="F151">
            <v>0</v>
          </cell>
          <cell r="G151">
            <v>3290.1033819999998</v>
          </cell>
        </row>
        <row r="153">
          <cell r="D153">
            <v>3033.4118960000001</v>
          </cell>
          <cell r="E153">
            <v>3360.3835209999997</v>
          </cell>
          <cell r="F153">
            <v>4521.0952070000003</v>
          </cell>
          <cell r="G153">
            <v>9914.5934789999992</v>
          </cell>
        </row>
        <row r="154">
          <cell r="D154">
            <v>3409.6678959999999</v>
          </cell>
          <cell r="E154">
            <v>3736.6395209999996</v>
          </cell>
          <cell r="F154">
            <v>4897.3512070000006</v>
          </cell>
          <cell r="G154">
            <v>10710.593478999999</v>
          </cell>
        </row>
        <row r="157">
          <cell r="D157">
            <v>549.53688899999997</v>
          </cell>
          <cell r="E157">
            <v>287.73159800000002</v>
          </cell>
          <cell r="F157">
            <v>129.33698899999999</v>
          </cell>
          <cell r="G157">
            <v>81.755629999999996</v>
          </cell>
        </row>
        <row r="158">
          <cell r="D158">
            <v>102.8366</v>
          </cell>
          <cell r="E158">
            <v>122.033006</v>
          </cell>
          <cell r="F158">
            <v>132.435936</v>
          </cell>
          <cell r="G158">
            <v>142.91200499999999</v>
          </cell>
        </row>
        <row r="159">
          <cell r="D159">
            <v>447.92335700000001</v>
          </cell>
          <cell r="E159">
            <v>210.31267199999999</v>
          </cell>
          <cell r="F159">
            <v>562.22399700000005</v>
          </cell>
          <cell r="G159">
            <v>223.42221900000001</v>
          </cell>
        </row>
        <row r="160">
          <cell r="D160">
            <v>1100.296846</v>
          </cell>
          <cell r="E160">
            <v>620.07727599999998</v>
          </cell>
          <cell r="F160">
            <v>823.99692200000004</v>
          </cell>
          <cell r="G160">
            <v>448.089854</v>
          </cell>
        </row>
        <row r="161">
          <cell r="D161">
            <v>9.265000000000001E-2</v>
          </cell>
          <cell r="E161">
            <v>0</v>
          </cell>
          <cell r="F161">
            <v>0</v>
          </cell>
          <cell r="G161">
            <v>0</v>
          </cell>
        </row>
        <row r="162">
          <cell r="D162">
            <v>1003.155781</v>
          </cell>
          <cell r="E162">
            <v>1024.2139930000001</v>
          </cell>
          <cell r="F162">
            <v>1219.0608569999999</v>
          </cell>
          <cell r="G162">
            <v>1558.724007</v>
          </cell>
        </row>
        <row r="164">
          <cell r="D164">
            <v>2103.5452770000002</v>
          </cell>
          <cell r="E164">
            <v>1644.2912690000001</v>
          </cell>
          <cell r="F164">
            <v>2043.057779</v>
          </cell>
          <cell r="G164">
            <v>2006.8138610000001</v>
          </cell>
        </row>
        <row r="165">
          <cell r="E165">
            <v>-459.25400800000011</v>
          </cell>
        </row>
        <row r="166">
          <cell r="D166">
            <v>5513.2131730000001</v>
          </cell>
          <cell r="E166">
            <v>5380.9307899999994</v>
          </cell>
          <cell r="F166">
            <v>6940.4089860000004</v>
          </cell>
          <cell r="G166">
            <v>12717.40734</v>
          </cell>
        </row>
        <row r="168">
          <cell r="D168">
            <v>6109.8457937000012</v>
          </cell>
        </row>
        <row r="169">
          <cell r="D169">
            <v>905.31237200000078</v>
          </cell>
          <cell r="E169">
            <v>600.74055200000055</v>
          </cell>
          <cell r="F169">
            <v>317.03654899999947</v>
          </cell>
          <cell r="G169">
            <v>1323.8744969999998</v>
          </cell>
        </row>
        <row r="170">
          <cell r="D170">
            <v>6884.1198260000001</v>
          </cell>
          <cell r="E170">
            <v>7487.5196690000002</v>
          </cell>
          <cell r="F170">
            <v>7882.0157049999998</v>
          </cell>
          <cell r="G170">
            <v>9142.1443519999993</v>
          </cell>
        </row>
        <row r="171">
          <cell r="D171">
            <v>3869.2786059999999</v>
          </cell>
          <cell r="E171">
            <v>4660.1338809999997</v>
          </cell>
          <cell r="F171">
            <v>5308.0323680000001</v>
          </cell>
          <cell r="G171">
            <v>5873.8063009999996</v>
          </cell>
        </row>
        <row r="173">
          <cell r="D173">
            <v>3014.8412200000002</v>
          </cell>
          <cell r="E173">
            <v>2827.3857880000005</v>
          </cell>
          <cell r="F173">
            <v>2573.9833369999997</v>
          </cell>
          <cell r="G173">
            <v>3268.3380509999997</v>
          </cell>
        </row>
        <row r="174">
          <cell r="D174">
            <v>3.4201730000000001</v>
          </cell>
          <cell r="E174">
            <v>1.9000969999999999</v>
          </cell>
          <cell r="F174">
            <v>0.38148799999999999</v>
          </cell>
          <cell r="G174">
            <v>0</v>
          </cell>
        </row>
        <row r="175">
          <cell r="D175">
            <v>94.051289999999995</v>
          </cell>
          <cell r="E175">
            <v>91.391998999999998</v>
          </cell>
          <cell r="F175">
            <v>13.932511999999999</v>
          </cell>
          <cell r="G175">
            <v>77.678362000000007</v>
          </cell>
        </row>
        <row r="177">
          <cell r="D177">
            <v>758.54260800000009</v>
          </cell>
          <cell r="E177">
            <v>670.96364199999994</v>
          </cell>
          <cell r="F177">
            <v>2317.6264799999999</v>
          </cell>
          <cell r="G177">
            <v>4402.3985190000003</v>
          </cell>
        </row>
        <row r="178">
          <cell r="D178">
            <v>664.03155100000004</v>
          </cell>
          <cell r="E178">
            <v>477.39493099999999</v>
          </cell>
          <cell r="F178">
            <v>1458.4044670000001</v>
          </cell>
          <cell r="G178">
            <v>2210.978204</v>
          </cell>
        </row>
        <row r="179">
          <cell r="D179">
            <v>0</v>
          </cell>
          <cell r="E179">
            <v>0</v>
          </cell>
          <cell r="F179">
            <v>31.837109999999999</v>
          </cell>
          <cell r="G179">
            <v>240.11561600000002</v>
          </cell>
        </row>
        <row r="180">
          <cell r="D180">
            <v>27.950099999999999</v>
          </cell>
          <cell r="E180">
            <v>39.950099999999999</v>
          </cell>
          <cell r="F180">
            <v>161.9686489999998</v>
          </cell>
          <cell r="G180">
            <v>726.91744700000027</v>
          </cell>
        </row>
        <row r="181">
          <cell r="D181">
            <v>66.560957000000002</v>
          </cell>
          <cell r="E181">
            <v>153.61861100000002</v>
          </cell>
          <cell r="F181">
            <v>665.41625400000009</v>
          </cell>
          <cell r="G181">
            <v>1224.387252</v>
          </cell>
        </row>
        <row r="183">
          <cell r="D183" t="e">
            <v>#REF!</v>
          </cell>
          <cell r="E183" t="e">
            <v>#REF!</v>
          </cell>
          <cell r="F183" t="e">
            <v>#REF!</v>
          </cell>
          <cell r="G183" t="e">
            <v>#REF!</v>
          </cell>
        </row>
        <row r="186">
          <cell r="D186">
            <v>2131.2525569999998</v>
          </cell>
          <cell r="E186">
            <v>1726.852781</v>
          </cell>
          <cell r="F186">
            <v>1613.280133</v>
          </cell>
          <cell r="G186">
            <v>2548.4411279999999</v>
          </cell>
        </row>
        <row r="188">
          <cell r="D188">
            <v>338.358428</v>
          </cell>
          <cell r="E188">
            <v>589.33249999999998</v>
          </cell>
          <cell r="F188">
            <v>721.41789300000005</v>
          </cell>
          <cell r="G188">
            <v>944.79577700000004</v>
          </cell>
        </row>
        <row r="189">
          <cell r="D189" t="e">
            <v>#REF!</v>
          </cell>
          <cell r="E189" t="e">
            <v>#REF!</v>
          </cell>
          <cell r="F189" t="e">
            <v>#REF!</v>
          </cell>
          <cell r="G189" t="e">
            <v>#REF!</v>
          </cell>
        </row>
        <row r="190">
          <cell r="D190" t="e">
            <v>#REF!</v>
          </cell>
          <cell r="E190" t="e">
            <v>#REF!</v>
          </cell>
          <cell r="F190" t="e">
            <v>#REF!</v>
          </cell>
          <cell r="G190" t="e">
            <v>#REF!</v>
          </cell>
        </row>
        <row r="191">
          <cell r="D191">
            <v>18.296713</v>
          </cell>
          <cell r="E191">
            <v>41.757530000000003</v>
          </cell>
          <cell r="F191">
            <v>32.451300000000003</v>
          </cell>
          <cell r="G191">
            <v>98.799239</v>
          </cell>
        </row>
        <row r="193">
          <cell r="D193" t="e">
            <v>#REF!</v>
          </cell>
          <cell r="E193" t="e">
            <v>#REF!</v>
          </cell>
          <cell r="F193" t="e">
            <v>#REF!</v>
          </cell>
          <cell r="G193" t="e">
            <v>#REF!</v>
          </cell>
        </row>
        <row r="196">
          <cell r="D196">
            <v>1135.8706830000001</v>
          </cell>
          <cell r="E196">
            <v>1149.3373300000001</v>
          </cell>
          <cell r="F196">
            <v>1386.2953889999999</v>
          </cell>
          <cell r="G196">
            <v>1896.958257</v>
          </cell>
        </row>
        <row r="197">
          <cell r="D197">
            <v>1298.1279999999999</v>
          </cell>
          <cell r="E197">
            <v>1758.1279999999999</v>
          </cell>
          <cell r="F197">
            <v>2323.5048000000002</v>
          </cell>
          <cell r="G197">
            <v>3628.6917090000002</v>
          </cell>
        </row>
        <row r="198">
          <cell r="D198">
            <v>508.41951999999992</v>
          </cell>
          <cell r="E198">
            <v>244.11416499999996</v>
          </cell>
          <cell r="F198">
            <v>296.44695400000001</v>
          </cell>
          <cell r="G198">
            <v>465.41172900000015</v>
          </cell>
        </row>
        <row r="200">
          <cell r="D200">
            <v>2942.4182029999997</v>
          </cell>
          <cell r="E200">
            <v>3151.579495</v>
          </cell>
          <cell r="F200">
            <v>4006.2471430000001</v>
          </cell>
          <cell r="G200">
            <v>5991.0616950000003</v>
          </cell>
        </row>
        <row r="202">
          <cell r="D202" t="e">
            <v>#REF!</v>
          </cell>
          <cell r="E202" t="e">
            <v>#REF!</v>
          </cell>
          <cell r="F202" t="e">
            <v>#REF!</v>
          </cell>
          <cell r="G202" t="e">
            <v>#REF!</v>
          </cell>
        </row>
        <row r="203">
          <cell r="E203" t="e">
            <v>#REF!</v>
          </cell>
          <cell r="F203" t="e">
            <v>#REF!</v>
          </cell>
          <cell r="G203" t="e">
            <v>#REF!</v>
          </cell>
        </row>
        <row r="207">
          <cell r="D207">
            <v>0</v>
          </cell>
          <cell r="E207">
            <v>0</v>
          </cell>
          <cell r="F207">
            <v>0</v>
          </cell>
          <cell r="G207">
            <v>0</v>
          </cell>
        </row>
        <row r="209">
          <cell r="D209" t="e">
            <v>#REF!</v>
          </cell>
          <cell r="E209" t="e">
            <v>#REF!</v>
          </cell>
          <cell r="F209" t="e">
            <v>#REF!</v>
          </cell>
          <cell r="G209" t="e">
            <v>#REF!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 Sums"/>
      <sheetName val="Interface"/>
      <sheetName val="Please complete"/>
      <sheetName val="Page One"/>
      <sheetName val="PageTwo"/>
      <sheetName val="peband"/>
      <sheetName val="PER rel"/>
      <sheetName val="relperf"/>
      <sheetName val="market"/>
      <sheetName val="P&amp;L"/>
      <sheetName val="BS"/>
      <sheetName val="Cashflow"/>
      <sheetName val="Rev Anal"/>
      <sheetName val="Int, Depr,Tax"/>
      <sheetName val="Invt"/>
      <sheetName val="Costs"/>
      <sheetName val="Tables"/>
      <sheetName val="Stats"/>
      <sheetName val="WANS"/>
      <sheetName val="Ratings &amp; Forecast"/>
      <sheetName val="Sep-96"/>
      <sheetName val="HY Results"/>
      <sheetName val="Scatter"/>
      <sheetName val="Charts"/>
      <sheetName val="Ratios"/>
      <sheetName val="Ponder"/>
      <sheetName val="Dynamics"/>
      <sheetName val="Valuations"/>
      <sheetName val="Sensitivity"/>
      <sheetName val="Tariffs"/>
      <sheetName val="Internet"/>
      <sheetName val="Check_Sum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ewoo"/>
      <sheetName val="Incremental analysis"/>
      <sheetName val="Financials"/>
      <sheetName val="Monthly"/>
      <sheetName val="InQPL"/>
      <sheetName val="Header"/>
      <sheetName val="InqUPDATE"/>
      <sheetName val="Monthly (1)"/>
      <sheetName val="InQuarts"/>
      <sheetName val="QTR"/>
      <sheetName val="Charts"/>
      <sheetName val="InQBS"/>
      <sheetName val="InQRatios"/>
      <sheetName val="Model"/>
      <sheetName val="Rel Val"/>
      <sheetName val="Schedules"/>
      <sheetName val="Car Financials"/>
      <sheetName val="Analysis-"/>
      <sheetName val="CV Financials"/>
      <sheetName val="Fundaes"/>
      <sheetName val="Ques"/>
      <sheetName val="Financial 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847">
          <cell r="C847">
            <v>3</v>
          </cell>
          <cell r="D847">
            <v>23</v>
          </cell>
        </row>
      </sheetData>
      <sheetData sheetId="19" refreshError="1"/>
      <sheetData sheetId="20" refreshError="1"/>
      <sheetData sheetId="2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ank"/>
      <sheetName val="Calculation (2)"/>
      <sheetName val="Macro1"/>
      <sheetName val="EVA1"/>
      <sheetName val="#REF"/>
      <sheetName val="bajaj_copeland"/>
      <sheetName val="InQuart"/>
      <sheetName val="Financials"/>
      <sheetName val="Mico"/>
      <sheetName val="Charts"/>
      <sheetName val="Sheet1"/>
      <sheetName val="Sheet2"/>
      <sheetName val="Sheet3"/>
      <sheetName val="P&amp;L"/>
      <sheetName val="DCF1"/>
      <sheetName val="Profile"/>
      <sheetName val="Input"/>
      <sheetName val="Debt"/>
      <sheetName val="QuanOP"/>
      <sheetName val="Tax"/>
      <sheetName val="CapEx"/>
      <sheetName val="Capital"/>
      <sheetName val="Formats"/>
      <sheetName val="VarName"/>
      <sheetName val="BS"/>
      <sheetName val="H2"/>
      <sheetName val="K-format"/>
      <sheetName val="Key Nos"/>
      <sheetName val="Ranbaxy"/>
      <sheetName val="NPL datasheet"/>
      <sheetName val="Consolidated P&amp;L 03-04"/>
      <sheetName val="Sheet10"/>
      <sheetName val="Sheet9"/>
      <sheetName val="Template"/>
      <sheetName val="DCFModel"/>
      <sheetName val="Chartdata"/>
      <sheetName val="Earnings model"/>
      <sheetName val="DCF"/>
      <sheetName val="Halfyea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blank"/>
      <sheetName val="P&amp;L"/>
      <sheetName val="DCF1"/>
      <sheetName val="#REF"/>
      <sheetName val="Profile"/>
      <sheetName val="Input"/>
      <sheetName val="Debt"/>
      <sheetName val="QuanOP"/>
      <sheetName val="Tax"/>
      <sheetName val="CapEx"/>
      <sheetName val="Capital"/>
      <sheetName val="Formats"/>
      <sheetName val="VarName"/>
      <sheetName val="BS"/>
      <sheetName val="H2"/>
      <sheetName val="K-format"/>
      <sheetName val="Key Nos"/>
      <sheetName val="Ranbaxy"/>
      <sheetName val="NPL datasheet"/>
      <sheetName val="Consolidated P&amp;L 03-04"/>
      <sheetName val="Sheet10"/>
      <sheetName val="Sheet9"/>
      <sheetName val="Calculation (2)"/>
      <sheetName val="Macro1"/>
      <sheetName val="EVA1"/>
      <sheetName val="bajaj_copeland"/>
      <sheetName val="InQuart"/>
      <sheetName val="Financials"/>
      <sheetName val="Mico"/>
      <sheetName val="Charts"/>
      <sheetName val="Template"/>
      <sheetName val="DCFModel"/>
      <sheetName val="Chartdata"/>
      <sheetName val="Earnings model"/>
      <sheetName val="DCF"/>
      <sheetName val="Halfyear"/>
      <sheetName val="Settings"/>
      <sheetName val="Lists"/>
      <sheetName val="ListMaster"/>
      <sheetName val="ABG"/>
      <sheetName val="Variables"/>
      <sheetName val="Corrupt SSCI"/>
      <sheetName val="Monthly Ship+Prod"/>
      <sheetName val="Perfor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file"/>
      <sheetName val="Capital"/>
      <sheetName val="Sales"/>
      <sheetName val="Input"/>
      <sheetName val="Debt"/>
      <sheetName val="Tax"/>
      <sheetName val="CapEx"/>
      <sheetName val="QuanOP"/>
      <sheetName val="Formats"/>
      <sheetName val="Projections"/>
      <sheetName val="Costs"/>
      <sheetName val="Revenues"/>
      <sheetName val="Calc"/>
      <sheetName val="VarName"/>
      <sheetName val="CoSheet"/>
      <sheetName val="Half Yearly"/>
    </sheetNames>
    <sheetDataSet>
      <sheetData sheetId="0" refreshError="1"/>
      <sheetData sheetId="1" refreshError="1"/>
      <sheetData sheetId="2" refreshError="1"/>
      <sheetData sheetId="3" refreshError="1">
        <row r="162">
          <cell r="L162">
            <v>0</v>
          </cell>
          <cell r="M162">
            <v>0</v>
          </cell>
          <cell r="N162">
            <v>659115.96751565917</v>
          </cell>
          <cell r="O162">
            <v>673420.58649872069</v>
          </cell>
          <cell r="P162">
            <v>723229.01682177139</v>
          </cell>
          <cell r="Q162">
            <v>0</v>
          </cell>
          <cell r="R162">
            <v>847979.80539207777</v>
          </cell>
          <cell r="S162">
            <v>0</v>
          </cell>
          <cell r="T162">
            <v>964689.38644783257</v>
          </cell>
          <cell r="U162">
            <v>0</v>
          </cell>
          <cell r="V162">
            <v>1049190.4149973544</v>
          </cell>
          <cell r="W162">
            <v>0</v>
          </cell>
          <cell r="X162">
            <v>0</v>
          </cell>
        </row>
        <row r="180">
          <cell r="L180">
            <v>0</v>
          </cell>
          <cell r="M180">
            <v>0</v>
          </cell>
          <cell r="N180">
            <v>11342.713258578682</v>
          </cell>
          <cell r="O180">
            <v>11220.712776884169</v>
          </cell>
          <cell r="P180">
            <v>11192.387929822427</v>
          </cell>
          <cell r="Q180">
            <v>0</v>
          </cell>
          <cell r="R180">
            <v>12139.090015196211</v>
          </cell>
          <cell r="S180">
            <v>0</v>
          </cell>
          <cell r="T180">
            <v>11559.128891338354</v>
          </cell>
          <cell r="U180">
            <v>0</v>
          </cell>
          <cell r="V180">
            <v>10555.316159728296</v>
          </cell>
          <cell r="W180">
            <v>0</v>
          </cell>
          <cell r="X180">
            <v>0</v>
          </cell>
        </row>
        <row r="198">
          <cell r="L198">
            <v>0</v>
          </cell>
          <cell r="M198">
            <v>0</v>
          </cell>
          <cell r="N198">
            <v>161435.2318548387</v>
          </cell>
          <cell r="O198">
            <v>276800.84745762713</v>
          </cell>
          <cell r="P198">
            <v>371383.50608382153</v>
          </cell>
          <cell r="Q198">
            <v>0</v>
          </cell>
          <cell r="R198">
            <v>513252.03252032521</v>
          </cell>
          <cell r="S198">
            <v>0</v>
          </cell>
          <cell r="T198">
            <v>511678.83211678831</v>
          </cell>
          <cell r="U198">
            <v>0</v>
          </cell>
          <cell r="V198">
            <v>482373.67802585196</v>
          </cell>
          <cell r="W198">
            <v>0</v>
          </cell>
          <cell r="X198">
            <v>0</v>
          </cell>
        </row>
        <row r="216">
          <cell r="L216">
            <v>0</v>
          </cell>
          <cell r="M216">
            <v>0</v>
          </cell>
          <cell r="N216">
            <v>50837.541569158762</v>
          </cell>
          <cell r="O216">
            <v>60158.501440922191</v>
          </cell>
          <cell r="P216">
            <v>65732.27402188578</v>
          </cell>
          <cell r="Q216">
            <v>0</v>
          </cell>
          <cell r="R216">
            <v>61737.671922173766</v>
          </cell>
          <cell r="S216">
            <v>0</v>
          </cell>
          <cell r="T216">
            <v>58249.536914527656</v>
          </cell>
          <cell r="U216">
            <v>0</v>
          </cell>
          <cell r="V216">
            <v>61308.468358300212</v>
          </cell>
          <cell r="W216">
            <v>0</v>
          </cell>
          <cell r="X216">
            <v>0</v>
          </cell>
        </row>
        <row r="234">
          <cell r="L234">
            <v>0</v>
          </cell>
          <cell r="M234">
            <v>0</v>
          </cell>
          <cell r="N234">
            <v>97580.475489164732</v>
          </cell>
          <cell r="O234">
            <v>113171.09884596086</v>
          </cell>
          <cell r="P234">
            <v>122933.88429752066</v>
          </cell>
          <cell r="Q234">
            <v>0</v>
          </cell>
          <cell r="R234">
            <v>92955.032119914351</v>
          </cell>
          <cell r="S234">
            <v>0</v>
          </cell>
          <cell r="T234">
            <v>102326.69322709163</v>
          </cell>
          <cell r="U234">
            <v>0</v>
          </cell>
          <cell r="V234">
            <v>90824.330324108334</v>
          </cell>
          <cell r="W234">
            <v>0</v>
          </cell>
          <cell r="X234">
            <v>0</v>
          </cell>
        </row>
        <row r="252">
          <cell r="L252">
            <v>0</v>
          </cell>
          <cell r="M252">
            <v>0</v>
          </cell>
          <cell r="N252">
            <v>50354.947949328984</v>
          </cell>
          <cell r="O252">
            <v>56104.608738799216</v>
          </cell>
          <cell r="P252">
            <v>75574.833656194707</v>
          </cell>
          <cell r="Q252">
            <v>0</v>
          </cell>
          <cell r="R252">
            <v>86447.103729303126</v>
          </cell>
          <cell r="S252">
            <v>0</v>
          </cell>
          <cell r="T252">
            <v>102748.19362652967</v>
          </cell>
          <cell r="U252">
            <v>0</v>
          </cell>
          <cell r="V252">
            <v>96183.965195773766</v>
          </cell>
          <cell r="W252">
            <v>0</v>
          </cell>
          <cell r="X252">
            <v>0</v>
          </cell>
        </row>
        <row r="270"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</row>
        <row r="288">
          <cell r="L288">
            <v>0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file"/>
      <sheetName val="Capital"/>
      <sheetName val="Sales"/>
      <sheetName val="Input"/>
      <sheetName val="Debt"/>
      <sheetName val="Tax"/>
      <sheetName val="CapEx"/>
      <sheetName val="QuanOP"/>
      <sheetName val="Formats"/>
      <sheetName val="Projections"/>
      <sheetName val="Costs"/>
      <sheetName val="Revenues"/>
      <sheetName val="Calc"/>
      <sheetName val="VarName"/>
      <sheetName val="CoSheet"/>
      <sheetName val="Half Yearly"/>
      <sheetName val="Black-Scholes"/>
      <sheetName val="CV Financials"/>
      <sheetName val="Charts"/>
      <sheetName val="EVA"/>
      <sheetName val="Financials"/>
      <sheetName val="Invested capital_VDF"/>
      <sheetName val="NOPAT_VDF"/>
      <sheetName val="PV of Op Leases_VDF"/>
      <sheetName val="Upload"/>
      <sheetName val="GEMiner"/>
      <sheetName val="UploadCheck"/>
      <sheetName val="Qtrly results"/>
      <sheetName val="Q results"/>
      <sheetName val="quaterlies"/>
      <sheetName val="Std "/>
      <sheetName val="Model"/>
      <sheetName val="Summary"/>
      <sheetName val="Balance Sheet and Cash Flow"/>
      <sheetName val="Qtr Seg sheet"/>
      <sheetName val="segmental forecast"/>
      <sheetName val="PL"/>
      <sheetName val="SoTP"/>
      <sheetName val="Cigt DCF"/>
      <sheetName val="DCF"/>
      <sheetName val="Sales &amp; costs"/>
      <sheetName val="Cigarette business"/>
      <sheetName val="brandwise"/>
      <sheetName val="agri"/>
      <sheetName val="other income"/>
      <sheetName val="RM"/>
      <sheetName val="Others"/>
      <sheetName val="BS Schedule"/>
      <sheetName val="WACC new"/>
      <sheetName val="deprec"/>
      <sheetName val="price rise"/>
      <sheetName val="interest"/>
      <sheetName val="Hotel Business"/>
      <sheetName val="Paper &amp; Pack"/>
      <sheetName val="Consol vs std"/>
      <sheetName val="Simple"/>
      <sheetName val="assumptions"/>
      <sheetName val="cost break-up"/>
      <sheetName val="sum o pt"/>
      <sheetName val="Qtrly"/>
      <sheetName val="Cash flow"/>
      <sheetName val="for links"/>
      <sheetName val="investmnt"/>
      <sheetName val="Navigator"/>
      <sheetName val="BS"/>
      <sheetName val="GEMiUploadCheck"/>
      <sheetName val="BS Analysis"/>
      <sheetName val="PL Analysis"/>
      <sheetName val="Cig tovr"/>
      <sheetName val="Trading business"/>
      <sheetName val="SOTP Table"/>
      <sheetName val="ITC"/>
      <sheetName val="Price hikes"/>
      <sheetName val="Q Charts"/>
      <sheetName val="Sheet1"/>
      <sheetName val="Sun"/>
      <sheetName val="Figures"/>
    </sheetNames>
    <sheetDataSet>
      <sheetData sheetId="0"/>
      <sheetData sheetId="1"/>
      <sheetData sheetId="2"/>
      <sheetData sheetId="3" refreshError="1">
        <row r="149">
          <cell r="N149">
            <v>83307</v>
          </cell>
          <cell r="O149">
            <v>73759</v>
          </cell>
          <cell r="P149">
            <v>78294</v>
          </cell>
          <cell r="R149">
            <v>81396</v>
          </cell>
          <cell r="T149">
            <v>78232</v>
          </cell>
          <cell r="V149">
            <v>72493</v>
          </cell>
        </row>
        <row r="152">
          <cell r="N152">
            <v>37653</v>
          </cell>
          <cell r="O152">
            <v>42251</v>
          </cell>
          <cell r="P152">
            <v>46094</v>
          </cell>
          <cell r="Q152">
            <v>0</v>
          </cell>
          <cell r="R152">
            <v>51445</v>
          </cell>
          <cell r="S152">
            <v>0</v>
          </cell>
          <cell r="T152">
            <v>52127</v>
          </cell>
          <cell r="U152">
            <v>0</v>
          </cell>
          <cell r="V152">
            <v>56365</v>
          </cell>
          <cell r="W152">
            <v>0</v>
          </cell>
        </row>
        <row r="153">
          <cell r="L153">
            <v>0</v>
          </cell>
          <cell r="M153">
            <v>0</v>
          </cell>
          <cell r="N153">
            <v>45.19788253087976</v>
          </cell>
          <cell r="O153">
            <v>57.282501118507575</v>
          </cell>
          <cell r="P153">
            <v>58.87296599994891</v>
          </cell>
          <cell r="Q153">
            <v>0</v>
          </cell>
          <cell r="R153">
            <v>63.203351516045018</v>
          </cell>
          <cell r="S153">
            <v>0</v>
          </cell>
          <cell r="T153">
            <v>66.63130176909705</v>
          </cell>
          <cell r="U153">
            <v>0</v>
          </cell>
          <cell r="V153">
            <v>77.752334708178722</v>
          </cell>
          <cell r="W153">
            <v>0</v>
          </cell>
          <cell r="X153">
            <v>0</v>
          </cell>
          <cell r="Y153" t="e">
            <v>#NAME?</v>
          </cell>
        </row>
        <row r="156">
          <cell r="N156">
            <v>50609</v>
          </cell>
          <cell r="O156">
            <v>60972</v>
          </cell>
          <cell r="P156">
            <v>68126</v>
          </cell>
          <cell r="Q156">
            <v>0</v>
          </cell>
          <cell r="R156">
            <v>68137</v>
          </cell>
          <cell r="S156">
            <v>0</v>
          </cell>
          <cell r="T156">
            <v>67753</v>
          </cell>
          <cell r="U156">
            <v>0</v>
          </cell>
          <cell r="V156">
            <v>66145</v>
          </cell>
          <cell r="W156">
            <v>0</v>
          </cell>
        </row>
        <row r="159">
          <cell r="N159">
            <v>33357.199999999997</v>
          </cell>
          <cell r="O159">
            <v>41059.800000000003</v>
          </cell>
          <cell r="P159">
            <v>49270.7</v>
          </cell>
          <cell r="Q159">
            <v>0</v>
          </cell>
          <cell r="R159">
            <v>57778.8</v>
          </cell>
          <cell r="S159">
            <v>0</v>
          </cell>
          <cell r="T159">
            <v>65360.6</v>
          </cell>
          <cell r="U159">
            <v>0</v>
          </cell>
          <cell r="V159">
            <v>69398.7</v>
          </cell>
          <cell r="W159">
            <v>0</v>
          </cell>
        </row>
        <row r="162">
          <cell r="L162">
            <v>0</v>
          </cell>
          <cell r="M162">
            <v>0</v>
          </cell>
          <cell r="N162">
            <v>659115.96751565917</v>
          </cell>
          <cell r="O162">
            <v>673420.58649872069</v>
          </cell>
          <cell r="P162">
            <v>723229.01682177139</v>
          </cell>
          <cell r="Q162">
            <v>0</v>
          </cell>
          <cell r="R162">
            <v>847979.80539207777</v>
          </cell>
          <cell r="S162">
            <v>0</v>
          </cell>
          <cell r="T162">
            <v>964689.38644783257</v>
          </cell>
          <cell r="U162">
            <v>0</v>
          </cell>
          <cell r="V162">
            <v>1049190.4149973544</v>
          </cell>
          <cell r="W162">
            <v>0</v>
          </cell>
          <cell r="X162">
            <v>0</v>
          </cell>
        </row>
        <row r="170">
          <cell r="Q170">
            <v>0</v>
          </cell>
          <cell r="S170">
            <v>0</v>
          </cell>
          <cell r="U170">
            <v>0</v>
          </cell>
          <cell r="W170">
            <v>0</v>
          </cell>
        </row>
        <row r="171"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 t="e">
            <v>#NAME?</v>
          </cell>
        </row>
        <row r="174">
          <cell r="N174">
            <v>435469</v>
          </cell>
          <cell r="O174">
            <v>361207</v>
          </cell>
          <cell r="P174">
            <v>263161</v>
          </cell>
          <cell r="Q174">
            <v>0</v>
          </cell>
          <cell r="R174">
            <v>279675</v>
          </cell>
          <cell r="S174">
            <v>0</v>
          </cell>
          <cell r="T174">
            <v>370149</v>
          </cell>
          <cell r="U174">
            <v>0</v>
          </cell>
          <cell r="V174">
            <v>392191</v>
          </cell>
          <cell r="W174">
            <v>0</v>
          </cell>
        </row>
        <row r="177">
          <cell r="N177">
            <v>4939.3999999999996</v>
          </cell>
          <cell r="O177">
            <v>4053</v>
          </cell>
          <cell r="P177">
            <v>2945.4</v>
          </cell>
          <cell r="Q177">
            <v>0</v>
          </cell>
          <cell r="R177">
            <v>3395</v>
          </cell>
          <cell r="S177">
            <v>0</v>
          </cell>
          <cell r="T177">
            <v>4278.6000000000004</v>
          </cell>
          <cell r="U177">
            <v>0</v>
          </cell>
          <cell r="V177">
            <v>4139.7</v>
          </cell>
          <cell r="W177">
            <v>0</v>
          </cell>
        </row>
        <row r="180">
          <cell r="L180">
            <v>0</v>
          </cell>
          <cell r="M180">
            <v>0</v>
          </cell>
          <cell r="N180">
            <v>11342.713258578682</v>
          </cell>
          <cell r="O180">
            <v>11220.712776884169</v>
          </cell>
          <cell r="P180">
            <v>11192.387929822427</v>
          </cell>
          <cell r="Q180">
            <v>0</v>
          </cell>
          <cell r="R180">
            <v>12139.090015196211</v>
          </cell>
          <cell r="S180">
            <v>0</v>
          </cell>
          <cell r="T180">
            <v>11559.128891338354</v>
          </cell>
          <cell r="U180">
            <v>0</v>
          </cell>
          <cell r="V180">
            <v>10555.316159728296</v>
          </cell>
          <cell r="W180">
            <v>0</v>
          </cell>
          <cell r="X180">
            <v>0</v>
          </cell>
        </row>
        <row r="188">
          <cell r="Q188">
            <v>0</v>
          </cell>
          <cell r="S188">
            <v>0</v>
          </cell>
          <cell r="U188">
            <v>0</v>
          </cell>
          <cell r="W188">
            <v>0</v>
          </cell>
        </row>
        <row r="189"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 t="e">
            <v>#NAME?</v>
          </cell>
        </row>
        <row r="192">
          <cell r="N192">
            <v>15872</v>
          </cell>
          <cell r="O192">
            <v>3776</v>
          </cell>
          <cell r="P192">
            <v>2219</v>
          </cell>
          <cell r="Q192">
            <v>0</v>
          </cell>
          <cell r="R192">
            <v>1230</v>
          </cell>
          <cell r="S192">
            <v>0</v>
          </cell>
          <cell r="T192">
            <v>1370</v>
          </cell>
          <cell r="U192">
            <v>0</v>
          </cell>
          <cell r="V192">
            <v>1702</v>
          </cell>
          <cell r="W192">
            <v>0</v>
          </cell>
        </row>
        <row r="195">
          <cell r="N195">
            <v>2562.3000000000002</v>
          </cell>
          <cell r="O195">
            <v>1045.2</v>
          </cell>
          <cell r="P195">
            <v>824.1</v>
          </cell>
          <cell r="Q195">
            <v>0</v>
          </cell>
          <cell r="R195">
            <v>631.29999999999995</v>
          </cell>
          <cell r="S195">
            <v>0</v>
          </cell>
          <cell r="T195">
            <v>701</v>
          </cell>
          <cell r="U195">
            <v>0</v>
          </cell>
          <cell r="V195">
            <v>821</v>
          </cell>
          <cell r="W195">
            <v>0</v>
          </cell>
        </row>
        <row r="198">
          <cell r="L198">
            <v>0</v>
          </cell>
          <cell r="M198">
            <v>0</v>
          </cell>
          <cell r="N198">
            <v>161435.2318548387</v>
          </cell>
          <cell r="O198">
            <v>276800.84745762713</v>
          </cell>
          <cell r="P198">
            <v>371383.50608382153</v>
          </cell>
          <cell r="Q198">
            <v>0</v>
          </cell>
          <cell r="R198">
            <v>513252.03252032521</v>
          </cell>
          <cell r="S198">
            <v>0</v>
          </cell>
          <cell r="T198">
            <v>511678.83211678831</v>
          </cell>
          <cell r="U198">
            <v>0</v>
          </cell>
          <cell r="V198">
            <v>482373.67802585196</v>
          </cell>
          <cell r="W198">
            <v>0</v>
          </cell>
          <cell r="X198">
            <v>0</v>
          </cell>
        </row>
        <row r="203">
          <cell r="N203">
            <v>33000</v>
          </cell>
          <cell r="O203">
            <v>33000</v>
          </cell>
          <cell r="P203">
            <v>33000</v>
          </cell>
          <cell r="R203">
            <v>33000</v>
          </cell>
          <cell r="T203">
            <v>33000</v>
          </cell>
          <cell r="V203">
            <v>33000</v>
          </cell>
        </row>
        <row r="206">
          <cell r="N206">
            <v>18680</v>
          </cell>
          <cell r="O206">
            <v>22575</v>
          </cell>
          <cell r="P206">
            <v>16159</v>
          </cell>
          <cell r="Q206">
            <v>0</v>
          </cell>
          <cell r="R206">
            <v>17701</v>
          </cell>
          <cell r="S206">
            <v>0</v>
          </cell>
          <cell r="T206">
            <v>17347</v>
          </cell>
          <cell r="U206">
            <v>0</v>
          </cell>
          <cell r="V206">
            <v>18841</v>
          </cell>
          <cell r="W206">
            <v>0</v>
          </cell>
        </row>
        <row r="207">
          <cell r="L207">
            <v>0</v>
          </cell>
          <cell r="M207">
            <v>0</v>
          </cell>
          <cell r="N207">
            <v>56.606060606060609</v>
          </cell>
          <cell r="O207">
            <v>68.409090909090907</v>
          </cell>
          <cell r="P207">
            <v>48.966666666666669</v>
          </cell>
          <cell r="Q207">
            <v>0</v>
          </cell>
          <cell r="R207">
            <v>53.639393939393941</v>
          </cell>
          <cell r="S207">
            <v>0</v>
          </cell>
          <cell r="T207">
            <v>52.56666666666667</v>
          </cell>
          <cell r="U207">
            <v>0</v>
          </cell>
          <cell r="V207">
            <v>57.093939393939394</v>
          </cell>
          <cell r="W207">
            <v>0</v>
          </cell>
          <cell r="X207">
            <v>0</v>
          </cell>
          <cell r="Y207" t="e">
            <v>#NAME?</v>
          </cell>
        </row>
        <row r="210">
          <cell r="N210">
            <v>16238</v>
          </cell>
          <cell r="O210">
            <v>19432</v>
          </cell>
          <cell r="P210">
            <v>13342</v>
          </cell>
          <cell r="Q210">
            <v>0</v>
          </cell>
          <cell r="R210">
            <v>14905</v>
          </cell>
          <cell r="S210">
            <v>0</v>
          </cell>
          <cell r="T210">
            <v>15116</v>
          </cell>
          <cell r="U210">
            <v>0</v>
          </cell>
          <cell r="V210">
            <v>16355</v>
          </cell>
          <cell r="W210">
            <v>0</v>
          </cell>
        </row>
        <row r="213">
          <cell r="N213">
            <v>825.5</v>
          </cell>
          <cell r="O213">
            <v>1169</v>
          </cell>
          <cell r="P213">
            <v>877</v>
          </cell>
          <cell r="Q213">
            <v>0</v>
          </cell>
          <cell r="R213">
            <v>920.2</v>
          </cell>
          <cell r="S213">
            <v>0</v>
          </cell>
          <cell r="T213">
            <v>880.5</v>
          </cell>
          <cell r="U213">
            <v>0</v>
          </cell>
          <cell r="V213">
            <v>1002.7</v>
          </cell>
          <cell r="W213">
            <v>0</v>
          </cell>
        </row>
        <row r="216">
          <cell r="L216">
            <v>0</v>
          </cell>
          <cell r="M216">
            <v>0</v>
          </cell>
          <cell r="N216">
            <v>50837.541569158762</v>
          </cell>
          <cell r="O216">
            <v>60158.501440922191</v>
          </cell>
          <cell r="P216">
            <v>65732.27402188578</v>
          </cell>
          <cell r="Q216">
            <v>0</v>
          </cell>
          <cell r="R216">
            <v>61737.671922173766</v>
          </cell>
          <cell r="S216">
            <v>0</v>
          </cell>
          <cell r="T216">
            <v>58249.536914527656</v>
          </cell>
          <cell r="U216">
            <v>0</v>
          </cell>
          <cell r="V216">
            <v>61308.468358300212</v>
          </cell>
          <cell r="W216">
            <v>0</v>
          </cell>
          <cell r="X216">
            <v>0</v>
          </cell>
        </row>
        <row r="224">
          <cell r="Q224">
            <v>0</v>
          </cell>
          <cell r="S224">
            <v>0</v>
          </cell>
          <cell r="U224">
            <v>0</v>
          </cell>
          <cell r="W224">
            <v>0</v>
          </cell>
        </row>
        <row r="225"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 t="e">
            <v>#NAME?</v>
          </cell>
        </row>
        <row r="228">
          <cell r="N228">
            <v>4753</v>
          </cell>
          <cell r="O228">
            <v>3986</v>
          </cell>
          <cell r="P228">
            <v>3388</v>
          </cell>
          <cell r="Q228">
            <v>0</v>
          </cell>
          <cell r="R228">
            <v>4670</v>
          </cell>
          <cell r="S228">
            <v>0</v>
          </cell>
          <cell r="T228">
            <v>6275</v>
          </cell>
          <cell r="U228">
            <v>0</v>
          </cell>
          <cell r="V228">
            <v>6757</v>
          </cell>
          <cell r="W228">
            <v>0</v>
          </cell>
        </row>
        <row r="231">
          <cell r="N231">
            <v>463.8</v>
          </cell>
          <cell r="O231">
            <v>451.1</v>
          </cell>
          <cell r="P231">
            <v>416.5</v>
          </cell>
          <cell r="Q231">
            <v>0</v>
          </cell>
          <cell r="R231">
            <v>434.1</v>
          </cell>
          <cell r="S231">
            <v>0</v>
          </cell>
          <cell r="T231">
            <v>642.1</v>
          </cell>
          <cell r="U231">
            <v>0</v>
          </cell>
          <cell r="V231">
            <v>613.70000000000005</v>
          </cell>
          <cell r="W231">
            <v>0</v>
          </cell>
        </row>
        <row r="234">
          <cell r="L234">
            <v>0</v>
          </cell>
          <cell r="M234">
            <v>0</v>
          </cell>
          <cell r="N234">
            <v>97580.475489164732</v>
          </cell>
          <cell r="O234">
            <v>113171.09884596086</v>
          </cell>
          <cell r="P234">
            <v>122933.88429752066</v>
          </cell>
          <cell r="Q234">
            <v>0</v>
          </cell>
          <cell r="R234">
            <v>92955.032119914351</v>
          </cell>
          <cell r="S234">
            <v>0</v>
          </cell>
          <cell r="T234">
            <v>102326.69322709163</v>
          </cell>
          <cell r="U234">
            <v>0</v>
          </cell>
          <cell r="V234">
            <v>90824.330324108334</v>
          </cell>
          <cell r="W234">
            <v>0</v>
          </cell>
          <cell r="X234">
            <v>0</v>
          </cell>
        </row>
        <row r="242">
          <cell r="Q242">
            <v>0</v>
          </cell>
          <cell r="S242">
            <v>0</v>
          </cell>
          <cell r="U242">
            <v>0</v>
          </cell>
          <cell r="W242">
            <v>0</v>
          </cell>
        </row>
        <row r="243"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 t="e">
            <v>#NAME?</v>
          </cell>
        </row>
        <row r="246">
          <cell r="N246">
            <v>39865</v>
          </cell>
          <cell r="O246">
            <v>34261</v>
          </cell>
          <cell r="P246">
            <v>35619</v>
          </cell>
          <cell r="Q246">
            <v>0</v>
          </cell>
          <cell r="R246">
            <v>38774</v>
          </cell>
          <cell r="S246">
            <v>0</v>
          </cell>
          <cell r="T246">
            <v>23943</v>
          </cell>
          <cell r="U246">
            <v>0</v>
          </cell>
          <cell r="V246">
            <v>24135</v>
          </cell>
          <cell r="W246">
            <v>0</v>
          </cell>
        </row>
        <row r="249">
          <cell r="N249">
            <v>2007.4</v>
          </cell>
          <cell r="O249">
            <v>1922.2</v>
          </cell>
          <cell r="P249">
            <v>2691.8999999999996</v>
          </cell>
          <cell r="Q249">
            <v>0</v>
          </cell>
          <cell r="R249">
            <v>3351.8999999999996</v>
          </cell>
          <cell r="S249">
            <v>0</v>
          </cell>
          <cell r="T249">
            <v>2460.1</v>
          </cell>
          <cell r="U249">
            <v>0</v>
          </cell>
          <cell r="V249">
            <v>2321.4</v>
          </cell>
          <cell r="W249">
            <v>0</v>
          </cell>
        </row>
        <row r="252">
          <cell r="L252">
            <v>0</v>
          </cell>
          <cell r="M252">
            <v>0</v>
          </cell>
          <cell r="N252">
            <v>50354.947949328984</v>
          </cell>
          <cell r="O252">
            <v>56104.608738799216</v>
          </cell>
          <cell r="P252">
            <v>75574.833656194707</v>
          </cell>
          <cell r="Q252">
            <v>0</v>
          </cell>
          <cell r="R252">
            <v>86447.103729303126</v>
          </cell>
          <cell r="S252">
            <v>0</v>
          </cell>
          <cell r="T252">
            <v>102748.19362652967</v>
          </cell>
          <cell r="U252">
            <v>0</v>
          </cell>
          <cell r="V252">
            <v>96183.965195773766</v>
          </cell>
          <cell r="W252">
            <v>0</v>
          </cell>
          <cell r="X252">
            <v>0</v>
          </cell>
        </row>
        <row r="260">
          <cell r="Q260">
            <v>0</v>
          </cell>
          <cell r="S260">
            <v>0</v>
          </cell>
          <cell r="U260">
            <v>0</v>
          </cell>
          <cell r="W260">
            <v>0</v>
          </cell>
        </row>
        <row r="261"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 t="e">
            <v>#NAME?</v>
          </cell>
        </row>
        <row r="264">
          <cell r="Q264">
            <v>0</v>
          </cell>
          <cell r="S264">
            <v>0</v>
          </cell>
          <cell r="U264">
            <v>0</v>
          </cell>
          <cell r="W264">
            <v>0</v>
          </cell>
        </row>
        <row r="267">
          <cell r="N267">
            <v>1138.2</v>
          </cell>
          <cell r="O267">
            <v>1311.4</v>
          </cell>
          <cell r="P267">
            <v>1520</v>
          </cell>
          <cell r="Q267">
            <v>0</v>
          </cell>
          <cell r="R267">
            <v>1748.7</v>
          </cell>
          <cell r="S267">
            <v>0</v>
          </cell>
          <cell r="T267">
            <v>1437.5</v>
          </cell>
          <cell r="U267">
            <v>0</v>
          </cell>
          <cell r="V267">
            <v>1209</v>
          </cell>
          <cell r="W267">
            <v>0</v>
          </cell>
        </row>
        <row r="270"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</row>
        <row r="278">
          <cell r="Q278">
            <v>0</v>
          </cell>
          <cell r="S278">
            <v>0</v>
          </cell>
          <cell r="U278">
            <v>0</v>
          </cell>
          <cell r="W278">
            <v>0</v>
          </cell>
        </row>
        <row r="279"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 t="e">
            <v>#NAME?</v>
          </cell>
        </row>
        <row r="282">
          <cell r="Q282">
            <v>0</v>
          </cell>
          <cell r="S282">
            <v>0</v>
          </cell>
          <cell r="U282">
            <v>0</v>
          </cell>
          <cell r="W282">
            <v>0</v>
          </cell>
        </row>
        <row r="285">
          <cell r="Q285">
            <v>0</v>
          </cell>
          <cell r="S285">
            <v>0</v>
          </cell>
          <cell r="U285">
            <v>0</v>
          </cell>
          <cell r="W285">
            <v>0</v>
          </cell>
        </row>
        <row r="288">
          <cell r="L288">
            <v>0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</row>
      </sheetData>
      <sheetData sheetId="4" refreshError="1">
        <row r="46">
          <cell r="D46">
            <v>31</v>
          </cell>
          <cell r="F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Z46" t="str">
            <v>S</v>
          </cell>
          <cell r="AA46" t="str">
            <v>F</v>
          </cell>
          <cell r="AD46" t="str">
            <v>D</v>
          </cell>
        </row>
        <row r="57">
          <cell r="D57">
            <v>8</v>
          </cell>
          <cell r="F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Z57" t="str">
            <v>S</v>
          </cell>
          <cell r="AA57" t="str">
            <v>F</v>
          </cell>
          <cell r="AD57" t="str">
            <v>D</v>
          </cell>
        </row>
        <row r="92">
          <cell r="D92">
            <v>31</v>
          </cell>
          <cell r="F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R92">
            <v>0</v>
          </cell>
          <cell r="T92">
            <v>0</v>
          </cell>
          <cell r="V92">
            <v>0</v>
          </cell>
          <cell r="X92">
            <v>0</v>
          </cell>
          <cell r="Z92" t="str">
            <v>F</v>
          </cell>
          <cell r="AA92" t="str">
            <v>E</v>
          </cell>
          <cell r="AD92" t="str">
            <v>D</v>
          </cell>
        </row>
        <row r="103">
          <cell r="D103">
            <v>8</v>
          </cell>
          <cell r="F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R103">
            <v>0</v>
          </cell>
          <cell r="T103">
            <v>0</v>
          </cell>
          <cell r="V103">
            <v>0</v>
          </cell>
          <cell r="X103">
            <v>0</v>
          </cell>
          <cell r="Z103" t="str">
            <v>F</v>
          </cell>
          <cell r="AA103" t="str">
            <v>E</v>
          </cell>
          <cell r="AD103" t="str">
            <v>D</v>
          </cell>
        </row>
        <row r="138">
          <cell r="D138">
            <v>31</v>
          </cell>
          <cell r="F138">
            <v>0</v>
          </cell>
          <cell r="Q138">
            <v>0</v>
          </cell>
          <cell r="S138">
            <v>0</v>
          </cell>
          <cell r="U138">
            <v>0</v>
          </cell>
          <cell r="W138">
            <v>0</v>
          </cell>
          <cell r="Z138" t="str">
            <v>E</v>
          </cell>
          <cell r="AA138" t="str">
            <v>F</v>
          </cell>
          <cell r="AD138" t="str">
            <v>D</v>
          </cell>
        </row>
        <row r="149">
          <cell r="D149">
            <v>8</v>
          </cell>
          <cell r="F149">
            <v>0</v>
          </cell>
          <cell r="Q149">
            <v>0</v>
          </cell>
          <cell r="S149">
            <v>0</v>
          </cell>
          <cell r="U149">
            <v>0</v>
          </cell>
          <cell r="W149">
            <v>0</v>
          </cell>
          <cell r="Z149" t="str">
            <v>E</v>
          </cell>
          <cell r="AA149" t="str">
            <v>F</v>
          </cell>
          <cell r="AD149" t="str">
            <v>D</v>
          </cell>
        </row>
        <row r="187">
          <cell r="D187">
            <v>31</v>
          </cell>
          <cell r="F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Z187" t="str">
            <v>E</v>
          </cell>
          <cell r="AA187" t="str">
            <v>E</v>
          </cell>
          <cell r="AD187" t="str">
            <v>D</v>
          </cell>
        </row>
        <row r="197">
          <cell r="D197">
            <v>8</v>
          </cell>
          <cell r="F197">
            <v>0</v>
          </cell>
          <cell r="Z197" t="str">
            <v>E</v>
          </cell>
          <cell r="AA197" t="str">
            <v>E</v>
          </cell>
          <cell r="AD197" t="str">
            <v>D</v>
          </cell>
        </row>
        <row r="231">
          <cell r="D231">
            <v>31</v>
          </cell>
          <cell r="F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Z231" t="str">
            <v>F</v>
          </cell>
          <cell r="AA231" t="str">
            <v>F</v>
          </cell>
          <cell r="AD231" t="str">
            <v>D</v>
          </cell>
        </row>
        <row r="242">
          <cell r="D242">
            <v>8</v>
          </cell>
          <cell r="F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Z242" t="str">
            <v>F</v>
          </cell>
          <cell r="AA242" t="str">
            <v>F</v>
          </cell>
          <cell r="AD242" t="str">
            <v>D</v>
          </cell>
        </row>
      </sheetData>
      <sheetData sheetId="5"/>
      <sheetData sheetId="6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 refreshError="1"/>
      <sheetData sheetId="27"/>
      <sheetData sheetId="28"/>
      <sheetData sheetId="29"/>
      <sheetData sheetId="30" refreshError="1"/>
      <sheetData sheetId="31"/>
      <sheetData sheetId="32"/>
      <sheetData sheetId="33"/>
      <sheetData sheetId="34"/>
      <sheetData sheetId="35"/>
      <sheetData sheetId="36" refreshError="1"/>
      <sheetData sheetId="37"/>
      <sheetData sheetId="38"/>
      <sheetData sheetId="39" refreshError="1"/>
      <sheetData sheetId="40"/>
      <sheetData sheetId="41" refreshError="1"/>
      <sheetData sheetId="42" refreshError="1"/>
      <sheetData sheetId="43" refreshError="1"/>
      <sheetData sheetId="44" refreshError="1"/>
      <sheetData sheetId="45" refreshError="1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/>
      <sheetData sheetId="60" refreshError="1"/>
      <sheetData sheetId="61" refreshError="1"/>
      <sheetData sheetId="62" refreshError="1"/>
      <sheetData sheetId="63" refreshError="1"/>
      <sheetData sheetId="64" refreshError="1"/>
      <sheetData sheetId="65"/>
      <sheetData sheetId="66"/>
      <sheetData sheetId="67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>
        <row r="46">
          <cell r="C46">
            <v>36563</v>
          </cell>
        </row>
      </sheetData>
      <sheetData sheetId="75" refreshError="1"/>
      <sheetData sheetId="7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Annual"/>
      <sheetName val="Quarterely"/>
      <sheetName val="Stearin"/>
      <sheetName val="RBD Palm oil"/>
    </sheetNames>
    <sheetDataSet>
      <sheetData sheetId="0"/>
      <sheetData sheetId="1">
        <row r="3">
          <cell r="G3" t="e">
            <v>#NAME?</v>
          </cell>
          <cell r="J3" t="e">
            <v>#NAME?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Financial and Ratio Analysis"/>
      <sheetName val="Common Size P&amp;L"/>
      <sheetName val="Common Size Balance Sheet"/>
      <sheetName val="P&amp;L"/>
      <sheetName val="Balance Sheet"/>
      <sheetName val="Cash Flow"/>
      <sheetName val="Capex Schedule"/>
      <sheetName val="Debt Schedule"/>
      <sheetName val="Regression"/>
      <sheetName val="Beta"/>
      <sheetName val="CB_DATA_"/>
      <sheetName val="DCF"/>
      <sheetName val="Relative Valuation v1"/>
      <sheetName val="Public-Comps"/>
      <sheetName val="ValSum"/>
      <sheetName val="Football Field"/>
      <sheetName val="Excess Return Model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1">
          <cell r="E41">
            <v>750.98450860091668</v>
          </cell>
        </row>
      </sheetData>
      <sheetData sheetId="13"/>
      <sheetData sheetId="14"/>
      <sheetData sheetId="15">
        <row r="35">
          <cell r="E35">
            <v>177.5</v>
          </cell>
        </row>
      </sheetData>
      <sheetData sheetId="16"/>
      <sheetData sheetId="17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 Sums"/>
      <sheetName val="Interface"/>
      <sheetName val="Please complete"/>
      <sheetName val="Page One"/>
      <sheetName val="PageTwo"/>
      <sheetName val="peband"/>
      <sheetName val="PER rel"/>
      <sheetName val="relperf"/>
      <sheetName val="market"/>
      <sheetName val="P&amp;L"/>
      <sheetName val="BS"/>
      <sheetName val="Cashflow"/>
      <sheetName val="Rev Anal"/>
      <sheetName val="Int, Depr,Tax"/>
      <sheetName val="Invt"/>
      <sheetName val="Costs"/>
      <sheetName val="Tables"/>
      <sheetName val="Stats"/>
      <sheetName val="WANS"/>
      <sheetName val="Ratings &amp; Forecast"/>
      <sheetName val="Sep-96"/>
      <sheetName val="HY Results"/>
      <sheetName val="Scatter"/>
      <sheetName val="Charts"/>
      <sheetName val="Ratios"/>
      <sheetName val="Ponder"/>
      <sheetName val="Dynamics"/>
      <sheetName val="Valuations"/>
      <sheetName val="Sensitivity"/>
      <sheetName val="Tariffs"/>
      <sheetName val="Internet"/>
      <sheetName val="eva"/>
      <sheetName val="NOPAT_VDF"/>
      <sheetName val="Invested capital_VDF"/>
      <sheetName val="#REF"/>
      <sheetName val="Input"/>
      <sheetName val="wsts1292"/>
      <sheetName val="FY 11 Annual Report Analysis"/>
      <sheetName val="Operating Statistics"/>
      <sheetName val="Income-Segment"/>
      <sheetName val="pl"/>
      <sheetName val="VSNL"/>
      <sheetName val="Financials"/>
      <sheetName val="Template"/>
      <sheetName val="Qtrly-Format"/>
      <sheetName val="Sheet2"/>
      <sheetName val="Old"/>
      <sheetName val="Introduction"/>
      <sheetName val="Sheet3"/>
      <sheetName val="E"/>
      <sheetName val="Inc-Yr Summary"/>
      <sheetName val="Balance"/>
      <sheetName val="FS1"/>
      <sheetName val="FS2"/>
      <sheetName val="eva summary"/>
      <sheetName val="Financials "/>
      <sheetName val="opstats"/>
      <sheetName val="CAPI_01-02"/>
      <sheetName val="madhu"/>
      <sheetName val="BBH"/>
      <sheetName val="raw"/>
      <sheetName val="FitOutConfCentre"/>
      <sheetName val="매크로"/>
      <sheetName val="sdrs_mar"/>
      <sheetName val="Design"/>
      <sheetName val="SHIVAJI"/>
      <sheetName val="Table 5"/>
      <sheetName val="Check_Sums"/>
      <sheetName val="Please_complete"/>
      <sheetName val="Page_One"/>
      <sheetName val="PER_rel"/>
      <sheetName val="Rev_Anal"/>
      <sheetName val="Int,_Depr,Tax"/>
      <sheetName val="Ratings_&amp;_Forecast"/>
      <sheetName val="HY_Results"/>
      <sheetName val="LABOU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APRvsSPXtrough"/>
      <sheetName val="PulpInv-SPAPR"/>
      <sheetName val="PulpInv-PaperGr"/>
      <sheetName val="Chart3"/>
      <sheetName val="Sheet2"/>
      <sheetName val="Sheet1"/>
      <sheetName val="pulp"/>
      <sheetName val="cbrd"/>
      <sheetName val="CHART"/>
      <sheetName val="-- FAME Look Up --"/>
      <sheetName val="graph for I&amp;O"/>
      <sheetName val="Dec98 charts"/>
      <sheetName val="Sheet3"/>
      <sheetName val="FAME Persistence"/>
      <sheetName val="INDEX"/>
      <sheetName val="SPPA (COM)"/>
      <sheetName val="SPPA (95-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 (2)"/>
      <sheetName val="JCF"/>
      <sheetName val="Multiple output"/>
      <sheetName val="sheet6"/>
      <sheetName val="Sheet3 _2_"/>
      <sheetName val="q-details"/>
      <sheetName val="Calculation (2)"/>
      <sheetName val="Inputs"/>
      <sheetName val="International"/>
      <sheetName val="Internet"/>
      <sheetName val="Assumptions"/>
      <sheetName val="Occ"/>
      <sheetName val="Demand"/>
      <sheetName val="Ref"/>
      <sheetName val="유통망계획"/>
      <sheetName val="Global Assm."/>
      <sheetName val="analysis"/>
      <sheetName val="Project Budget Worksheet"/>
      <sheetName val="Builtup Area"/>
      <sheetName val="F1a-Pile"/>
      <sheetName val="Set"/>
      <sheetName val="BBEuros"/>
      <sheetName val="QoQ Forecast"/>
      <sheetName val="Income Statements"/>
      <sheetName val="DEPRE"/>
      <sheetName val="InvoiceList"/>
      <sheetName val="Income &amp; Occupancy Customer"/>
      <sheetName val="ABP inputs"/>
      <sheetName val="Synergy Sales Budget"/>
      <sheetName val="CV"/>
      <sheetName val="ES(Kor)"/>
      <sheetName val="INDIGINEOUS ITEMS "/>
      <sheetName val="fco"/>
      <sheetName val="Headings"/>
      <sheetName val="RCC,Ret. Wall"/>
      <sheetName val="BOQ T4B"/>
      <sheetName val="Summary"/>
      <sheetName val="노무비"/>
      <sheetName val="Formulas"/>
      <sheetName val="Material "/>
      <sheetName val="Labour &amp; Plant"/>
      <sheetName val="GBW"/>
      <sheetName val="Design"/>
      <sheetName val="BOQ"/>
      <sheetName val=" B3"/>
      <sheetName val=" B1"/>
      <sheetName val="Sheet3_(2)"/>
      <sheetName val="Sheet3__2_"/>
      <sheetName val="TIll_Q_sal"/>
      <sheetName val="tiller"/>
      <sheetName val="download"/>
      <sheetName val="170810-lease tax"/>
      <sheetName val="Lead"/>
      <sheetName val="Main-Material"/>
      <sheetName val="Sheet1"/>
      <sheetName val="beam-reinft-IIInd floor"/>
      <sheetName val="CFForecast detail"/>
      <sheetName val="Site Dev BOQ"/>
      <sheetName val="Break up Sheet"/>
      <sheetName val="Approved MTD Proj #'s"/>
      <sheetName val="Aladdin Macro1"/>
      <sheetName val="BalSht"/>
      <sheetName val="Acc_10.5"/>
      <sheetName val="MN T.B."/>
      <sheetName val="Vind-BtB"/>
      <sheetName val="Load Details-220kV"/>
      <sheetName val="Input"/>
      <sheetName val="Main Sheet (MTD)"/>
      <sheetName val="Consl Daily Report"/>
      <sheetName val="Acc_10_5"/>
      <sheetName val="Preside"/>
      <sheetName val="balance sheet"/>
      <sheetName val="Sheet2"/>
      <sheetName val="van khuon"/>
      <sheetName val="Names"/>
      <sheetName val="Introduction"/>
      <sheetName val="IDC macro"/>
      <sheetName val="SALE"/>
      <sheetName val="Block A - BOQ"/>
      <sheetName val="Rollup Summary"/>
      <sheetName val="Portfolio Summary"/>
      <sheetName val="Depreciation"/>
      <sheetName val="CapitalOutlay"/>
      <sheetName val="Assum"/>
      <sheetName val="strand"/>
      <sheetName val="ABP_inputs"/>
      <sheetName val="Synergy_Sales_Budget"/>
      <sheetName val="Project_Budget_Worksheet"/>
      <sheetName val="QoQ_Forecast"/>
      <sheetName val="Income_Statements"/>
      <sheetName val="Income_&amp;_Occupancy_Customer"/>
      <sheetName val="RCC,Ret__Wall"/>
      <sheetName val="Calculation_(2)"/>
      <sheetName val="Multiple_output"/>
      <sheetName val="Builtup_Area"/>
      <sheetName val="BOQ_T4B"/>
      <sheetName val="INDIGINEOUS_ITEMS_"/>
      <sheetName val="Material_"/>
      <sheetName val="Labour_&amp;_Plant"/>
      <sheetName val="Approved_MTD_Proj_#'s"/>
      <sheetName val="_B3"/>
      <sheetName val="_B1"/>
      <sheetName val="beam-reinft-IIInd_floor"/>
      <sheetName val="Aladdin_Macro1"/>
      <sheetName val="Global_Assm_"/>
      <sheetName val="MN_T_B_"/>
      <sheetName val="CFForecast_detail"/>
      <sheetName val="Site_Dev_BOQ"/>
      <sheetName val="Break_up_Sheet"/>
      <sheetName val="Load_Details-220kV"/>
      <sheetName val="Block_A_-_BOQ"/>
      <sheetName val="Sheet3_(2)1"/>
      <sheetName val="ABP_inputs1"/>
      <sheetName val="Synergy_Sales_Budget1"/>
      <sheetName val="Project_Budget_Worksheet1"/>
      <sheetName val="QoQ_Forecast1"/>
      <sheetName val="Income_Statements1"/>
      <sheetName val="Sheet3__2_1"/>
      <sheetName val="Income_&amp;_Occupancy_Customer1"/>
      <sheetName val="RCC,Ret__Wall1"/>
      <sheetName val="Calculation_(2)1"/>
      <sheetName val="Multiple_output1"/>
      <sheetName val="Builtup_Area1"/>
      <sheetName val="BOQ_T4B1"/>
      <sheetName val="INDIGINEOUS_ITEMS_1"/>
      <sheetName val="Material_1"/>
      <sheetName val="Labour_&amp;_Plant1"/>
      <sheetName val="Approved_MTD_Proj_#'s1"/>
      <sheetName val="_B31"/>
      <sheetName val="_B11"/>
      <sheetName val="beam-reinft-IIInd_floor1"/>
      <sheetName val="Aladdin_Macro11"/>
      <sheetName val="Acc_10_51"/>
      <sheetName val="Global_Assm_1"/>
      <sheetName val="MN_T_B_1"/>
      <sheetName val="CFForecast_detail1"/>
      <sheetName val="Site_Dev_BOQ1"/>
      <sheetName val="Break_up_Sheet1"/>
      <sheetName val="Load_Details-220kV1"/>
      <sheetName val="Block_A_-_BOQ1"/>
      <sheetName val="Sheet3_(2)2"/>
      <sheetName val="ABP_inputs2"/>
      <sheetName val="Synergy_Sales_Budget2"/>
      <sheetName val="Project_Budget_Worksheet2"/>
      <sheetName val="QoQ_Forecast2"/>
      <sheetName val="Income_Statements2"/>
      <sheetName val="Sheet3__2_2"/>
      <sheetName val="Income_&amp;_Occupancy_Customer2"/>
      <sheetName val="RCC,Ret__Wall2"/>
      <sheetName val="Calculation_(2)2"/>
      <sheetName val="Multiple_output2"/>
      <sheetName val="Builtup_Area2"/>
      <sheetName val="BOQ_T4B2"/>
      <sheetName val="INDIGINEOUS_ITEMS_2"/>
      <sheetName val="Material_2"/>
      <sheetName val="Labour_&amp;_Plant2"/>
      <sheetName val="Approved_MTD_Proj_#'s2"/>
      <sheetName val="_B32"/>
      <sheetName val="_B12"/>
      <sheetName val="beam-reinft-IIInd_floor2"/>
      <sheetName val="Aladdin_Macro12"/>
      <sheetName val="Acc_10_52"/>
      <sheetName val="Global_Assm_2"/>
      <sheetName val="MN_T_B_2"/>
      <sheetName val="CFForecast_detail2"/>
      <sheetName val="Site_Dev_BOQ2"/>
      <sheetName val="Break_up_Sheet2"/>
      <sheetName val="Load_Details-220kV2"/>
      <sheetName val="Block_A_-_BOQ2"/>
      <sheetName val="CABLE DATA"/>
      <sheetName val="1st flr"/>
      <sheetName val="final abstract"/>
      <sheetName val="Rate analysis"/>
      <sheetName val="02"/>
      <sheetName val="03"/>
      <sheetName val="04"/>
      <sheetName val="01"/>
      <sheetName val="Civil Boq"/>
      <sheetName val="Sheet3_(2)3"/>
      <sheetName val="ABP_inputs3"/>
      <sheetName val="Synergy_Sales_Budget3"/>
      <sheetName val="Project_Budget_Worksheet3"/>
      <sheetName val="QoQ_Forecast3"/>
      <sheetName val="Income_Statements3"/>
      <sheetName val="Sheet3__2_3"/>
      <sheetName val="Income_&amp;_Occupancy_Customer3"/>
      <sheetName val="RCC,Ret__Wall3"/>
      <sheetName val="Calculation_(2)3"/>
      <sheetName val="Multiple_output3"/>
      <sheetName val="Builtup_Area3"/>
      <sheetName val="BOQ_T4B3"/>
      <sheetName val="INDIGINEOUS_ITEMS_3"/>
      <sheetName val="Material_3"/>
      <sheetName val="Labour_&amp;_Plant3"/>
      <sheetName val="Approved_MTD_Proj_#'s3"/>
      <sheetName val="_B33"/>
      <sheetName val="_B13"/>
      <sheetName val="beam-reinft-IIInd_floor3"/>
      <sheetName val="Aladdin_Macro13"/>
      <sheetName val="Acc_10_53"/>
      <sheetName val="Global_Assm_3"/>
      <sheetName val="MN_T_B_3"/>
      <sheetName val="CFForecast_detail3"/>
      <sheetName val="Site_Dev_BOQ3"/>
      <sheetName val="Break_up_Sheet3"/>
      <sheetName val="Load_Details-220kV3"/>
      <sheetName val="Block_A_-_BOQ3"/>
      <sheetName val="Sheet3_(2)4"/>
      <sheetName val="ABP_inputs4"/>
      <sheetName val="Synergy_Sales_Budget4"/>
      <sheetName val="Project_Budget_Worksheet4"/>
      <sheetName val="QoQ_Forecast4"/>
      <sheetName val="Income_Statements4"/>
      <sheetName val="Sheet3__2_4"/>
      <sheetName val="Income_&amp;_Occupancy_Customer4"/>
      <sheetName val="RCC,Ret__Wall4"/>
      <sheetName val="Calculation_(2)4"/>
      <sheetName val="Multiple_output4"/>
      <sheetName val="Builtup_Area4"/>
      <sheetName val="BOQ_T4B4"/>
      <sheetName val="INDIGINEOUS_ITEMS_4"/>
      <sheetName val="Material_4"/>
      <sheetName val="Labour_&amp;_Plant4"/>
      <sheetName val="Approved_MTD_Proj_#'s4"/>
      <sheetName val="_B34"/>
      <sheetName val="_B14"/>
      <sheetName val="beam-reinft-IIInd_floor4"/>
      <sheetName val="Aladdin_Macro14"/>
      <sheetName val="Acc_10_54"/>
      <sheetName val="Global_Assm_4"/>
      <sheetName val="MN_T_B_4"/>
      <sheetName val="CFForecast_detail4"/>
      <sheetName val="Site_Dev_BOQ4"/>
      <sheetName val="Break_up_Sheet4"/>
      <sheetName val="Load_Details-220kV4"/>
      <sheetName val="Block_A_-_BOQ4"/>
      <sheetName val="classes"/>
      <sheetName val="IT Block"/>
      <sheetName val="Location CODE"/>
      <sheetName val="Location TYPE"/>
      <sheetName val="sub class"/>
      <sheetName val=" sub Loc "/>
      <sheetName val=" Acc. Sched."/>
      <sheetName val="sept-plan"/>
      <sheetName val="LBO"/>
      <sheetName val="Summary Excise"/>
      <sheetName val="EBITDA"/>
      <sheetName val="IMPORT T12"/>
      <sheetName val="Current Bill MB ref"/>
      <sheetName val="Meas.-Hotel Part"/>
      <sheetName val="March Analysts"/>
      <sheetName val="Company"/>
      <sheetName val="Grouping Master"/>
      <sheetName val="LISTS"/>
      <sheetName val="02022005"/>
      <sheetName val="16022005"/>
      <sheetName val="05012005"/>
      <sheetName val="19012005"/>
      <sheetName val="02032005"/>
      <sheetName val="16032005"/>
      <sheetName val="30032005"/>
      <sheetName val="EXPENSES"/>
      <sheetName val="Main workings"/>
      <sheetName val="F"/>
      <sheetName val="EXHIBIT&quot; T&quot;"/>
      <sheetName val="Turnover"/>
      <sheetName val="SCH-E-1"/>
      <sheetName val="BIPR"/>
      <sheetName val="BPCA"/>
      <sheetName val="BBRS"/>
      <sheetName val="KPM DT"/>
      <sheetName val="Factor_Sheet"/>
      <sheetName val="AOP13"/>
      <sheetName val="ANN.K"/>
      <sheetName val="CAP"/>
      <sheetName val="Fin Sum"/>
      <sheetName val="M-2 Adjusted"/>
      <sheetName val="Master Price List"/>
      <sheetName val="reference"/>
      <sheetName val="compu"/>
      <sheetName val="P &amp; L"/>
      <sheetName val="new_data"/>
      <sheetName val="earnmodl"/>
      <sheetName val="Dom Cell (IS)"/>
      <sheetName val="?????"/>
      <sheetName val="Budget Summary"/>
      <sheetName val="PERHW"/>
      <sheetName val="BS"/>
      <sheetName val="Other BS Sch 5-9"/>
      <sheetName val="Excess Calc"/>
      <sheetName val="PLAN_FEB97"/>
      <sheetName val="QoQ In Lakhs"/>
      <sheetName val="GENERAL2"/>
      <sheetName val="MIS - kINR"/>
      <sheetName val="170810-lease_tax"/>
      <sheetName val="Main_Sheet_(MTD)"/>
      <sheetName val="Consl_Daily_Report"/>
      <sheetName val="balance_sheet"/>
      <sheetName val="van_khuon"/>
      <sheetName val="IDC_macro"/>
      <sheetName val="Sheet3_(2)5"/>
      <sheetName val="Sheet3__2_5"/>
      <sheetName val="Calculation_(2)5"/>
      <sheetName val="Multiple_output5"/>
      <sheetName val="QoQ_Forecast5"/>
      <sheetName val="Income_Statements5"/>
      <sheetName val="Income_&amp;_Occupancy_Customer5"/>
      <sheetName val="ABP_inputs5"/>
      <sheetName val="Synergy_Sales_Budget5"/>
      <sheetName val="Project_Budget_Worksheet5"/>
      <sheetName val="INDIGINEOUS_ITEMS_5"/>
      <sheetName val="Builtup_Area5"/>
      <sheetName val="RCC,Ret__Wall5"/>
      <sheetName val="BOQ_T4B5"/>
      <sheetName val="Material_5"/>
      <sheetName val="Labour_&amp;_Plant5"/>
      <sheetName val="_B35"/>
      <sheetName val="_B15"/>
      <sheetName val="CFForecast_detail5"/>
      <sheetName val="Site_Dev_BOQ5"/>
      <sheetName val="beam-reinft-IIInd_floor5"/>
      <sheetName val="Global_Assm_5"/>
      <sheetName val="Aladdin_Macro15"/>
      <sheetName val="Acc_10_55"/>
      <sheetName val="Portfolio_Summary"/>
      <sheetName val="MIS_-_kINR"/>
      <sheetName val="Break_up_Sheet5"/>
      <sheetName val="Approved_MTD_Proj_#'s5"/>
      <sheetName val="MN_T_B_5"/>
      <sheetName val="Load_Details-220kV5"/>
      <sheetName val="Block_A_-_BOQ5"/>
      <sheetName val="CABLE_DATA"/>
      <sheetName val="1st_flr"/>
      <sheetName val="final_abstract"/>
      <sheetName val="Rate_analysis"/>
      <sheetName val="Rollup_Summary"/>
      <sheetName val="Civil_Boq"/>
      <sheetName val="EDS  Bestshore Migration"/>
      <sheetName val="NewCo"/>
      <sheetName val="TB_FOR_MIS"/>
      <sheetName val="Area"/>
      <sheetName val="TB FOR MIS"/>
      <sheetName val="INPUT SHEET"/>
      <sheetName val="Summ"/>
      <sheetName val="Fossil_DCF"/>
      <sheetName val="SOPMA DD"/>
      <sheetName val="03 (2)"/>
      <sheetName val="WIng F(Typical)"/>
      <sheetName val="Rates"/>
      <sheetName val="Index"/>
      <sheetName val="Balance Sheet "/>
      <sheetName val="Recon"/>
      <sheetName val="Loss 3004"/>
      <sheetName val="Reconciliation of GL &amp; FAR"/>
      <sheetName val="Licences"/>
      <sheetName val="Macro1"/>
      <sheetName val="Settings"/>
      <sheetName val="FlashMgtMo"/>
      <sheetName val="FlashMgtYTD"/>
      <sheetName val="Standalone"/>
      <sheetName val="OpRes"/>
      <sheetName val="master"/>
      <sheetName val="#REF"/>
      <sheetName val="IO LIST"/>
      <sheetName val="RATE LIST (2)"/>
      <sheetName val="Molasses-FG"/>
      <sheetName val="RNT"/>
      <sheetName val="Combi"/>
      <sheetName val="Params"/>
      <sheetName val="ras"/>
      <sheetName val="CashFlow"/>
      <sheetName val="TB"/>
      <sheetName val="Training Deposits coding"/>
      <sheetName val="PLGroupings"/>
      <sheetName val="Results"/>
      <sheetName val="Current_Bill_MB_ref"/>
      <sheetName val="Meas_-Hotel_Part"/>
      <sheetName val="Fin_Sum"/>
      <sheetName val="Pay_Sep06"/>
      <sheetName val="LBO Financials"/>
      <sheetName val="IMPORT_T12"/>
      <sheetName val="KPM_DT"/>
      <sheetName val="Task"/>
      <sheetName val="97-98"/>
      <sheetName val="SODA02"/>
      <sheetName val="Hot"/>
      <sheetName val="Mico"/>
      <sheetName val="FY2001-02"/>
      <sheetName val="CARO"/>
      <sheetName val="Control"/>
      <sheetName val=""/>
      <sheetName val="AOR"/>
      <sheetName val="MASTER_RATE ANALYSIS"/>
      <sheetName val="Valuation - block 2"/>
      <sheetName val="Rev Opt - Rollup"/>
      <sheetName val="FA"/>
      <sheetName val="ITEM  STUDY (2)"/>
      <sheetName val="EVA1"/>
      <sheetName val="Felix Street Summary"/>
      <sheetName val="Newspapers"/>
      <sheetName val="AccDil"/>
      <sheetName val="Currency"/>
      <sheetName val="IO"/>
      <sheetName val="Assumption"/>
      <sheetName val="Tyre1"/>
      <sheetName val="Auto"/>
      <sheetName val="TDS Certificate-Format"/>
      <sheetName val="HELP"/>
      <sheetName val="BS-2005"/>
      <sheetName val="MAIN_MENU"/>
      <sheetName val="exec summ"/>
      <sheetName val="Ins Erection"/>
      <sheetName val="YTD"/>
      <sheetName val="RES-PLANNING"/>
      <sheetName val="Cost_any"/>
      <sheetName val="10. &amp; 11. Rate Code &amp; BQ"/>
      <sheetName val="FITZ MORT 94"/>
      <sheetName val="CSCCincSKR"/>
      <sheetName val="concrete"/>
      <sheetName val="Code"/>
      <sheetName val="vb 9&amp;10"/>
      <sheetName val="Base Assumptions"/>
      <sheetName val="CASHFLOWS"/>
      <sheetName val="269T(final)"/>
      <sheetName val="9. Package split - Cost "/>
      <sheetName val="OpTrack"/>
      <sheetName val="drop-dwn list"/>
      <sheetName val="tngst1"/>
      <sheetName val="Boiler&amp;TG"/>
      <sheetName val="horizontal"/>
      <sheetName val="Sheet3"/>
      <sheetName val="TH"/>
      <sheetName val="Hardware"/>
      <sheetName val="Power &amp; Fuel (S)"/>
      <sheetName val="Capital Structure"/>
      <sheetName val="GROUPING"/>
      <sheetName val="Sch5TO10"/>
      <sheetName val="macroDat"/>
      <sheetName val="Dep"/>
      <sheetName val="cash_flow"/>
      <sheetName val="sales_value"/>
      <sheetName val="colaw_dep"/>
      <sheetName val="freight"/>
      <sheetName val="gm"/>
      <sheetName val="interest"/>
      <sheetName val="jb_cost"/>
      <sheetName val="c_flow_%"/>
      <sheetName val="consum_cost"/>
      <sheetName val="form26"/>
      <sheetName val="F29B"/>
      <sheetName val="Fill this out first..."/>
      <sheetName val="Tender Summary"/>
      <sheetName val="RA"/>
      <sheetName val="Bill 1-BOQ-Civil Works"/>
      <sheetName val="Legal Risk Analysis"/>
      <sheetName val="Data"/>
      <sheetName val="Related party - P&amp;L"/>
      <sheetName val="Contribution"/>
      <sheetName val="Rx"/>
      <sheetName val="Base data Security Procedures"/>
      <sheetName val="Expansion"/>
      <sheetName val="Variables_x"/>
      <sheetName val="Customize Your Invoice"/>
      <sheetName val="Sale Charts"/>
      <sheetName val="EXIS-COMBINED"/>
      <sheetName val="Phasing"/>
      <sheetName val="PRECAST lightconc-II"/>
      <sheetName val="Sensitivity"/>
      <sheetName val="Night Shift"/>
      <sheetName val="Estimate"/>
      <sheetName val="12-ACTPL"/>
      <sheetName val="DET0900"/>
      <sheetName val="Theatre mgmt cont"/>
      <sheetName val="Scope"/>
      <sheetName val="conc-foot-gradeslab"/>
      <sheetName val="Trial Balance"/>
      <sheetName val="GenAssump"/>
      <sheetName val="Goldberg Portfolio Combined"/>
      <sheetName val="Commercial Research"/>
      <sheetName val="Leasing Commision"/>
      <sheetName val="Master list"/>
      <sheetName val="Labour List"/>
      <sheetName val="Material List"/>
      <sheetName val="Architectural Summary"/>
      <sheetName val="Labor abs-NMR"/>
      <sheetName val="Beam at Ground flr lvl(Steel)"/>
      <sheetName val="AREAS"/>
      <sheetName val="sumary"/>
      <sheetName val="1st -vpd"/>
      <sheetName val="Material List "/>
      <sheetName val="SCHEDULE"/>
      <sheetName val="Database"/>
      <sheetName val="schedule nos"/>
      <sheetName val="WT-LIST"/>
      <sheetName val="Material"/>
      <sheetName val="Intaccrual"/>
      <sheetName val="SBU"/>
      <sheetName val="Portfolio_Summary1"/>
      <sheetName val="Current_Bill_MB_ref1"/>
      <sheetName val="Meas_-Hotel_Part1"/>
      <sheetName val="Operating Statistics"/>
      <sheetName val="A-Mum"/>
      <sheetName val="BKCSTOCKVAL"/>
      <sheetName val="MAHSTOCKVAL"/>
      <sheetName val="Checks"/>
      <sheetName val="FA Schedule Dec 07"/>
      <sheetName val="Menu"/>
      <sheetName val="P.R. TAXES"/>
      <sheetName val="BILLING SUM"/>
      <sheetName val="Redelvery provision changed"/>
      <sheetName val="Debtors analysis"/>
      <sheetName val="pile Fabrication"/>
      <sheetName val="Improvements"/>
      <sheetName val="UNP-NCW "/>
      <sheetName val="SEW4"/>
      <sheetName val="Variables"/>
      <sheetName val="Publicbuilding"/>
      <sheetName val="Non-Factory"/>
      <sheetName val="extra work elec bill "/>
      <sheetName val="Sheet4"/>
      <sheetName val="CrRajWMM"/>
      <sheetName val="소상 &quot;1&quot;"/>
      <sheetName val="Graph (LGEN)"/>
      <sheetName val="out_prog"/>
      <sheetName val="선적schedule (2)"/>
      <sheetName val="steam outlet"/>
      <sheetName val="BOQ Distribution"/>
      <sheetName val="wordsdata"/>
      <sheetName val="GM &amp; TA"/>
      <sheetName val="Cash Flow Working"/>
      <sheetName val="Retail Mall"/>
      <sheetName val="Control Sheet"/>
      <sheetName val="crs"/>
      <sheetName val="PIMS"/>
      <sheetName val="SCH 10"/>
      <sheetName val="SAP EMP"/>
      <sheetName val="A1-Continuous"/>
      <sheetName val="schedules"/>
      <sheetName val="Summary_Local"/>
      <sheetName val="Open Items-311208"/>
      <sheetName val="NEW-IDs Fun &amp; Group"/>
      <sheetName val="XZLC003_PART1"/>
      <sheetName val="exp"/>
      <sheetName val="details"/>
      <sheetName val="Cost summary"/>
      <sheetName val="RCC Rates"/>
      <sheetName val="FORM7"/>
      <sheetName val="目录"/>
      <sheetName val="4.4 External Plaster"/>
      <sheetName val="MFG"/>
      <sheetName val="USB 1"/>
      <sheetName val="apr-aug"/>
      <sheetName val="Service Invoice"/>
      <sheetName val="15-21"/>
      <sheetName val="Cover"/>
      <sheetName val="ES"/>
      <sheetName val="RA-markate"/>
      <sheetName val="BQ"/>
      <sheetName val="Notes-pivot1 "/>
      <sheetName val="Schedule v1"/>
      <sheetName val="labour rates"/>
      <sheetName val="Timesheet"/>
      <sheetName val="Loads"/>
      <sheetName val="old_serial no."/>
      <sheetName val="tot_ass_9697"/>
      <sheetName val="Budget_CF - Overall"/>
      <sheetName val="공사비 내역 (가)"/>
      <sheetName val="4K - (6a) Non Manual Breakdown"/>
      <sheetName val="3. Elemental Summary"/>
      <sheetName val="Financials"/>
      <sheetName val="L"/>
      <sheetName val="p1-costg"/>
      <sheetName val="costing"/>
      <sheetName val="August TB"/>
      <sheetName val="Misc. Master"/>
      <sheetName val="FCIIHyperion"/>
      <sheetName val="MIS AC wise"/>
      <sheetName val="Timeline"/>
      <sheetName val="Assump"/>
      <sheetName val="Overall Summary"/>
      <sheetName val="HBI NCD"/>
      <sheetName val="CUSTOM Jun99"/>
      <sheetName val="A.O.R."/>
      <sheetName val="Base"/>
      <sheetName val="final 061106"/>
      <sheetName val="SAB P&amp;L"/>
      <sheetName val="cash flow"/>
      <sheetName val="Kontensalden"/>
      <sheetName val="Gen_Ass"/>
      <sheetName val="Op_Ass"/>
      <sheetName val="Staff Costs"/>
      <sheetName val="General_Assumptions"/>
      <sheetName val="차수"/>
      <sheetName val="P&amp;L"/>
      <sheetName val="DIVBUD99"/>
      <sheetName val="800CC_FR_HOSE"/>
      <sheetName val="인원계획"/>
      <sheetName val="Prov for exp-April'08 - June'08"/>
      <sheetName val="Provision for exp-Upto Mar'08"/>
      <sheetName val="creditors to others"/>
      <sheetName val="other amt&amp;recoveries payable"/>
      <sheetName val="other exp.charges recoverable"/>
      <sheetName val="rental deposits"/>
      <sheetName val="other deposits "/>
      <sheetName val="prepaid expenses"/>
      <sheetName val="sal.adv"/>
      <sheetName val="Annexure-I"/>
      <sheetName val="WGSRL"/>
      <sheetName val="HSA"/>
      <sheetName val="B_S"/>
      <sheetName val="PVAs"/>
      <sheetName val="grp "/>
      <sheetName val="Overheads"/>
      <sheetName val="Severity"/>
      <sheetName val="Pur"/>
      <sheetName val="0. Data Validation List"/>
      <sheetName val="Crest"/>
      <sheetName val="Pinnacle"/>
      <sheetName val="Zenith"/>
      <sheetName val="stacking sheet"/>
      <sheetName val="EAST"/>
      <sheetName val="YOEMAGUM"/>
      <sheetName val="Lease Expiry"/>
      <sheetName val="SAP downloaded schedule"/>
      <sheetName val="Transaction"/>
      <sheetName val="notes"/>
      <sheetName val="FA(Apr 07)"/>
      <sheetName val="Reco O.S"/>
      <sheetName val="Accounts"/>
      <sheetName val="Lease-rents"/>
      <sheetName val="Key Assumption"/>
      <sheetName val="Master Information"/>
      <sheetName val="Collection"/>
      <sheetName val="HOUSE RENT DEPO."/>
      <sheetName val="GL Master Data"/>
      <sheetName val="Inv_Data"/>
      <sheetName val="Basement Budget"/>
      <sheetName val="labour"/>
      <sheetName val="ASSETS P&amp;M"/>
      <sheetName val="Assets Land &amp; Mise FA"/>
      <sheetName val="A-1"/>
      <sheetName val="MultipleSecurities"/>
      <sheetName val="Determination of Threshold"/>
      <sheetName val="Debt"/>
      <sheetName val="Quotation"/>
      <sheetName val="RCC_Ret_ Wall"/>
      <sheetName val="XLR_NoRangeSheet"/>
      <sheetName val="TMasterCurrency"/>
      <sheetName val="TMasterSeg"/>
      <sheetName val="BOM"/>
      <sheetName val="HRD1"/>
      <sheetName val="Taluka wise dealer (2)"/>
      <sheetName val="Multipliers &amp; KRA"/>
      <sheetName val="Rollup"/>
      <sheetName val="DYN PP"/>
      <sheetName val="TXN97"/>
      <sheetName val="June Reserve - Far East"/>
      <sheetName val="Coalmine"/>
      <sheetName val="p&amp;m"/>
      <sheetName val="S &amp; A"/>
      <sheetName val="van_khuon1"/>
      <sheetName val="IDC_macro1"/>
      <sheetName val="P_&amp;_L"/>
      <sheetName val="Summary_Excise"/>
      <sheetName val="Other_BS_Sch_5-9"/>
      <sheetName val="Excess_Calc"/>
      <sheetName val="Grouping_Master"/>
      <sheetName val="March_Analysts"/>
      <sheetName val="Fin_Sum1"/>
      <sheetName val="Main_workings"/>
      <sheetName val="Balance_Sheet_"/>
      <sheetName val="IMPORT_T121"/>
      <sheetName val="KPM_DT1"/>
      <sheetName val="Dom_Cell_(IS)"/>
      <sheetName val="M-2_Adjusted"/>
      <sheetName val="Master_Price_List"/>
      <sheetName val="EXHIBIT&quot;_T&quot;"/>
      <sheetName val="TB_FOR_MIS1"/>
      <sheetName val="INPUT_SHEET"/>
      <sheetName val="_Acc__Sched_"/>
      <sheetName val="EDS__Bestshore_Migration"/>
      <sheetName val="IT_Block"/>
      <sheetName val="Location_CODE"/>
      <sheetName val="Location_TYPE"/>
      <sheetName val="sub_class"/>
      <sheetName val="_sub_Loc_"/>
      <sheetName val="Training_Deposits_coding"/>
      <sheetName val="Rev_Opt_-_Rollup"/>
      <sheetName val="MASTER_RATE_ANALYSIS"/>
      <sheetName val="Valuation_-_block_2"/>
      <sheetName val="cl 14 Annex 7 "/>
      <sheetName val="Encl 7A"/>
      <sheetName val=" "/>
      <sheetName val="03_(2)"/>
      <sheetName val="WIng_F(Typical)"/>
      <sheetName val="Legal_Risk_Analysis"/>
      <sheetName val="SOPMA_DD"/>
      <sheetName val="Architectural_Summary"/>
      <sheetName val="IO_LIST"/>
      <sheetName val="Master_list"/>
      <sheetName val="Labour_List"/>
      <sheetName val="Material_List"/>
      <sheetName val="Labor_abs-NMR"/>
      <sheetName val="Beam_at_Ground_flr_lvl(Steel)"/>
      <sheetName val="1st_-vpd"/>
      <sheetName val="Material_List_"/>
      <sheetName val="schedule_nos"/>
      <sheetName val="Debtors_analysis"/>
      <sheetName val="Parameter"/>
      <sheetName val="Portfolio_Summary2"/>
      <sheetName val="Current_Bill_MB_ref2"/>
      <sheetName val="Meas_-Hotel_Part2"/>
      <sheetName val="Fill_this_out_first___"/>
      <sheetName val="extra_work_elec_bill_"/>
      <sheetName val="10__&amp;_11__Rate_Code_&amp;_BQ"/>
      <sheetName val="NEW-IDs_Fun_&amp;_Group"/>
      <sheetName val="wdr bldg"/>
      <sheetName val="Formated Trial Balance"/>
      <sheetName val="Approval"/>
      <sheetName val="SALES"/>
      <sheetName val="Basework"/>
      <sheetName val="Monthly Inputs"/>
      <sheetName val="2000-1 Monthly Cashflows"/>
      <sheetName val="2002-2 Monthly Cashflows"/>
      <sheetName val="Sheet3_(2)6"/>
      <sheetName val="Sheet3__2_6"/>
      <sheetName val="Income_Statements6"/>
      <sheetName val="Main_Sheet_(MTD)1"/>
      <sheetName val="Consl_Daily_Report1"/>
      <sheetName val="Calculation_(2)6"/>
      <sheetName val="QoQ_Forecast6"/>
      <sheetName val="Income_&amp;_Occupancy_Customer6"/>
      <sheetName val="Rollup_Summary1"/>
      <sheetName val="Acc_10_56"/>
      <sheetName val="balance_sheet1"/>
      <sheetName val="170810-lease_tax1"/>
      <sheetName val="Multiple_output6"/>
      <sheetName val="Aladdin_Macro16"/>
      <sheetName val="Global_Assm_6"/>
      <sheetName val="ABP_inputs6"/>
      <sheetName val="Synergy_Sales_Budget6"/>
      <sheetName val="Project_Budget_Worksheet6"/>
      <sheetName val="Builtup_Area6"/>
      <sheetName val="RCC,Ret__Wall6"/>
      <sheetName val="BOQ_T4B6"/>
      <sheetName val="INDIGINEOUS_ITEMS_6"/>
      <sheetName val="Material_6"/>
      <sheetName val="Labour_&amp;_Plant6"/>
      <sheetName val="_B36"/>
      <sheetName val="_B16"/>
      <sheetName val="beam-reinft-IIInd_floor6"/>
      <sheetName val="Approved_MTD_Proj_#'s6"/>
      <sheetName val="MN_T_B_6"/>
      <sheetName val="CFForecast_detail6"/>
      <sheetName val="Site_Dev_BOQ6"/>
      <sheetName val="Break_up_Sheet6"/>
      <sheetName val="Load_Details-220kV6"/>
      <sheetName val="Block_A_-_BOQ6"/>
      <sheetName val="LBO_Financials"/>
      <sheetName val="CABLE_DATA1"/>
      <sheetName val="1st_flr1"/>
      <sheetName val="Civil_Boq1"/>
      <sheetName val="final_abstract1"/>
      <sheetName val="Rate_analysis1"/>
      <sheetName val="MIS_-_kINR1"/>
      <sheetName val="QoQ_In_Lakhs"/>
      <sheetName val="Theatre_mgmt_cont"/>
      <sheetName val="Open_Items-311208"/>
      <sheetName val="WC analytics (+data pages)"/>
      <sheetName val="register"/>
      <sheetName val="Cash_Flow_Working"/>
      <sheetName val="ANN_K"/>
      <sheetName val="I"/>
      <sheetName val="CPR"/>
      <sheetName val="MARCH"/>
      <sheetName val="SEP "/>
      <sheetName val="dlvoid"/>
    </sheetNames>
    <sheetDataSet>
      <sheetData sheetId="0" refreshError="1">
        <row r="65">
          <cell r="A65" t="str">
            <v>(II)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>
        <row r="65">
          <cell r="A65" t="str">
            <v>(II)</v>
          </cell>
        </row>
      </sheetData>
      <sheetData sheetId="86">
        <row r="65">
          <cell r="A65" t="str">
            <v>(II)</v>
          </cell>
        </row>
      </sheetData>
      <sheetData sheetId="87">
        <row r="65">
          <cell r="A65" t="str">
            <v>(II)</v>
          </cell>
        </row>
      </sheetData>
      <sheetData sheetId="88" refreshError="1"/>
      <sheetData sheetId="89" refreshError="1"/>
      <sheetData sheetId="90">
        <row r="65">
          <cell r="A65" t="str">
            <v>(II)</v>
          </cell>
        </row>
      </sheetData>
      <sheetData sheetId="91">
        <row r="65">
          <cell r="A65" t="str">
            <v>(II)</v>
          </cell>
        </row>
      </sheetData>
      <sheetData sheetId="92">
        <row r="65">
          <cell r="A65" t="str">
            <v>(II)</v>
          </cell>
        </row>
      </sheetData>
      <sheetData sheetId="93">
        <row r="65">
          <cell r="A65" t="str">
            <v>(II)</v>
          </cell>
        </row>
      </sheetData>
      <sheetData sheetId="94">
        <row r="65">
          <cell r="A65" t="str">
            <v>(II)</v>
          </cell>
        </row>
      </sheetData>
      <sheetData sheetId="95">
        <row r="65">
          <cell r="A65" t="str">
            <v>(II)</v>
          </cell>
        </row>
      </sheetData>
      <sheetData sheetId="96">
        <row r="65">
          <cell r="A65" t="str">
            <v>(II)</v>
          </cell>
        </row>
      </sheetData>
      <sheetData sheetId="97">
        <row r="65">
          <cell r="A65" t="str">
            <v>(II)</v>
          </cell>
        </row>
      </sheetData>
      <sheetData sheetId="98">
        <row r="65">
          <cell r="A65" t="str">
            <v>(II)</v>
          </cell>
        </row>
      </sheetData>
      <sheetData sheetId="99">
        <row r="65">
          <cell r="A65" t="str">
            <v>(II)</v>
          </cell>
        </row>
      </sheetData>
      <sheetData sheetId="100">
        <row r="65">
          <cell r="A65" t="str">
            <v>(II)</v>
          </cell>
        </row>
      </sheetData>
      <sheetData sheetId="101">
        <row r="65">
          <cell r="A65" t="str">
            <v>(II)</v>
          </cell>
        </row>
      </sheetData>
      <sheetData sheetId="102">
        <row r="65">
          <cell r="A65" t="str">
            <v>(II)</v>
          </cell>
        </row>
      </sheetData>
      <sheetData sheetId="103">
        <row r="65">
          <cell r="A65" t="str">
            <v>(II)</v>
          </cell>
        </row>
      </sheetData>
      <sheetData sheetId="104">
        <row r="65">
          <cell r="A65" t="str">
            <v>(II)</v>
          </cell>
        </row>
      </sheetData>
      <sheetData sheetId="105">
        <row r="65">
          <cell r="A65" t="str">
            <v>(II)</v>
          </cell>
        </row>
      </sheetData>
      <sheetData sheetId="106">
        <row r="65">
          <cell r="A65" t="str">
            <v>(II)</v>
          </cell>
        </row>
      </sheetData>
      <sheetData sheetId="107">
        <row r="65">
          <cell r="A65" t="str">
            <v>(II)</v>
          </cell>
        </row>
      </sheetData>
      <sheetData sheetId="108">
        <row r="65">
          <cell r="A65" t="str">
            <v>(II)</v>
          </cell>
        </row>
      </sheetData>
      <sheetData sheetId="109">
        <row r="65">
          <cell r="A65" t="str">
            <v>(II)</v>
          </cell>
        </row>
      </sheetData>
      <sheetData sheetId="110">
        <row r="65">
          <cell r="A65" t="str">
            <v>(II)</v>
          </cell>
        </row>
      </sheetData>
      <sheetData sheetId="111">
        <row r="65">
          <cell r="A65" t="str">
            <v>(II)</v>
          </cell>
        </row>
      </sheetData>
      <sheetData sheetId="112">
        <row r="65">
          <cell r="A65" t="str">
            <v>(II)</v>
          </cell>
        </row>
      </sheetData>
      <sheetData sheetId="113">
        <row r="65">
          <cell r="A65" t="str">
            <v>(II)</v>
          </cell>
        </row>
      </sheetData>
      <sheetData sheetId="114">
        <row r="65">
          <cell r="A65" t="str">
            <v>(II)</v>
          </cell>
        </row>
      </sheetData>
      <sheetData sheetId="115">
        <row r="65">
          <cell r="A65" t="str">
            <v>(II)</v>
          </cell>
        </row>
      </sheetData>
      <sheetData sheetId="116">
        <row r="65">
          <cell r="A65" t="str">
            <v>(II)</v>
          </cell>
        </row>
      </sheetData>
      <sheetData sheetId="117">
        <row r="65">
          <cell r="A65" t="str">
            <v>(II)</v>
          </cell>
        </row>
      </sheetData>
      <sheetData sheetId="118">
        <row r="65">
          <cell r="A65" t="str">
            <v>(II)</v>
          </cell>
        </row>
      </sheetData>
      <sheetData sheetId="119">
        <row r="65">
          <cell r="A65" t="str">
            <v>(II)</v>
          </cell>
        </row>
      </sheetData>
      <sheetData sheetId="120">
        <row r="65">
          <cell r="A65" t="str">
            <v>(II)</v>
          </cell>
        </row>
      </sheetData>
      <sheetData sheetId="121">
        <row r="65">
          <cell r="A65" t="str">
            <v>(II)</v>
          </cell>
        </row>
      </sheetData>
      <sheetData sheetId="122">
        <row r="65">
          <cell r="A65" t="str">
            <v>(II)</v>
          </cell>
        </row>
      </sheetData>
      <sheetData sheetId="123">
        <row r="65">
          <cell r="A65" t="str">
            <v>(II)</v>
          </cell>
        </row>
      </sheetData>
      <sheetData sheetId="124">
        <row r="65">
          <cell r="A65" t="str">
            <v>(II)</v>
          </cell>
        </row>
      </sheetData>
      <sheetData sheetId="125">
        <row r="65">
          <cell r="A65" t="str">
            <v>(II)</v>
          </cell>
        </row>
      </sheetData>
      <sheetData sheetId="126">
        <row r="65">
          <cell r="A65" t="str">
            <v>(II)</v>
          </cell>
        </row>
      </sheetData>
      <sheetData sheetId="127">
        <row r="65">
          <cell r="A65" t="str">
            <v>(II)</v>
          </cell>
        </row>
      </sheetData>
      <sheetData sheetId="128">
        <row r="65">
          <cell r="A65" t="str">
            <v>(II)</v>
          </cell>
        </row>
      </sheetData>
      <sheetData sheetId="129">
        <row r="65">
          <cell r="A65" t="str">
            <v>(II)</v>
          </cell>
        </row>
      </sheetData>
      <sheetData sheetId="130">
        <row r="65">
          <cell r="A65" t="str">
            <v>(II)</v>
          </cell>
        </row>
      </sheetData>
      <sheetData sheetId="131">
        <row r="65">
          <cell r="A65" t="str">
            <v>(II)</v>
          </cell>
        </row>
      </sheetData>
      <sheetData sheetId="132">
        <row r="65">
          <cell r="A65" t="str">
            <v>(II)</v>
          </cell>
        </row>
      </sheetData>
      <sheetData sheetId="133">
        <row r="65">
          <cell r="A65" t="str">
            <v>(II)</v>
          </cell>
        </row>
      </sheetData>
      <sheetData sheetId="134">
        <row r="65">
          <cell r="A65" t="str">
            <v>(II)</v>
          </cell>
        </row>
      </sheetData>
      <sheetData sheetId="135">
        <row r="65">
          <cell r="A65" t="str">
            <v>(II)</v>
          </cell>
        </row>
      </sheetData>
      <sheetData sheetId="136">
        <row r="65">
          <cell r="A65" t="str">
            <v>(II)</v>
          </cell>
        </row>
      </sheetData>
      <sheetData sheetId="137">
        <row r="65">
          <cell r="A65" t="str">
            <v>(II)</v>
          </cell>
        </row>
      </sheetData>
      <sheetData sheetId="138">
        <row r="65">
          <cell r="A65" t="str">
            <v>(II)</v>
          </cell>
        </row>
      </sheetData>
      <sheetData sheetId="139">
        <row r="65">
          <cell r="A65" t="str">
            <v>(II)</v>
          </cell>
        </row>
      </sheetData>
      <sheetData sheetId="140">
        <row r="65">
          <cell r="A65" t="str">
            <v>(II)</v>
          </cell>
        </row>
      </sheetData>
      <sheetData sheetId="141">
        <row r="65">
          <cell r="A65" t="str">
            <v>(II)</v>
          </cell>
        </row>
      </sheetData>
      <sheetData sheetId="142">
        <row r="65">
          <cell r="A65" t="str">
            <v>(II)</v>
          </cell>
        </row>
      </sheetData>
      <sheetData sheetId="143">
        <row r="65">
          <cell r="A65" t="str">
            <v>(II)</v>
          </cell>
        </row>
      </sheetData>
      <sheetData sheetId="144">
        <row r="65">
          <cell r="A65" t="str">
            <v>(II)</v>
          </cell>
        </row>
      </sheetData>
      <sheetData sheetId="145">
        <row r="65">
          <cell r="A65" t="str">
            <v>(II)</v>
          </cell>
        </row>
      </sheetData>
      <sheetData sheetId="146">
        <row r="65">
          <cell r="A65" t="str">
            <v>(II)</v>
          </cell>
        </row>
      </sheetData>
      <sheetData sheetId="147">
        <row r="65">
          <cell r="A65" t="str">
            <v>(II)</v>
          </cell>
        </row>
      </sheetData>
      <sheetData sheetId="148">
        <row r="65">
          <cell r="A65" t="str">
            <v>(II)</v>
          </cell>
        </row>
      </sheetData>
      <sheetData sheetId="149">
        <row r="65">
          <cell r="A65" t="str">
            <v>(II)</v>
          </cell>
        </row>
      </sheetData>
      <sheetData sheetId="150">
        <row r="65">
          <cell r="A65" t="str">
            <v>(II)</v>
          </cell>
        </row>
      </sheetData>
      <sheetData sheetId="151">
        <row r="65">
          <cell r="A65" t="str">
            <v>(II)</v>
          </cell>
        </row>
      </sheetData>
      <sheetData sheetId="152">
        <row r="65">
          <cell r="A65" t="str">
            <v>(II)</v>
          </cell>
        </row>
      </sheetData>
      <sheetData sheetId="153">
        <row r="65">
          <cell r="A65" t="str">
            <v>(II)</v>
          </cell>
        </row>
      </sheetData>
      <sheetData sheetId="154">
        <row r="65">
          <cell r="A65" t="str">
            <v>(II)</v>
          </cell>
        </row>
      </sheetData>
      <sheetData sheetId="155">
        <row r="65">
          <cell r="A65" t="str">
            <v>(II)</v>
          </cell>
        </row>
      </sheetData>
      <sheetData sheetId="156">
        <row r="65">
          <cell r="A65" t="str">
            <v>(II)</v>
          </cell>
        </row>
      </sheetData>
      <sheetData sheetId="157">
        <row r="65">
          <cell r="A65" t="str">
            <v>(II)</v>
          </cell>
        </row>
      </sheetData>
      <sheetData sheetId="158">
        <row r="65">
          <cell r="A65" t="str">
            <v>(II)</v>
          </cell>
        </row>
      </sheetData>
      <sheetData sheetId="159">
        <row r="65">
          <cell r="A65" t="str">
            <v>(II)</v>
          </cell>
        </row>
      </sheetData>
      <sheetData sheetId="160">
        <row r="65">
          <cell r="A65" t="str">
            <v>(II)</v>
          </cell>
        </row>
      </sheetData>
      <sheetData sheetId="161">
        <row r="65">
          <cell r="A65" t="str">
            <v>(II)</v>
          </cell>
        </row>
      </sheetData>
      <sheetData sheetId="162">
        <row r="65">
          <cell r="A65" t="str">
            <v>(II)</v>
          </cell>
        </row>
      </sheetData>
      <sheetData sheetId="163">
        <row r="65">
          <cell r="A65" t="str">
            <v>(II)</v>
          </cell>
        </row>
      </sheetData>
      <sheetData sheetId="164">
        <row r="65">
          <cell r="A65" t="str">
            <v>(II)</v>
          </cell>
        </row>
      </sheetData>
      <sheetData sheetId="165">
        <row r="65">
          <cell r="A65" t="str">
            <v>(II)</v>
          </cell>
        </row>
      </sheetData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>
        <row r="65">
          <cell r="A65" t="str">
            <v>(II)</v>
          </cell>
        </row>
      </sheetData>
      <sheetData sheetId="295">
        <row r="65">
          <cell r="A65" t="str">
            <v>(II)</v>
          </cell>
        </row>
      </sheetData>
      <sheetData sheetId="296">
        <row r="65">
          <cell r="A65" t="str">
            <v>(II)</v>
          </cell>
        </row>
      </sheetData>
      <sheetData sheetId="297">
        <row r="65">
          <cell r="A65" t="str">
            <v>(II)</v>
          </cell>
        </row>
      </sheetData>
      <sheetData sheetId="298">
        <row r="65">
          <cell r="A65" t="str">
            <v>(II)</v>
          </cell>
        </row>
      </sheetData>
      <sheetData sheetId="299">
        <row r="65">
          <cell r="A65" t="str">
            <v>(II)</v>
          </cell>
        </row>
      </sheetData>
      <sheetData sheetId="300">
        <row r="65">
          <cell r="A65" t="str">
            <v>(II)</v>
          </cell>
        </row>
      </sheetData>
      <sheetData sheetId="301">
        <row r="65">
          <cell r="A65" t="str">
            <v>(II)</v>
          </cell>
        </row>
      </sheetData>
      <sheetData sheetId="302">
        <row r="65">
          <cell r="A65" t="str">
            <v>(II)</v>
          </cell>
        </row>
      </sheetData>
      <sheetData sheetId="303">
        <row r="65">
          <cell r="A65" t="str">
            <v>(II)</v>
          </cell>
        </row>
      </sheetData>
      <sheetData sheetId="304">
        <row r="65">
          <cell r="A65" t="str">
            <v>(II)</v>
          </cell>
        </row>
      </sheetData>
      <sheetData sheetId="305">
        <row r="65">
          <cell r="A65" t="str">
            <v>(II)</v>
          </cell>
        </row>
      </sheetData>
      <sheetData sheetId="306">
        <row r="65">
          <cell r="A65" t="str">
            <v>(II)</v>
          </cell>
        </row>
      </sheetData>
      <sheetData sheetId="307">
        <row r="65">
          <cell r="A65" t="str">
            <v>(II)</v>
          </cell>
        </row>
      </sheetData>
      <sheetData sheetId="308">
        <row r="65">
          <cell r="A65" t="str">
            <v>(II)</v>
          </cell>
        </row>
      </sheetData>
      <sheetData sheetId="309">
        <row r="65">
          <cell r="A65" t="str">
            <v>(II)</v>
          </cell>
        </row>
      </sheetData>
      <sheetData sheetId="310">
        <row r="65">
          <cell r="A65" t="str">
            <v>(II)</v>
          </cell>
        </row>
      </sheetData>
      <sheetData sheetId="311">
        <row r="65">
          <cell r="A65" t="str">
            <v>(II)</v>
          </cell>
        </row>
      </sheetData>
      <sheetData sheetId="312">
        <row r="65">
          <cell r="A65" t="str">
            <v>(II)</v>
          </cell>
        </row>
      </sheetData>
      <sheetData sheetId="313">
        <row r="65">
          <cell r="A65" t="str">
            <v>(II)</v>
          </cell>
        </row>
      </sheetData>
      <sheetData sheetId="314">
        <row r="65">
          <cell r="A65" t="str">
            <v>(II)</v>
          </cell>
        </row>
      </sheetData>
      <sheetData sheetId="315">
        <row r="65">
          <cell r="A65" t="str">
            <v>(II)</v>
          </cell>
        </row>
      </sheetData>
      <sheetData sheetId="316">
        <row r="65">
          <cell r="A65" t="str">
            <v>(II)</v>
          </cell>
        </row>
      </sheetData>
      <sheetData sheetId="317">
        <row r="65">
          <cell r="A65" t="str">
            <v>(II)</v>
          </cell>
        </row>
      </sheetData>
      <sheetData sheetId="318">
        <row r="65">
          <cell r="A65" t="str">
            <v>(II)</v>
          </cell>
        </row>
      </sheetData>
      <sheetData sheetId="319">
        <row r="65">
          <cell r="A65" t="str">
            <v>(II)</v>
          </cell>
        </row>
      </sheetData>
      <sheetData sheetId="320">
        <row r="65">
          <cell r="A65" t="str">
            <v>(II)</v>
          </cell>
        </row>
      </sheetData>
      <sheetData sheetId="321">
        <row r="65">
          <cell r="A65" t="str">
            <v>(II)</v>
          </cell>
        </row>
      </sheetData>
      <sheetData sheetId="322">
        <row r="65">
          <cell r="A65" t="str">
            <v>(II)</v>
          </cell>
        </row>
      </sheetData>
      <sheetData sheetId="323">
        <row r="65">
          <cell r="A65" t="str">
            <v>(II)</v>
          </cell>
        </row>
      </sheetData>
      <sheetData sheetId="324">
        <row r="65">
          <cell r="A65" t="str">
            <v>(II)</v>
          </cell>
        </row>
      </sheetData>
      <sheetData sheetId="325">
        <row r="65">
          <cell r="A65" t="str">
            <v>(II)</v>
          </cell>
        </row>
      </sheetData>
      <sheetData sheetId="326">
        <row r="65">
          <cell r="A65" t="str">
            <v>(II)</v>
          </cell>
        </row>
      </sheetData>
      <sheetData sheetId="327">
        <row r="65">
          <cell r="A65" t="str">
            <v>(II)</v>
          </cell>
        </row>
      </sheetData>
      <sheetData sheetId="328">
        <row r="65">
          <cell r="A65" t="str">
            <v>(II)</v>
          </cell>
        </row>
      </sheetData>
      <sheetData sheetId="329">
        <row r="65">
          <cell r="A65" t="str">
            <v>(II)</v>
          </cell>
        </row>
      </sheetData>
      <sheetData sheetId="330">
        <row r="65">
          <cell r="A65" t="str">
            <v>(II)</v>
          </cell>
        </row>
      </sheetData>
      <sheetData sheetId="331">
        <row r="65">
          <cell r="A65" t="str">
            <v>(II)</v>
          </cell>
        </row>
      </sheetData>
      <sheetData sheetId="332">
        <row r="65">
          <cell r="A65" t="str">
            <v>(II)</v>
          </cell>
        </row>
      </sheetData>
      <sheetData sheetId="333">
        <row r="65">
          <cell r="A65" t="str">
            <v>(II)</v>
          </cell>
        </row>
      </sheetData>
      <sheetData sheetId="334">
        <row r="65">
          <cell r="A65" t="str">
            <v>(II)</v>
          </cell>
        </row>
      </sheetData>
      <sheetData sheetId="335">
        <row r="65">
          <cell r="A65" t="str">
            <v>(II)</v>
          </cell>
        </row>
      </sheetData>
      <sheetData sheetId="336">
        <row r="65">
          <cell r="A65" t="str">
            <v>(II)</v>
          </cell>
        </row>
      </sheetData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>
        <row r="65">
          <cell r="A65" t="str">
            <v>(II)</v>
          </cell>
        </row>
      </sheetData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>
        <row r="65">
          <cell r="A65" t="str">
            <v>(II)</v>
          </cell>
        </row>
      </sheetData>
      <sheetData sheetId="498">
        <row r="65">
          <cell r="A65" t="str">
            <v>(II)</v>
          </cell>
        </row>
      </sheetData>
      <sheetData sheetId="499">
        <row r="65">
          <cell r="A65" t="str">
            <v>(II)</v>
          </cell>
        </row>
      </sheetData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/>
      <sheetData sheetId="616"/>
      <sheetData sheetId="617"/>
      <sheetData sheetId="618"/>
      <sheetData sheetId="619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/>
      <sheetData sheetId="661"/>
      <sheetData sheetId="662"/>
      <sheetData sheetId="663"/>
      <sheetData sheetId="664"/>
      <sheetData sheetId="665"/>
      <sheetData sheetId="666">
        <row r="65">
          <cell r="A65" t="str">
            <v>(II)</v>
          </cell>
        </row>
      </sheetData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 refreshError="1"/>
      <sheetData sheetId="691" refreshError="1"/>
      <sheetData sheetId="692" refreshError="1"/>
      <sheetData sheetId="693">
        <row r="65">
          <cell r="A65" t="str">
            <v>(II)</v>
          </cell>
        </row>
      </sheetData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 refreshError="1"/>
      <sheetData sheetId="709"/>
      <sheetData sheetId="710"/>
      <sheetData sheetId="711"/>
      <sheetData sheetId="712"/>
      <sheetData sheetId="713"/>
      <sheetData sheetId="714"/>
      <sheetData sheetId="715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>
        <row r="65">
          <cell r="A65" t="str">
            <v>(II)</v>
          </cell>
        </row>
      </sheetData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 refreshError="1"/>
      <sheetData sheetId="769" refreshError="1"/>
      <sheetData sheetId="770"/>
      <sheetData sheetId="771"/>
      <sheetData sheetId="772" refreshError="1"/>
      <sheetData sheetId="773" refreshError="1"/>
      <sheetData sheetId="774" refreshError="1"/>
      <sheetData sheetId="775" refreshError="1"/>
      <sheetData sheetId="776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c"/>
      <sheetName val="Term Contract Premiums"/>
      <sheetName val="Int Daily"/>
      <sheetName val="International"/>
      <sheetName val="Domestic"/>
      <sheetName val="Dom Weekly"/>
      <sheetName val="Price Product"/>
      <sheetName val="cost-to-user info"/>
      <sheetName val="Sheet1"/>
      <sheetName val="naphtha-prices-pt"/>
      <sheetName val="Naphtha-SOTM"/>
      <sheetName val="UPDATE"/>
      <sheetName val="Naphtha-PT"/>
      <sheetName val="Sheet2"/>
      <sheetName val="Int-Bloomberg-Daily"/>
      <sheetName val="Int-Bloomberg-mthly"/>
      <sheetName val="Price Product-new graph"/>
      <sheetName val="Naphtha-SOTM-old"/>
      <sheetName val="report"/>
      <sheetName val="International-Bloomberg-mthly"/>
      <sheetName val="KG-DWN"/>
      <sheetName val="Internet"/>
      <sheetName val="eva"/>
      <sheetName val="NOPAT_VDF"/>
      <sheetName val="Invested capital_VDF"/>
      <sheetName val="#REF"/>
    </sheetNames>
    <sheetDataSet>
      <sheetData sheetId="0"/>
      <sheetData sheetId="1"/>
      <sheetData sheetId="2"/>
      <sheetData sheetId="3" refreshError="1">
        <row r="29">
          <cell r="B29">
            <v>33512</v>
          </cell>
        </row>
        <row r="30">
          <cell r="B30">
            <v>33543</v>
          </cell>
        </row>
        <row r="31">
          <cell r="B31">
            <v>33573</v>
          </cell>
        </row>
        <row r="32">
          <cell r="B32">
            <v>33604</v>
          </cell>
        </row>
        <row r="33">
          <cell r="B33">
            <v>33635</v>
          </cell>
        </row>
        <row r="34">
          <cell r="B34">
            <v>33664</v>
          </cell>
        </row>
        <row r="35">
          <cell r="B35">
            <v>33695</v>
          </cell>
        </row>
        <row r="36">
          <cell r="B36">
            <v>33725</v>
          </cell>
        </row>
        <row r="37">
          <cell r="B37">
            <v>33756</v>
          </cell>
        </row>
        <row r="38">
          <cell r="B38">
            <v>33786</v>
          </cell>
        </row>
        <row r="39">
          <cell r="B39">
            <v>33817</v>
          </cell>
        </row>
        <row r="40">
          <cell r="B40">
            <v>33848</v>
          </cell>
        </row>
        <row r="41">
          <cell r="B41">
            <v>33878</v>
          </cell>
        </row>
        <row r="42">
          <cell r="B42">
            <v>33909</v>
          </cell>
        </row>
        <row r="43">
          <cell r="B43">
            <v>33939</v>
          </cell>
        </row>
        <row r="44">
          <cell r="B44">
            <v>33970</v>
          </cell>
        </row>
        <row r="45">
          <cell r="B45">
            <v>34001</v>
          </cell>
        </row>
        <row r="46">
          <cell r="B46">
            <v>34029</v>
          </cell>
        </row>
        <row r="47">
          <cell r="B47">
            <v>34060</v>
          </cell>
        </row>
        <row r="48">
          <cell r="B48">
            <v>34090</v>
          </cell>
        </row>
        <row r="49">
          <cell r="B49">
            <v>34121</v>
          </cell>
        </row>
        <row r="50">
          <cell r="B50">
            <v>34151</v>
          </cell>
        </row>
        <row r="51">
          <cell r="B51" t="str">
            <v>Aug</v>
          </cell>
        </row>
        <row r="52">
          <cell r="B52">
            <v>34213</v>
          </cell>
        </row>
        <row r="53">
          <cell r="B53">
            <v>34243</v>
          </cell>
        </row>
        <row r="54">
          <cell r="B54">
            <v>34274</v>
          </cell>
        </row>
        <row r="55">
          <cell r="B55">
            <v>34304</v>
          </cell>
        </row>
        <row r="56">
          <cell r="B56">
            <v>34335</v>
          </cell>
        </row>
        <row r="57">
          <cell r="B57">
            <v>34366</v>
          </cell>
        </row>
        <row r="58">
          <cell r="B58">
            <v>34394</v>
          </cell>
        </row>
        <row r="59">
          <cell r="B59">
            <v>34425</v>
          </cell>
        </row>
        <row r="60">
          <cell r="B60">
            <v>34455</v>
          </cell>
        </row>
        <row r="61">
          <cell r="B61">
            <v>34486</v>
          </cell>
        </row>
        <row r="62">
          <cell r="B62">
            <v>34516</v>
          </cell>
        </row>
        <row r="63">
          <cell r="B63">
            <v>34547</v>
          </cell>
        </row>
        <row r="64">
          <cell r="B64">
            <v>34578</v>
          </cell>
        </row>
        <row r="65">
          <cell r="B65">
            <v>34608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 (2)"/>
      <sheetName val="Income Statements"/>
      <sheetName val="Sheet3 _2_"/>
      <sheetName val="Acc_10.5"/>
      <sheetName val="QoQ Forecast"/>
      <sheetName val="Set"/>
      <sheetName val="new_data"/>
      <sheetName val="earnmodl"/>
      <sheetName val="Dom Cell (IS)"/>
      <sheetName val="sheet6"/>
      <sheetName val="Assumptions"/>
      <sheetName val="BBEuros"/>
      <sheetName val="EBITDA"/>
      <sheetName val="DEPRE"/>
      <sheetName val="InvoiceList"/>
      <sheetName val="Income &amp; Occupancy Customer"/>
      <sheetName val="Sheet1"/>
      <sheetName val="Portfolio Summary"/>
      <sheetName val="Depreciation"/>
      <sheetName val="Current Bill MB ref"/>
      <sheetName val="Meas.-Hotel Part"/>
      <sheetName val="ABP inputs"/>
      <sheetName val="Synergy Sales Budget"/>
      <sheetName val="Summary"/>
      <sheetName val="노무비"/>
      <sheetName val="Project Budget Worksheet"/>
      <sheetName val="analysis"/>
      <sheetName val="Calculation (2)"/>
      <sheetName val="JCF"/>
      <sheetName val="Multiple output"/>
      <sheetName val="유통망계획"/>
      <sheetName val="Builtup Area"/>
      <sheetName val="Headings"/>
      <sheetName val="RCC,Ret. Wall"/>
      <sheetName val="BOQ T4B"/>
      <sheetName val="F1a-Pile"/>
      <sheetName val="CV"/>
      <sheetName val="ES(Kor)"/>
      <sheetName val="INDIGINEOUS ITEMS "/>
      <sheetName val="fco"/>
      <sheetName val="Formulas"/>
      <sheetName val="Global Assm."/>
      <sheetName val="Aladdin Macro1"/>
      <sheetName val="BalSht"/>
      <sheetName val="Sheet3_(2)"/>
      <sheetName val="Income_Statements"/>
      <sheetName val="QoQ_Forecast"/>
      <sheetName val="Sheet3__2_"/>
      <sheetName val="Acc_10_5"/>
      <sheetName val="Aladdin_Macro1"/>
      <sheetName val="TB_FOR_MIS"/>
      <sheetName val="Area"/>
      <sheetName val="TB FOR MIS"/>
      <sheetName val="INPUT SHEET"/>
      <sheetName val="Approved MTD Proj #'s"/>
      <sheetName val="CapitalOutlay"/>
      <sheetName val="Assum"/>
      <sheetName val="Sheet2"/>
      <sheetName val="Material "/>
      <sheetName val="Labour &amp; Plant"/>
      <sheetName val="Lead"/>
      <sheetName val="Main-Material"/>
      <sheetName val="GBW"/>
      <sheetName val="Design"/>
      <sheetName val="BOQ"/>
      <sheetName val=" B3"/>
      <sheetName val=" B1"/>
      <sheetName val="beam-reinft-IIInd floor"/>
      <sheetName val="TIll_Q_sal"/>
      <sheetName val="tiller"/>
      <sheetName val="van khuon"/>
      <sheetName val="Names"/>
      <sheetName val="MN T.B."/>
      <sheetName val="CFForecast detail"/>
      <sheetName val="Site Dev BOQ"/>
      <sheetName val="Break up Sheet"/>
      <sheetName val="Load Details-220kV"/>
      <sheetName val="Block A - BOQ"/>
      <sheetName val="Introduction"/>
      <sheetName val="IDC macro"/>
      <sheetName val="SALE"/>
      <sheetName val="March Analysts"/>
      <sheetName val="IMPORT T12"/>
      <sheetName val="Company"/>
      <sheetName val="SCH-E-1"/>
      <sheetName val="Inputs"/>
      <sheetName val="BIPR"/>
      <sheetName val="BPCA"/>
      <sheetName val="BBRS"/>
      <sheetName val="KPM DT"/>
      <sheetName val="compu"/>
      <sheetName val="PLAN_FEB97"/>
      <sheetName val="Fin Sum"/>
      <sheetName val="Index"/>
      <sheetName val="Rates"/>
      <sheetName val="CARO"/>
      <sheetName val="Sheet3_(2)1"/>
      <sheetName val="van_khuon"/>
      <sheetName val="Sheet3__2_1"/>
      <sheetName val="Global_Assm_"/>
      <sheetName val="IDC_macro"/>
      <sheetName val="Income_&amp;_Occupancy_Customer"/>
      <sheetName val="ABP_inputs"/>
      <sheetName val="Synergy_Sales_Budget"/>
      <sheetName val="Project_Budget_Worksheet"/>
      <sheetName val="Calculation_(2)"/>
      <sheetName val="Multiple_output"/>
      <sheetName val="Builtup_Area"/>
      <sheetName val="RCC,Ret__Wall"/>
      <sheetName val="BOQ_T4B"/>
      <sheetName val="INDIGINEOUS_ITEMS_"/>
      <sheetName val="Portfolio_Summary"/>
      <sheetName val="Current_Bill_MB_ref"/>
      <sheetName val="Meas_-Hotel_Part"/>
      <sheetName val="Approved_MTD_Proj_#'s"/>
      <sheetName val="Fin_Sum"/>
      <sheetName val="Summary Excise"/>
      <sheetName val="BS"/>
      <sheetName val="Other BS Sch 5-9"/>
      <sheetName val="Excess Calc"/>
      <sheetName val="Grouping Master"/>
      <sheetName val="M-2 Adjusted"/>
      <sheetName val="OpTrack"/>
      <sheetName val="ras"/>
      <sheetName val="Main Sheet (MTD)"/>
      <sheetName val="Consl Daily Report"/>
      <sheetName val="strand"/>
      <sheetName val="Rollup Summary"/>
      <sheetName val="Vind-BtB"/>
      <sheetName val="Material_"/>
      <sheetName val="Labour_&amp;_Plant"/>
      <sheetName val="_B3"/>
      <sheetName val="_B1"/>
      <sheetName val="beam-reinft-IIInd_floor"/>
      <sheetName val="MN_T_B_"/>
      <sheetName val="CFForecast_detail"/>
      <sheetName val="Site_Dev_BOQ"/>
      <sheetName val="Break_up_Sheet"/>
      <sheetName val="Load_Details-220kV"/>
      <sheetName val="Block_A_-_BOQ"/>
      <sheetName val="ABP_inputs1"/>
      <sheetName val="Synergy_Sales_Budget1"/>
      <sheetName val="Project_Budget_Worksheet1"/>
      <sheetName val="QoQ_Forecast1"/>
      <sheetName val="Income_Statements1"/>
      <sheetName val="Income_&amp;_Occupancy_Customer1"/>
      <sheetName val="RCC,Ret__Wall1"/>
      <sheetName val="Calculation_(2)1"/>
      <sheetName val="Multiple_output1"/>
      <sheetName val="Builtup_Area1"/>
      <sheetName val="BOQ_T4B1"/>
      <sheetName val="INDIGINEOUS_ITEMS_1"/>
      <sheetName val="Material_1"/>
      <sheetName val="Labour_&amp;_Plant1"/>
      <sheetName val="Approved_MTD_Proj_#'s1"/>
      <sheetName val="_B31"/>
      <sheetName val="_B11"/>
      <sheetName val="beam-reinft-IIInd_floor1"/>
      <sheetName val="Aladdin_Macro11"/>
      <sheetName val="Acc_10_51"/>
      <sheetName val="Global_Assm_1"/>
      <sheetName val="MN_T_B_1"/>
      <sheetName val="CFForecast_detail1"/>
      <sheetName val="Site_Dev_BOQ1"/>
      <sheetName val="Break_up_Sheet1"/>
      <sheetName val="Load_Details-220kV1"/>
      <sheetName val="Block_A_-_BOQ1"/>
      <sheetName val="Sheet3_(2)2"/>
      <sheetName val="ABP_inputs2"/>
      <sheetName val="Synergy_Sales_Budget2"/>
      <sheetName val="Project_Budget_Worksheet2"/>
      <sheetName val="QoQ_Forecast2"/>
      <sheetName val="Income_Statements2"/>
      <sheetName val="Sheet3__2_2"/>
      <sheetName val="Income_&amp;_Occupancy_Customer2"/>
      <sheetName val="RCC,Ret__Wall2"/>
      <sheetName val="Calculation_(2)2"/>
      <sheetName val="Multiple_output2"/>
      <sheetName val="Builtup_Area2"/>
      <sheetName val="BOQ_T4B2"/>
      <sheetName val="INDIGINEOUS_ITEMS_2"/>
      <sheetName val="Material_2"/>
      <sheetName val="Labour_&amp;_Plant2"/>
      <sheetName val="Approved_MTD_Proj_#'s2"/>
      <sheetName val="_B32"/>
      <sheetName val="_B12"/>
      <sheetName val="beam-reinft-IIInd_floor2"/>
      <sheetName val="Aladdin_Macro12"/>
      <sheetName val="Acc_10_52"/>
      <sheetName val="Global_Assm_2"/>
      <sheetName val="MN_T_B_2"/>
      <sheetName val="CFForecast_detail2"/>
      <sheetName val="Site_Dev_BOQ2"/>
      <sheetName val="Break_up_Sheet2"/>
      <sheetName val="Load_Details-220kV2"/>
      <sheetName val="Block_A_-_BOQ2"/>
      <sheetName val="Occ"/>
      <sheetName val="Demand"/>
      <sheetName val="Ref"/>
      <sheetName val="download"/>
      <sheetName val="170810-lease tax"/>
      <sheetName val="Sheet3_(2)3"/>
      <sheetName val="ABP_inputs3"/>
      <sheetName val="Synergy_Sales_Budget3"/>
      <sheetName val="Project_Budget_Worksheet3"/>
      <sheetName val="QoQ_Forecast3"/>
      <sheetName val="Income_Statements3"/>
      <sheetName val="Sheet3__2_3"/>
      <sheetName val="Income_&amp;_Occupancy_Customer3"/>
      <sheetName val="RCC,Ret__Wall3"/>
      <sheetName val="Calculation_(2)3"/>
      <sheetName val="Multiple_output3"/>
      <sheetName val="Builtup_Area3"/>
      <sheetName val="BOQ_T4B3"/>
      <sheetName val="INDIGINEOUS_ITEMS_3"/>
      <sheetName val="Material_3"/>
      <sheetName val="Labour_&amp;_Plant3"/>
      <sheetName val="Approved_MTD_Proj_#'s3"/>
      <sheetName val="_B33"/>
      <sheetName val="_B13"/>
      <sheetName val="beam-reinft-IIInd_floor3"/>
      <sheetName val="Aladdin_Macro13"/>
      <sheetName val="Acc_10_53"/>
      <sheetName val="Global_Assm_3"/>
      <sheetName val="MN_T_B_3"/>
      <sheetName val="CFForecast_detail3"/>
      <sheetName val="Site_Dev_BOQ3"/>
      <sheetName val="Break_up_Sheet3"/>
      <sheetName val="Load_Details-220kV3"/>
      <sheetName val="Block_A_-_BOQ3"/>
      <sheetName val="Sheet3_(2)4"/>
      <sheetName val="ABP_inputs4"/>
      <sheetName val="Synergy_Sales_Budget4"/>
      <sheetName val="Project_Budget_Worksheet4"/>
      <sheetName val="QoQ_Forecast4"/>
      <sheetName val="Income_Statements4"/>
      <sheetName val="Sheet3__2_4"/>
      <sheetName val="Income_&amp;_Occupancy_Customer4"/>
      <sheetName val="RCC,Ret__Wall4"/>
      <sheetName val="Calculation_(2)4"/>
      <sheetName val="Multiple_output4"/>
      <sheetName val="Builtup_Area4"/>
      <sheetName val="BOQ_T4B4"/>
      <sheetName val="INDIGINEOUS_ITEMS_4"/>
      <sheetName val="Material_4"/>
      <sheetName val="Labour_&amp;_Plant4"/>
      <sheetName val="Approved_MTD_Proj_#'s4"/>
      <sheetName val="_B34"/>
      <sheetName val="_B14"/>
      <sheetName val="beam-reinft-IIInd_floor4"/>
      <sheetName val="Aladdin_Macro14"/>
      <sheetName val="Acc_10_54"/>
      <sheetName val="Global_Assm_4"/>
      <sheetName val="MN_T_B_4"/>
      <sheetName val="CFForecast_detail4"/>
      <sheetName val="Site_Dev_BOQ4"/>
      <sheetName val="Break_up_Sheet4"/>
      <sheetName val="Load_Details-220kV4"/>
      <sheetName val="Block_A_-_BOQ4"/>
      <sheetName val="CABLE DATA"/>
      <sheetName val="1st flr"/>
      <sheetName val="Civil Boq"/>
      <sheetName val="final abstract"/>
      <sheetName val="Rate analysis"/>
      <sheetName val="02"/>
      <sheetName val="03"/>
      <sheetName val="04"/>
      <sheetName val="01"/>
      <sheetName val="q-details"/>
      <sheetName val=" Acc. Sched."/>
      <sheetName val="AOR"/>
      <sheetName val="EDS  Bestshore Migration"/>
      <sheetName val="Input"/>
      <sheetName val="Preside"/>
      <sheetName val="balance sheet"/>
      <sheetName val="NewCo"/>
      <sheetName val="sept-plan"/>
      <sheetName val="classes"/>
      <sheetName val="IT Block"/>
      <sheetName val="Location CODE"/>
      <sheetName val="Location TYPE"/>
      <sheetName val="sub class"/>
      <sheetName val=" sub Loc "/>
      <sheetName val="Cash Flow Working"/>
      <sheetName val="Master Price List"/>
      <sheetName val="reference"/>
      <sheetName val="P &amp; L"/>
      <sheetName val="Main workings"/>
      <sheetName val="Balance Sheet "/>
      <sheetName val="LISTS"/>
      <sheetName val="CashFlow"/>
      <sheetName val="TB"/>
      <sheetName val="Training Deposits coding"/>
      <sheetName val="Sheet3"/>
      <sheetName val="LBO"/>
      <sheetName val="F"/>
      <sheetName val="EXHIBIT&quot; T&quot;"/>
      <sheetName val="Turnover"/>
      <sheetName val="Factor_Sheet"/>
      <sheetName val="02022005"/>
      <sheetName val="16022005"/>
      <sheetName val="05012005"/>
      <sheetName val="19012005"/>
      <sheetName val="02032005"/>
      <sheetName val="16032005"/>
      <sheetName val="30032005"/>
      <sheetName val="Pay_Sep06"/>
      <sheetName val="RNT"/>
      <sheetName val="Combi"/>
      <sheetName val="Retail Mall"/>
      <sheetName val="International"/>
      <sheetName val="Internet"/>
      <sheetName val="Macro1"/>
      <sheetName val="Licences"/>
      <sheetName val="97-98"/>
      <sheetName val="LBO Financials"/>
      <sheetName val="OpRes"/>
      <sheetName val="master"/>
      <sheetName val="IMPORT_T12"/>
      <sheetName val="KPM_DT"/>
      <sheetName val="Task"/>
      <sheetName val="SODA02"/>
      <sheetName val="Hot"/>
      <sheetName val="Mico"/>
      <sheetName val="PLGroupings"/>
      <sheetName val="Results"/>
      <sheetName val="03 (2)"/>
      <sheetName val="#REF"/>
      <sheetName val="IO LIST"/>
      <sheetName val="Master list"/>
      <sheetName val="Labour List"/>
      <sheetName val="Material List"/>
      <sheetName val="WIng F(Typical)"/>
      <sheetName val="Summ"/>
      <sheetName val="Fossil_DCF"/>
      <sheetName val="SOPMA DD"/>
      <sheetName val="Architectural Summary"/>
      <sheetName val="Legal Risk Analysis"/>
      <sheetName val="Data"/>
      <sheetName val="MASTER_RATE ANALYSIS"/>
      <sheetName val="Valuation - block 2"/>
      <sheetName val="Cover"/>
      <sheetName val="Rs in lacs"/>
      <sheetName val="Params"/>
      <sheetName val="Kontensalden"/>
      <sheetName val="Gen_Ass"/>
      <sheetName val="Op_Ass"/>
      <sheetName val="Staff Costs"/>
      <sheetName val="General_Assumptions"/>
      <sheetName val="MIS - kINR"/>
      <sheetName val="Sheet3_(2)5"/>
      <sheetName val="Sheet3__2_5"/>
      <sheetName val="Calculation_(2)5"/>
      <sheetName val="Multiple_output5"/>
      <sheetName val="170810-lease_tax"/>
      <sheetName val="QoQ_Forecast5"/>
      <sheetName val="Income_Statements5"/>
      <sheetName val="Income_&amp;_Occupancy_Customer5"/>
      <sheetName val="ABP_inputs5"/>
      <sheetName val="Synergy_Sales_Budget5"/>
      <sheetName val="Project_Budget_Worksheet5"/>
      <sheetName val="INDIGINEOUS_ITEMS_5"/>
      <sheetName val="Builtup_Area5"/>
      <sheetName val="RCC,Ret__Wall5"/>
      <sheetName val="BOQ_T4B5"/>
      <sheetName val="Material_5"/>
      <sheetName val="Labour_&amp;_Plant5"/>
      <sheetName val="_B35"/>
      <sheetName val="_B15"/>
      <sheetName val="CFForecast_detail5"/>
      <sheetName val="Site_Dev_BOQ5"/>
      <sheetName val="beam-reinft-IIInd_floor5"/>
      <sheetName val="Global_Assm_5"/>
      <sheetName val="Main_Sheet_(MTD)"/>
      <sheetName val="Consl_Daily_Report"/>
      <sheetName val="balance_sheet"/>
      <sheetName val="Aladdin_Macro15"/>
      <sheetName val="Acc_10_55"/>
      <sheetName val="MIS_-_kINR"/>
      <sheetName val="Break_up_Sheet5"/>
      <sheetName val="Approved_MTD_Proj_#'s5"/>
      <sheetName val="MN_T_B_5"/>
      <sheetName val="Load_Details-220kV5"/>
      <sheetName val="Block_A_-_BOQ5"/>
      <sheetName val="CABLE_DATA"/>
      <sheetName val="1st_flr"/>
      <sheetName val="final_abstract"/>
      <sheetName val="Rate_analysis"/>
      <sheetName val="Rollup_Summary"/>
      <sheetName val="Civil_Boq"/>
      <sheetName val="QoQ In Lakhs"/>
      <sheetName val="GENERAL2"/>
      <sheetName val="FlashMgtMo"/>
      <sheetName val="FlashMgtYTD"/>
      <sheetName val="?????"/>
      <sheetName val="Budget Summary"/>
      <sheetName val="Settings"/>
      <sheetName val="ANN.K"/>
      <sheetName val="CAP"/>
      <sheetName val="AOP13"/>
      <sheetName val="PERHW"/>
      <sheetName val="Loss 3004"/>
      <sheetName val="Reconciliation of GL &amp; FAR"/>
      <sheetName val="FY2001-02"/>
      <sheetName val="Recon"/>
      <sheetName val="Control"/>
      <sheetName val=""/>
      <sheetName val="Rev Opt - Rollup"/>
      <sheetName val="269T(final)"/>
      <sheetName val="Contribution"/>
      <sheetName val="Rx"/>
      <sheetName val="Code"/>
      <sheetName val="Base Assumptions"/>
      <sheetName val="RES-PLANNING"/>
      <sheetName val="Cost_any"/>
      <sheetName val="10. &amp; 11. Rate Code &amp; BQ"/>
      <sheetName val="FITZ MORT 94"/>
      <sheetName val="YTD"/>
      <sheetName val="vb 9&amp;10"/>
      <sheetName val="GenAssump"/>
      <sheetName val="Commercial Research"/>
      <sheetName val="Goldberg Portfolio Combined"/>
      <sheetName val="9. Package split - Cost "/>
      <sheetName val="Leasing Commision"/>
      <sheetName val="Labor abs-NMR"/>
      <sheetName val="Beam at Ground flr lvl(Steel)"/>
      <sheetName val="AREAS"/>
      <sheetName val="sumary"/>
      <sheetName val="1st -vpd"/>
      <sheetName val="conc-foot-gradeslab"/>
      <sheetName val="Material List "/>
      <sheetName val="SCHEDULE"/>
      <sheetName val="Database"/>
      <sheetName val="schedule nos"/>
      <sheetName val="WT-LIST"/>
      <sheetName val="Material"/>
      <sheetName val="Sensitivity"/>
      <sheetName val="Fill this out first..."/>
      <sheetName val="Intaccrual"/>
      <sheetName val="SBU"/>
      <sheetName val="Portfolio_Summary1"/>
      <sheetName val="Current_Bill_MB_ref1"/>
      <sheetName val="Meas_-Hotel_Part1"/>
      <sheetName val="A-Mum"/>
      <sheetName val="BKCSTOCKVAL"/>
      <sheetName val="MAHSTOCKVAL"/>
      <sheetName val="Operating Statistics"/>
      <sheetName val="Trial Balance"/>
      <sheetName val="horizontal"/>
      <sheetName val="Checks"/>
      <sheetName val="DET0900"/>
      <sheetName val="Theatre mgmt cont"/>
      <sheetName val="Menu"/>
      <sheetName val="Variables_x"/>
      <sheetName val="P.R. TAXES"/>
      <sheetName val="BILLING SUM"/>
      <sheetName val="FA Schedule Dec 07"/>
      <sheetName val="NEW-IDs Fun &amp; Group"/>
      <sheetName val="XZLC003_PART1"/>
      <sheetName val="15-21"/>
      <sheetName val="Service Invoice"/>
      <sheetName val="Related party - P&amp;L"/>
      <sheetName val="Open Items-311208"/>
      <sheetName val="Debtors analysis"/>
      <sheetName val="A1-Continuous"/>
      <sheetName val="pile Fabrication"/>
      <sheetName val="Improvements"/>
      <sheetName val="exp"/>
      <sheetName val="Sheet4"/>
      <sheetName val="Notes-pivot1 "/>
      <sheetName val="Scope"/>
      <sheetName val="Estimate"/>
      <sheetName val="12-ACTPL"/>
      <sheetName val="CASHFLOWS"/>
      <sheetName val="drop-dwn list"/>
      <sheetName val="tngst1"/>
      <sheetName val="Boiler&amp;TG"/>
      <sheetName val="Variables"/>
      <sheetName val="Publicbuilding"/>
      <sheetName val="Non-Factory"/>
      <sheetName val="extra work elec bill "/>
      <sheetName val="MIS AC wise"/>
      <sheetName val="소상 &quot;1&quot;"/>
      <sheetName val="CrRajWMM"/>
      <sheetName val="Cost summary"/>
      <sheetName val="apr-aug"/>
      <sheetName val="Timeline"/>
      <sheetName val="A-1"/>
      <sheetName val="RA"/>
      <sheetName val="ES"/>
      <sheetName val="SEW4"/>
      <sheetName val="Tender Summary"/>
      <sheetName val="Bill 1-BOQ-Civil Works"/>
      <sheetName val="UNP-NCW "/>
      <sheetName val="Graph (LGEN)"/>
      <sheetName val="out_prog"/>
      <sheetName val="선적schedule (2)"/>
      <sheetName val="RCC Rates"/>
      <sheetName val="FORM7"/>
      <sheetName val="目录"/>
      <sheetName val="PRECAST lightconc-II"/>
      <sheetName val="4.4 External Plaster"/>
      <sheetName val="Night Shift"/>
      <sheetName val="MFG"/>
      <sheetName val="USB 1"/>
      <sheetName val="RA-markate"/>
      <sheetName val="Assump"/>
      <sheetName val="Felix Street Summary"/>
      <sheetName val="Newspapers"/>
      <sheetName val="AccDil"/>
      <sheetName val="Overall Summary"/>
      <sheetName val="HBI NCD"/>
      <sheetName val="CUSTOM Jun99"/>
      <sheetName val="A.O.R."/>
      <sheetName val="BQ"/>
      <sheetName val="Base"/>
      <sheetName val="BOQ Distribution"/>
      <sheetName val="wordsdata"/>
      <sheetName val="GM &amp; TA"/>
      <sheetName val="steam outlet"/>
      <sheetName val="crs"/>
      <sheetName val="PIMS"/>
      <sheetName val="SCH 10"/>
      <sheetName val="SAP EMP"/>
      <sheetName val="FCIIHyperion"/>
      <sheetName val="final 061106"/>
      <sheetName val="SAB P&amp;L"/>
      <sheetName val="cash flow"/>
      <sheetName val="Standalone"/>
      <sheetName val="RATE LIST (2)"/>
      <sheetName val="EXPENSES"/>
      <sheetName val="Control Sheet"/>
      <sheetName val="FA"/>
      <sheetName val="ITEM  STUDY (2)"/>
      <sheetName val="EVA1"/>
      <sheetName val="schedules"/>
      <sheetName val="Summary_Local"/>
      <sheetName val="HELP"/>
      <sheetName val="BS-2005"/>
      <sheetName val="MAIN_MENU"/>
      <sheetName val="exec summ"/>
      <sheetName val="Ins Erection"/>
      <sheetName val="TH"/>
      <sheetName val="details"/>
      <sheetName val="Phasing"/>
      <sheetName val="TDS Certificate-Format"/>
      <sheetName val="Hardware"/>
      <sheetName val="Power &amp; Fuel (S)"/>
      <sheetName val="concrete"/>
      <sheetName val="CSCCincSKR"/>
      <sheetName val="Assumption"/>
      <sheetName val="Currency"/>
      <sheetName val="IO"/>
      <sheetName val="BOM"/>
      <sheetName val="notes"/>
      <sheetName val="FA(Apr 07)"/>
      <sheetName val="Reco O.S"/>
      <sheetName val="Accounts"/>
      <sheetName val="Multipliers &amp; KRA"/>
      <sheetName val="ASSETS P&amp;M"/>
      <sheetName val="Assets Land &amp; Mise FA"/>
      <sheetName val="MultipleSecurities"/>
      <sheetName val="Determination of Threshold"/>
      <sheetName val="Misc. Master"/>
      <sheetName val="Tyre1"/>
      <sheetName val="Auto"/>
      <sheetName val="Dep"/>
      <sheetName val="cash_flow"/>
      <sheetName val="sales_value"/>
      <sheetName val="colaw_dep"/>
      <sheetName val="freight"/>
      <sheetName val="gm"/>
      <sheetName val="interest"/>
      <sheetName val="jb_cost"/>
      <sheetName val="c_flow_%"/>
      <sheetName val="consum_cost"/>
      <sheetName val="form26"/>
      <sheetName val="F29B"/>
      <sheetName val="Base data Security Procedures"/>
      <sheetName val="Expansion"/>
      <sheetName val="Customize Your Invoice"/>
      <sheetName val="Sale Charts"/>
      <sheetName val="EXIS-COMBINED"/>
      <sheetName val="Capital Structure"/>
      <sheetName val="GROUPING"/>
      <sheetName val="cl 14 Annex 7 "/>
      <sheetName val="Encl 7A"/>
      <sheetName val="Debt"/>
      <sheetName val="SALES"/>
      <sheetName val="Basework"/>
      <sheetName val="Monthly Inputs"/>
      <sheetName val="2000-1 Monthly Cashflows"/>
      <sheetName val="2002-2 Monthly Cashflows"/>
      <sheetName val="TMasterCurrency"/>
      <sheetName val="TMasterSeg"/>
      <sheetName val="Cash Flow "/>
      <sheetName val="XLR_NoRangeSheet"/>
      <sheetName val="wdr bldg"/>
      <sheetName val="Formated Trial Balance"/>
      <sheetName val="WC analytics (+data pages)"/>
      <sheetName val="van_khuon1"/>
      <sheetName val="IDC_macro1"/>
      <sheetName val="P_&amp;_L"/>
      <sheetName val="Summary_Excise"/>
      <sheetName val="Other_BS_Sch_5-9"/>
      <sheetName val="Excess_Calc"/>
      <sheetName val="Grouping_Master"/>
      <sheetName val="March_Analysts"/>
      <sheetName val="Fin_Sum1"/>
      <sheetName val="Main_workings"/>
      <sheetName val="Balance_Sheet_"/>
      <sheetName val="IMPORT_T121"/>
      <sheetName val="KPM_DT1"/>
      <sheetName val="Dom_Cell_(IS)"/>
      <sheetName val="M-2_Adjusted"/>
      <sheetName val="Master_Price_List"/>
      <sheetName val="EXHIBIT&quot;_T&quot;"/>
      <sheetName val="TB_FOR_MIS1"/>
      <sheetName val="INPUT_SHEET"/>
      <sheetName val="_Acc__Sched_"/>
      <sheetName val="EDS__Bestshore_Migration"/>
      <sheetName val="IT_Block"/>
      <sheetName val="Location_CODE"/>
      <sheetName val="Location_TYPE"/>
      <sheetName val="sub_class"/>
      <sheetName val="_sub_Loc_"/>
      <sheetName val="Training_Deposits_coding"/>
      <sheetName val="Rev_Opt_-_Rollup"/>
      <sheetName val="MASTER_RATE_ANALYSIS"/>
      <sheetName val="Valuation_-_block_2"/>
      <sheetName val="SAP downloaded schedule"/>
      <sheetName val="Basement Budget"/>
      <sheetName val="labour"/>
      <sheetName val="ADV-TK-HORT"/>
      <sheetName val="DYN PP"/>
      <sheetName val="TXN97"/>
      <sheetName val="June Reserve - Far East"/>
      <sheetName val="Sheet3_(2)6"/>
      <sheetName val="Sheet3__2_6"/>
      <sheetName val="Income_Statements6"/>
      <sheetName val="Main_Sheet_(MTD)1"/>
      <sheetName val="Consl_Daily_Report1"/>
      <sheetName val="Calculation_(2)6"/>
      <sheetName val="QoQ_Forecast6"/>
      <sheetName val="Portfolio_Summary2"/>
      <sheetName val="Income_&amp;_Occupancy_Customer6"/>
      <sheetName val="Rollup_Summary1"/>
      <sheetName val="Acc_10_56"/>
      <sheetName val="balance_sheet1"/>
      <sheetName val="170810-lease_tax1"/>
      <sheetName val="Multiple_output6"/>
      <sheetName val="Aladdin_Macro16"/>
      <sheetName val="Global_Assm_6"/>
      <sheetName val="ABP_inputs6"/>
      <sheetName val="Synergy_Sales_Budget6"/>
      <sheetName val="Project_Budget_Worksheet6"/>
      <sheetName val="Builtup_Area6"/>
      <sheetName val="RCC,Ret__Wall6"/>
      <sheetName val="BOQ_T4B6"/>
      <sheetName val="INDIGINEOUS_ITEMS_6"/>
      <sheetName val="Material_6"/>
      <sheetName val="Labour_&amp;_Plant6"/>
      <sheetName val="Current_Bill_MB_ref2"/>
      <sheetName val="Meas_-Hotel_Part2"/>
      <sheetName val="_B36"/>
      <sheetName val="_B16"/>
      <sheetName val="beam-reinft-IIInd_floor6"/>
      <sheetName val="Approved_MTD_Proj_#'s6"/>
      <sheetName val="MN_T_B_6"/>
      <sheetName val="CFForecast_detail6"/>
      <sheetName val="Site_Dev_BOQ6"/>
      <sheetName val="Break_up_Sheet6"/>
      <sheetName val="Load_Details-220kV6"/>
      <sheetName val="Block_A_-_BOQ6"/>
      <sheetName val="LBO_Financials"/>
      <sheetName val="CABLE_DATA1"/>
      <sheetName val="1st_flr1"/>
      <sheetName val="Civil_Boq1"/>
      <sheetName val="final_abstract1"/>
      <sheetName val="Rate_analysis1"/>
      <sheetName val="MIS_-_kINR1"/>
      <sheetName val="QoQ_In_Lakhs"/>
      <sheetName val="Theatre_mgmt_cont"/>
      <sheetName val="Open_Items-311208"/>
      <sheetName val="03_(2)"/>
      <sheetName val="WIng_F(Typical)"/>
      <sheetName val="Temp"/>
      <sheetName val="PROV_CONSOLIDATED"/>
      <sheetName val="COST-MTRS"/>
      <sheetName val="FLASH"/>
      <sheetName val="Annexure"/>
      <sheetName val="Schedules 3-8"/>
      <sheetName val="RELACION REFERENCIAS"/>
      <sheetName val="Transaction"/>
      <sheetName val="Rollup"/>
      <sheetName val="0. Data Validation List"/>
      <sheetName val="Crest"/>
      <sheetName val="Pinnacle"/>
      <sheetName val="Zenith"/>
      <sheetName val="stacking sheet"/>
      <sheetName val="entitlements"/>
      <sheetName val="800CC_FR_HOSE"/>
      <sheetName val="Esteem Rear"/>
      <sheetName val="EAST"/>
      <sheetName val="YOEMAGUM"/>
      <sheetName val="Conversion Table"/>
      <sheetName val="NEES"/>
      <sheetName val="Main"/>
      <sheetName val="Sources"/>
      <sheetName val="nela"/>
      <sheetName val="register"/>
      <sheetName val="Lease Expiry"/>
      <sheetName val="Cash_Flow_Working"/>
      <sheetName val="ANN_K"/>
      <sheetName val="Audit"/>
      <sheetName val="Jul 96 Worksheet"/>
      <sheetName val="Parameter"/>
      <sheetName val="Earnings"/>
      <sheetName val="Cases"/>
      <sheetName val="HRD1"/>
      <sheetName val="Taluka wise dealer (2)"/>
      <sheetName val="I"/>
      <sheetName val="CPR"/>
      <sheetName val="MARCH"/>
      <sheetName val="SEP "/>
      <sheetName val="Redelvery provision changed"/>
      <sheetName val="SOPMA_DD"/>
      <sheetName val="Power_&amp;_Fuel_(S)"/>
      <sheetName val="Budget_Summary"/>
      <sheetName val="차수"/>
      <sheetName val="P&amp;L"/>
      <sheetName val="DIVBUD99"/>
      <sheetName val="Timesheet"/>
      <sheetName val="Loads"/>
      <sheetName val="p&amp;m"/>
      <sheetName val="S &amp; A"/>
      <sheetName val="Schedule v1"/>
      <sheetName val=" "/>
      <sheetName val="Legal_Risk_Analysis"/>
      <sheetName val="Architectural_Summary"/>
      <sheetName val="IO_LIST"/>
      <sheetName val="Master_list"/>
      <sheetName val="Labour_List"/>
      <sheetName val="Material_List"/>
      <sheetName val="Labor_abs-NMR"/>
      <sheetName val="Beam_at_Ground_flr_lvl(Steel)"/>
      <sheetName val="1st_-vpd"/>
      <sheetName val="Material_List_"/>
      <sheetName val="schedule_nos"/>
      <sheetName val="Debtors_analysis"/>
      <sheetName val="Fill_this_out_first___"/>
      <sheetName val="extra_work_elec_bill_"/>
      <sheetName val="10__&amp;_11__Rate_Code_&amp;_BQ"/>
      <sheetName val="NEW-IDs_Fun_&amp;_Group"/>
      <sheetName val="Inv_Data"/>
      <sheetName val="HOUSE RENT DEPO."/>
      <sheetName val="Approval"/>
      <sheetName val="GL Master Data"/>
      <sheetName val="Quotation"/>
      <sheetName val="RCC_Ret_ Wall"/>
      <sheetName val="Coalmine"/>
      <sheetName val="Collection"/>
      <sheetName val="dlvoid"/>
      <sheetName val="HIDDEN"/>
      <sheetName val="DEP99"/>
      <sheetName val="IGAAP"/>
      <sheetName val="INI"/>
      <sheetName val="Output"/>
      <sheetName val="meeting rectification control"/>
      <sheetName val="Loan Data"/>
      <sheetName val="Challan"/>
      <sheetName val="NGS Data Sheet"/>
      <sheetName val="SGS Data Sheet"/>
      <sheetName val="Standalone seg"/>
      <sheetName val="C120102"/>
      <sheetName val="Trial_Balance"/>
      <sheetName val="MIS_AC_wise"/>
      <sheetName val="Base_Assumptions"/>
      <sheetName val="FITZ_MORT_94"/>
      <sheetName val="vb_9&amp;10"/>
      <sheetName val="Goldberg_Portfolio_Combined"/>
      <sheetName val="Commercial_Research"/>
      <sheetName val="9__Package_split_-_Cost_"/>
      <sheetName val="Operating_Statistics"/>
      <sheetName val="FA_Schedule_Dec_07"/>
      <sheetName val="P_R__TAXES"/>
      <sheetName val="BILLING_SUM"/>
      <sheetName val="Leasing_Commision"/>
      <sheetName val="Service_Invoice"/>
      <sheetName val="Retail_Mall"/>
      <sheetName val="Related_party_-_P&amp;L"/>
      <sheetName val="pile_Fabrication"/>
      <sheetName val="Notes-pivot1_"/>
      <sheetName val="ASSETS_P&amp;M"/>
      <sheetName val="Assets_Land_&amp;_Mise_FA"/>
      <sheetName val="drop-dwn_list"/>
      <sheetName val="소상_&quot;1&quot;"/>
      <sheetName val="Felix_Street_Summary"/>
      <sheetName val="Overall_Summary"/>
      <sheetName val="RCC_Rates"/>
      <sheetName val="Cost_summary"/>
      <sheetName val="PRECAST_lightconc-II"/>
      <sheetName val="Tender_Summary"/>
      <sheetName val="Bill_1-BOQ-Civil_Works"/>
      <sheetName val="UNP-NCW_"/>
      <sheetName val="4_4_External_Plaster"/>
      <sheetName val="HBI_NCD"/>
      <sheetName val="CUSTOM_Jun99"/>
      <sheetName val="A_O_R_"/>
      <sheetName val="Ins_Erection"/>
      <sheetName val="Staff_Costs"/>
      <sheetName val="0__Data_Validation_List"/>
      <sheetName val="stacking_sheet"/>
      <sheetName val="Basement_Budget"/>
      <sheetName val="Night_Shift"/>
      <sheetName val="ITEM__STUDY_(2)"/>
      <sheetName val="TDS_Certificate-Format"/>
    </sheetNames>
    <sheetDataSet>
      <sheetData sheetId="0" refreshError="1">
        <row r="65">
          <cell r="A65" t="str">
            <v>(II)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>
        <row r="65">
          <cell r="A65" t="str">
            <v>(II)</v>
          </cell>
        </row>
      </sheetData>
      <sheetData sheetId="45">
        <row r="65">
          <cell r="A65" t="str">
            <v>(II)</v>
          </cell>
        </row>
      </sheetData>
      <sheetData sheetId="46">
        <row r="65">
          <cell r="A65" t="str">
            <v>(II)</v>
          </cell>
        </row>
      </sheetData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>
        <row r="65">
          <cell r="A65" t="str">
            <v>(II)</v>
          </cell>
        </row>
      </sheetData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>
        <row r="65">
          <cell r="A65" t="str">
            <v>(II)</v>
          </cell>
        </row>
      </sheetData>
      <sheetData sheetId="129">
        <row r="65">
          <cell r="A65" t="str">
            <v>(II)</v>
          </cell>
        </row>
      </sheetData>
      <sheetData sheetId="130">
        <row r="65">
          <cell r="A65" t="str">
            <v>(II)</v>
          </cell>
        </row>
      </sheetData>
      <sheetData sheetId="131">
        <row r="65">
          <cell r="A65" t="str">
            <v>(II)</v>
          </cell>
        </row>
      </sheetData>
      <sheetData sheetId="132">
        <row r="65">
          <cell r="A65" t="str">
            <v>(II)</v>
          </cell>
        </row>
      </sheetData>
      <sheetData sheetId="133">
        <row r="65">
          <cell r="A65" t="str">
            <v>(II)</v>
          </cell>
        </row>
      </sheetData>
      <sheetData sheetId="134">
        <row r="65">
          <cell r="A65" t="str">
            <v>(II)</v>
          </cell>
        </row>
      </sheetData>
      <sheetData sheetId="135">
        <row r="65">
          <cell r="A65" t="str">
            <v>(II)</v>
          </cell>
        </row>
      </sheetData>
      <sheetData sheetId="136">
        <row r="65">
          <cell r="A65" t="str">
            <v>(II)</v>
          </cell>
        </row>
      </sheetData>
      <sheetData sheetId="137">
        <row r="65">
          <cell r="A65" t="str">
            <v>(II)</v>
          </cell>
        </row>
      </sheetData>
      <sheetData sheetId="138">
        <row r="65">
          <cell r="A65" t="str">
            <v>(II)</v>
          </cell>
        </row>
      </sheetData>
      <sheetData sheetId="139">
        <row r="65">
          <cell r="A65" t="str">
            <v>(II)</v>
          </cell>
        </row>
      </sheetData>
      <sheetData sheetId="140">
        <row r="65">
          <cell r="A65" t="str">
            <v>(II)</v>
          </cell>
        </row>
      </sheetData>
      <sheetData sheetId="141">
        <row r="65">
          <cell r="A65" t="str">
            <v>(II)</v>
          </cell>
        </row>
      </sheetData>
      <sheetData sheetId="142">
        <row r="65">
          <cell r="A65" t="str">
            <v>(II)</v>
          </cell>
        </row>
      </sheetData>
      <sheetData sheetId="143" refreshError="1"/>
      <sheetData sheetId="144" refreshError="1"/>
      <sheetData sheetId="145">
        <row r="65">
          <cell r="A65" t="str">
            <v>(II)</v>
          </cell>
        </row>
      </sheetData>
      <sheetData sheetId="146">
        <row r="65">
          <cell r="A65" t="str">
            <v>(II)</v>
          </cell>
        </row>
      </sheetData>
      <sheetData sheetId="147">
        <row r="65">
          <cell r="A65" t="str">
            <v>(II)</v>
          </cell>
        </row>
      </sheetData>
      <sheetData sheetId="148">
        <row r="65">
          <cell r="A65" t="str">
            <v>(II)</v>
          </cell>
        </row>
      </sheetData>
      <sheetData sheetId="149">
        <row r="65">
          <cell r="A65" t="str">
            <v>(II)</v>
          </cell>
        </row>
      </sheetData>
      <sheetData sheetId="150">
        <row r="65">
          <cell r="A65" t="str">
            <v>(II)</v>
          </cell>
        </row>
      </sheetData>
      <sheetData sheetId="151">
        <row r="65">
          <cell r="A65" t="str">
            <v>(II)</v>
          </cell>
        </row>
      </sheetData>
      <sheetData sheetId="152">
        <row r="65">
          <cell r="A65" t="str">
            <v>(II)</v>
          </cell>
        </row>
      </sheetData>
      <sheetData sheetId="153">
        <row r="65">
          <cell r="A65" t="str">
            <v>(II)</v>
          </cell>
        </row>
      </sheetData>
      <sheetData sheetId="154">
        <row r="65">
          <cell r="A65" t="str">
            <v>(II)</v>
          </cell>
        </row>
      </sheetData>
      <sheetData sheetId="155">
        <row r="65">
          <cell r="A65" t="str">
            <v>(II)</v>
          </cell>
        </row>
      </sheetData>
      <sheetData sheetId="156">
        <row r="65">
          <cell r="A65" t="str">
            <v>(II)</v>
          </cell>
        </row>
      </sheetData>
      <sheetData sheetId="157">
        <row r="65">
          <cell r="A65" t="str">
            <v>(II)</v>
          </cell>
        </row>
      </sheetData>
      <sheetData sheetId="158">
        <row r="65">
          <cell r="A65" t="str">
            <v>(II)</v>
          </cell>
        </row>
      </sheetData>
      <sheetData sheetId="159">
        <row r="65">
          <cell r="A65" t="str">
            <v>(II)</v>
          </cell>
        </row>
      </sheetData>
      <sheetData sheetId="160">
        <row r="65">
          <cell r="A65" t="str">
            <v>(II)</v>
          </cell>
        </row>
      </sheetData>
      <sheetData sheetId="161">
        <row r="65">
          <cell r="A65" t="str">
            <v>(II)</v>
          </cell>
        </row>
      </sheetData>
      <sheetData sheetId="162">
        <row r="65">
          <cell r="A65" t="str">
            <v>(II)</v>
          </cell>
        </row>
      </sheetData>
      <sheetData sheetId="163">
        <row r="65">
          <cell r="A65" t="str">
            <v>(II)</v>
          </cell>
        </row>
      </sheetData>
      <sheetData sheetId="164">
        <row r="65">
          <cell r="A65" t="str">
            <v>(II)</v>
          </cell>
        </row>
      </sheetData>
      <sheetData sheetId="165">
        <row r="65">
          <cell r="A65" t="str">
            <v>(II)</v>
          </cell>
        </row>
      </sheetData>
      <sheetData sheetId="166">
        <row r="65">
          <cell r="A65" t="str">
            <v>(II)</v>
          </cell>
        </row>
      </sheetData>
      <sheetData sheetId="167">
        <row r="65">
          <cell r="A65" t="str">
            <v>(II)</v>
          </cell>
        </row>
      </sheetData>
      <sheetData sheetId="168">
        <row r="65">
          <cell r="A65" t="str">
            <v>(II)</v>
          </cell>
        </row>
      </sheetData>
      <sheetData sheetId="169">
        <row r="65">
          <cell r="A65" t="str">
            <v>(II)</v>
          </cell>
        </row>
      </sheetData>
      <sheetData sheetId="170">
        <row r="65">
          <cell r="A65" t="str">
            <v>(II)</v>
          </cell>
        </row>
      </sheetData>
      <sheetData sheetId="171">
        <row r="65">
          <cell r="A65" t="str">
            <v>(II)</v>
          </cell>
        </row>
      </sheetData>
      <sheetData sheetId="172">
        <row r="65">
          <cell r="A65" t="str">
            <v>(II)</v>
          </cell>
        </row>
      </sheetData>
      <sheetData sheetId="173">
        <row r="65">
          <cell r="A65" t="str">
            <v>(II)</v>
          </cell>
        </row>
      </sheetData>
      <sheetData sheetId="174">
        <row r="65">
          <cell r="A65" t="str">
            <v>(II)</v>
          </cell>
        </row>
      </sheetData>
      <sheetData sheetId="175">
        <row r="65">
          <cell r="A65" t="str">
            <v>(II)</v>
          </cell>
        </row>
      </sheetData>
      <sheetData sheetId="176">
        <row r="65">
          <cell r="A65" t="str">
            <v>(II)</v>
          </cell>
        </row>
      </sheetData>
      <sheetData sheetId="177">
        <row r="65">
          <cell r="A65" t="str">
            <v>(II)</v>
          </cell>
        </row>
      </sheetData>
      <sheetData sheetId="178">
        <row r="65">
          <cell r="A65" t="str">
            <v>(II)</v>
          </cell>
        </row>
      </sheetData>
      <sheetData sheetId="179">
        <row r="65">
          <cell r="A65" t="str">
            <v>(II)</v>
          </cell>
        </row>
      </sheetData>
      <sheetData sheetId="180">
        <row r="65">
          <cell r="A65" t="str">
            <v>(II)</v>
          </cell>
        </row>
      </sheetData>
      <sheetData sheetId="181">
        <row r="65">
          <cell r="A65" t="str">
            <v>(II)</v>
          </cell>
        </row>
      </sheetData>
      <sheetData sheetId="182">
        <row r="65">
          <cell r="A65" t="str">
            <v>(II)</v>
          </cell>
        </row>
      </sheetData>
      <sheetData sheetId="183">
        <row r="65">
          <cell r="A65" t="str">
            <v>(II)</v>
          </cell>
        </row>
      </sheetData>
      <sheetData sheetId="184">
        <row r="65">
          <cell r="A65" t="str">
            <v>(II)</v>
          </cell>
        </row>
      </sheetData>
      <sheetData sheetId="185">
        <row r="65">
          <cell r="A65" t="str">
            <v>(II)</v>
          </cell>
        </row>
      </sheetData>
      <sheetData sheetId="186">
        <row r="65">
          <cell r="A65" t="str">
            <v>(II)</v>
          </cell>
        </row>
      </sheetData>
      <sheetData sheetId="187">
        <row r="65">
          <cell r="A65" t="str">
            <v>(II)</v>
          </cell>
        </row>
      </sheetData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>
        <row r="65">
          <cell r="A65" t="str">
            <v>(II)</v>
          </cell>
        </row>
      </sheetData>
      <sheetData sheetId="200">
        <row r="65">
          <cell r="A65" t="str">
            <v>(II)</v>
          </cell>
        </row>
      </sheetData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>
        <row r="65">
          <cell r="A65" t="str">
            <v>(II)</v>
          </cell>
        </row>
      </sheetData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>
        <row r="65">
          <cell r="A65" t="str">
            <v>(II)</v>
          </cell>
        </row>
      </sheetData>
      <sheetData sheetId="351">
        <row r="65">
          <cell r="A65" t="str">
            <v>(II)</v>
          </cell>
        </row>
      </sheetData>
      <sheetData sheetId="352">
        <row r="65">
          <cell r="A65" t="str">
            <v>(II)</v>
          </cell>
        </row>
      </sheetData>
      <sheetData sheetId="353">
        <row r="65">
          <cell r="A65" t="str">
            <v>(II)</v>
          </cell>
        </row>
      </sheetData>
      <sheetData sheetId="354">
        <row r="65">
          <cell r="A65" t="str">
            <v>(II)</v>
          </cell>
        </row>
      </sheetData>
      <sheetData sheetId="355">
        <row r="65">
          <cell r="A65" t="str">
            <v>(II)</v>
          </cell>
        </row>
      </sheetData>
      <sheetData sheetId="356">
        <row r="65">
          <cell r="A65" t="str">
            <v>(II)</v>
          </cell>
        </row>
      </sheetData>
      <sheetData sheetId="357">
        <row r="65">
          <cell r="A65" t="str">
            <v>(II)</v>
          </cell>
        </row>
      </sheetData>
      <sheetData sheetId="358">
        <row r="65">
          <cell r="A65" t="str">
            <v>(II)</v>
          </cell>
        </row>
      </sheetData>
      <sheetData sheetId="359">
        <row r="65">
          <cell r="A65" t="str">
            <v>(II)</v>
          </cell>
        </row>
      </sheetData>
      <sheetData sheetId="360">
        <row r="65">
          <cell r="A65" t="str">
            <v>(II)</v>
          </cell>
        </row>
      </sheetData>
      <sheetData sheetId="361">
        <row r="65">
          <cell r="A65" t="str">
            <v>(II)</v>
          </cell>
        </row>
      </sheetData>
      <sheetData sheetId="362">
        <row r="65">
          <cell r="A65" t="str">
            <v>(II)</v>
          </cell>
        </row>
      </sheetData>
      <sheetData sheetId="363">
        <row r="65">
          <cell r="A65" t="str">
            <v>(II)</v>
          </cell>
        </row>
      </sheetData>
      <sheetData sheetId="364">
        <row r="65">
          <cell r="A65" t="str">
            <v>(II)</v>
          </cell>
        </row>
      </sheetData>
      <sheetData sheetId="365">
        <row r="65">
          <cell r="A65" t="str">
            <v>(II)</v>
          </cell>
        </row>
      </sheetData>
      <sheetData sheetId="366">
        <row r="65">
          <cell r="A65" t="str">
            <v>(II)</v>
          </cell>
        </row>
      </sheetData>
      <sheetData sheetId="367">
        <row r="65">
          <cell r="A65" t="str">
            <v>(II)</v>
          </cell>
        </row>
      </sheetData>
      <sheetData sheetId="368">
        <row r="65">
          <cell r="A65" t="str">
            <v>(II)</v>
          </cell>
        </row>
      </sheetData>
      <sheetData sheetId="369">
        <row r="65">
          <cell r="A65" t="str">
            <v>(II)</v>
          </cell>
        </row>
      </sheetData>
      <sheetData sheetId="370">
        <row r="65">
          <cell r="A65" t="str">
            <v>(II)</v>
          </cell>
        </row>
      </sheetData>
      <sheetData sheetId="371">
        <row r="65">
          <cell r="A65" t="str">
            <v>(II)</v>
          </cell>
        </row>
      </sheetData>
      <sheetData sheetId="372">
        <row r="65">
          <cell r="A65" t="str">
            <v>(II)</v>
          </cell>
        </row>
      </sheetData>
      <sheetData sheetId="373">
        <row r="65">
          <cell r="A65" t="str">
            <v>(II)</v>
          </cell>
        </row>
      </sheetData>
      <sheetData sheetId="374">
        <row r="65">
          <cell r="A65" t="str">
            <v>(II)</v>
          </cell>
        </row>
      </sheetData>
      <sheetData sheetId="375">
        <row r="65">
          <cell r="A65" t="str">
            <v>(II)</v>
          </cell>
        </row>
      </sheetData>
      <sheetData sheetId="376">
        <row r="65">
          <cell r="A65" t="str">
            <v>(II)</v>
          </cell>
        </row>
      </sheetData>
      <sheetData sheetId="377">
        <row r="65">
          <cell r="A65" t="str">
            <v>(II)</v>
          </cell>
        </row>
      </sheetData>
      <sheetData sheetId="378">
        <row r="65">
          <cell r="A65" t="str">
            <v>(II)</v>
          </cell>
        </row>
      </sheetData>
      <sheetData sheetId="379">
        <row r="65">
          <cell r="A65" t="str">
            <v>(II)</v>
          </cell>
        </row>
      </sheetData>
      <sheetData sheetId="380">
        <row r="65">
          <cell r="A65" t="str">
            <v>(II)</v>
          </cell>
        </row>
      </sheetData>
      <sheetData sheetId="381">
        <row r="65">
          <cell r="A65" t="str">
            <v>(II)</v>
          </cell>
        </row>
      </sheetData>
      <sheetData sheetId="382">
        <row r="65">
          <cell r="A65" t="str">
            <v>(II)</v>
          </cell>
        </row>
      </sheetData>
      <sheetData sheetId="383">
        <row r="65">
          <cell r="A65" t="str">
            <v>(II)</v>
          </cell>
        </row>
      </sheetData>
      <sheetData sheetId="384">
        <row r="65">
          <cell r="A65" t="str">
            <v>(II)</v>
          </cell>
        </row>
      </sheetData>
      <sheetData sheetId="385">
        <row r="65">
          <cell r="A65" t="str">
            <v>(II)</v>
          </cell>
        </row>
      </sheetData>
      <sheetData sheetId="386">
        <row r="65">
          <cell r="A65" t="str">
            <v>(II)</v>
          </cell>
        </row>
      </sheetData>
      <sheetData sheetId="387">
        <row r="65">
          <cell r="A65" t="str">
            <v>(II)</v>
          </cell>
        </row>
      </sheetData>
      <sheetData sheetId="388">
        <row r="65">
          <cell r="A65" t="str">
            <v>(II)</v>
          </cell>
        </row>
      </sheetData>
      <sheetData sheetId="389">
        <row r="65">
          <cell r="A65" t="str">
            <v>(II)</v>
          </cell>
        </row>
      </sheetData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>
        <row r="65">
          <cell r="A65" t="str">
            <v>(II)</v>
          </cell>
        </row>
      </sheetData>
      <sheetData sheetId="441">
        <row r="65">
          <cell r="A65" t="str">
            <v>(II)</v>
          </cell>
        </row>
      </sheetData>
      <sheetData sheetId="442">
        <row r="65">
          <cell r="A65" t="str">
            <v>(II)</v>
          </cell>
        </row>
      </sheetData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/>
      <sheetData sheetId="575"/>
      <sheetData sheetId="576" refreshError="1"/>
      <sheetData sheetId="577" refreshError="1"/>
      <sheetData sheetId="578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/>
      <sheetData sheetId="601"/>
      <sheetData sheetId="602"/>
      <sheetData sheetId="603"/>
      <sheetData sheetId="604"/>
      <sheetData sheetId="605"/>
      <sheetData sheetId="606">
        <row r="65">
          <cell r="A65" t="str">
            <v>(II)</v>
          </cell>
        </row>
      </sheetData>
      <sheetData sheetId="607">
        <row r="65">
          <cell r="A65" t="str">
            <v>(II)</v>
          </cell>
        </row>
      </sheetData>
      <sheetData sheetId="608"/>
      <sheetData sheetId="609">
        <row r="65">
          <cell r="A65" t="str">
            <v>(II)</v>
          </cell>
        </row>
      </sheetData>
      <sheetData sheetId="610"/>
      <sheetData sheetId="611"/>
      <sheetData sheetId="612"/>
      <sheetData sheetId="613">
        <row r="65">
          <cell r="A65" t="str">
            <v>(II)</v>
          </cell>
        </row>
      </sheetData>
      <sheetData sheetId="614">
        <row r="65">
          <cell r="A65" t="str">
            <v>(II)</v>
          </cell>
        </row>
      </sheetData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/>
      <sheetData sheetId="696"/>
      <sheetData sheetId="697"/>
      <sheetData sheetId="698"/>
      <sheetData sheetId="699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/>
      <sheetData sheetId="713">
        <row r="65">
          <cell r="A65" t="str">
            <v>(II)</v>
          </cell>
        </row>
      </sheetData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/>
      <sheetData sheetId="727"/>
      <sheetData sheetId="728"/>
      <sheetData sheetId="729"/>
      <sheetData sheetId="730"/>
      <sheetData sheetId="73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ncial_sheet"/>
      <sheetName val="key assmp"/>
      <sheetName val="sensitivity"/>
      <sheetName val="fin summary"/>
      <sheetName val="cons P&amp;L (F)"/>
      <sheetName val="cons cash (F)"/>
      <sheetName val="cons BS (F)"/>
      <sheetName val="IOC yield "/>
      <sheetName val="cap_thru"/>
      <sheetName val="ref price"/>
      <sheetName val="ref sales"/>
      <sheetName val="mkt sales"/>
      <sheetName val="other sales"/>
      <sheetName val="pipe sales"/>
      <sheetName val="chem prices"/>
      <sheetName val="chem sales"/>
      <sheetName val="revenue model"/>
      <sheetName val="crude mix"/>
      <sheetName val="ref costs"/>
      <sheetName val="chem power"/>
      <sheetName val="finstats"/>
      <sheetName val="profit model"/>
      <sheetName val="interim"/>
      <sheetName val="cash model"/>
      <sheetName val="balance model"/>
      <sheetName val="investment"/>
      <sheetName val="invest_val"/>
      <sheetName val="capex_1"/>
      <sheetName val="capex_2"/>
      <sheetName val="capex_brief"/>
      <sheetName val="interest"/>
      <sheetName val="depn"/>
      <sheetName val="tax"/>
      <sheetName val="cons P&amp;L"/>
      <sheetName val="cons cash"/>
      <sheetName val="cons BS"/>
      <sheetName val="GQ OLD"/>
      <sheetName val="GQ"/>
      <sheetName val="NoteXpress"/>
      <sheetName val="kotak_qrtrly"/>
      <sheetName val="kotakval"/>
      <sheetName val="interim (F)"/>
      <sheetName val="manager"/>
      <sheetName val="Financials"/>
      <sheetName val=""/>
      <sheetName val="PPT Exhibi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7"/>
  <sheetViews>
    <sheetView showGridLines="0" tabSelected="1" zoomScale="70" zoomScaleNormal="70" workbookViewId="0">
      <selection activeCell="I7" sqref="I7"/>
    </sheetView>
  </sheetViews>
  <sheetFormatPr defaultColWidth="8.85546875" defaultRowHeight="15" customHeight="1" x14ac:dyDescent="0.25"/>
  <cols>
    <col min="1" max="1" width="45" bestFit="1" customWidth="1"/>
    <col min="2" max="6" width="13.85546875" customWidth="1"/>
    <col min="7" max="7" width="23.85546875" bestFit="1" customWidth="1"/>
    <col min="8" max="8" width="2.5703125" customWidth="1"/>
    <col min="9" max="9" width="28.85546875" customWidth="1"/>
    <col min="10" max="10" width="10.140625" customWidth="1"/>
    <col min="11" max="17" width="8.85546875" customWidth="1"/>
    <col min="18" max="20" width="10.42578125" bestFit="1" customWidth="1"/>
  </cols>
  <sheetData>
    <row r="1" spans="1:7" ht="26.25" x14ac:dyDescent="0.25">
      <c r="A1" s="290" t="s">
        <v>81</v>
      </c>
      <c r="B1" s="291"/>
      <c r="C1" s="291"/>
      <c r="D1" s="291"/>
      <c r="E1" s="291"/>
      <c r="F1" s="291"/>
      <c r="G1" s="292"/>
    </row>
    <row r="2" spans="1:7" ht="18.600000000000001" customHeight="1" x14ac:dyDescent="0.25">
      <c r="A2" s="86" t="s">
        <v>153</v>
      </c>
      <c r="B2" s="293" t="s">
        <v>214</v>
      </c>
      <c r="C2" s="293"/>
      <c r="D2" s="293"/>
      <c r="E2" s="293"/>
      <c r="F2" s="293"/>
      <c r="G2" s="294"/>
    </row>
    <row r="3" spans="1:7" ht="21" customHeight="1" x14ac:dyDescent="0.25">
      <c r="A3" s="87" t="s">
        <v>43</v>
      </c>
      <c r="B3" s="79">
        <f>+'Data Sheet'!B16</f>
        <v>43921</v>
      </c>
      <c r="C3" s="79">
        <f>+'Data Sheet'!C16</f>
        <v>44286</v>
      </c>
      <c r="D3" s="79">
        <f>+'Data Sheet'!D16</f>
        <v>44651</v>
      </c>
      <c r="E3" s="79">
        <f>+'Data Sheet'!E16</f>
        <v>45016</v>
      </c>
      <c r="F3" s="79">
        <f>+'Data Sheet'!F16</f>
        <v>45382</v>
      </c>
      <c r="G3" s="88" t="s">
        <v>236</v>
      </c>
    </row>
    <row r="4" spans="1:7" ht="15" customHeight="1" x14ac:dyDescent="0.25">
      <c r="A4" s="89" t="s">
        <v>45</v>
      </c>
      <c r="B4" s="80">
        <f>+'Income Statement'!B19</f>
        <v>0.22422077379460187</v>
      </c>
      <c r="C4" s="80">
        <f>+'Income Statement'!C19</f>
        <v>0.28637447347058786</v>
      </c>
      <c r="D4" s="80">
        <f>+'Income Statement'!D19</f>
        <v>0.30577915615525258</v>
      </c>
      <c r="E4" s="80">
        <f>+'Income Statement'!E19</f>
        <v>0.27297061588471366</v>
      </c>
      <c r="F4" s="80">
        <f>+'Income Statement'!F19</f>
        <v>0.2648399953512855</v>
      </c>
      <c r="G4" s="90"/>
    </row>
    <row r="5" spans="1:7" ht="15" customHeight="1" x14ac:dyDescent="0.25">
      <c r="A5" s="89" t="s">
        <v>48</v>
      </c>
      <c r="B5" s="80">
        <f>+'Income Statement'!B20</f>
        <v>0.14364502381549263</v>
      </c>
      <c r="C5" s="80">
        <f>+'Income Statement'!C20</f>
        <v>0.17785348580048443</v>
      </c>
      <c r="D5" s="80">
        <f>+'Income Statement'!D20</f>
        <v>0.19014511537482351</v>
      </c>
      <c r="E5" s="80">
        <f>+'Income Statement'!E20</f>
        <v>0.18499571489517536</v>
      </c>
      <c r="F5" s="80">
        <f>+'Income Statement'!F20</f>
        <v>0.1755539148328171</v>
      </c>
      <c r="G5" s="90"/>
    </row>
    <row r="6" spans="1:7" ht="15" customHeight="1" x14ac:dyDescent="0.25">
      <c r="A6" s="89" t="s">
        <v>50</v>
      </c>
      <c r="B6" s="80">
        <f>+'Income Statement'!B21</f>
        <v>0.26061866016703106</v>
      </c>
      <c r="C6" s="80">
        <f>+'Income Statement'!C21</f>
        <v>0.26893670686529525</v>
      </c>
      <c r="D6" s="80">
        <f>+'Income Statement'!D21</f>
        <v>0.26711864406779662</v>
      </c>
      <c r="E6" s="80">
        <f>+'Income Statement'!E21</f>
        <v>0.25053533190578164</v>
      </c>
      <c r="F6" s="80">
        <f>+'Income Statement'!F21</f>
        <v>0.25694816186576785</v>
      </c>
      <c r="G6" s="90"/>
    </row>
    <row r="7" spans="1:7" ht="15" customHeight="1" x14ac:dyDescent="0.25">
      <c r="A7" s="89" t="s">
        <v>51</v>
      </c>
      <c r="B7" s="81">
        <f>+'Income Statement'!B22</f>
        <v>15.832004253056887</v>
      </c>
      <c r="C7" s="81">
        <f>+'Income Statement'!C22</f>
        <v>19.767751479289934</v>
      </c>
      <c r="D7" s="81">
        <f>+'Income Statement'!D22</f>
        <v>27.045539033457249</v>
      </c>
      <c r="E7" s="81">
        <f>+'Income Statement'!E22</f>
        <v>31.89792060491493</v>
      </c>
      <c r="F7" s="81">
        <f>+'Income Statement'!F22</f>
        <v>30.43739352640544</v>
      </c>
      <c r="G7" s="91"/>
    </row>
    <row r="8" spans="1:7" ht="15" customHeight="1" x14ac:dyDescent="0.25">
      <c r="A8" s="89" t="s">
        <v>53</v>
      </c>
      <c r="B8" s="82">
        <f>+'Income Statement'!B23</f>
        <v>37.167567567567573</v>
      </c>
      <c r="C8" s="82">
        <f>+'Income Statement'!C23</f>
        <v>53.202676864244715</v>
      </c>
      <c r="D8" s="82">
        <f>+'Income Statement'!D23</f>
        <v>81.021696252465475</v>
      </c>
      <c r="E8" s="82">
        <f>+'Income Statement'!E23</f>
        <v>99.999999999999986</v>
      </c>
      <c r="F8" s="82">
        <f>+'Income Statement'!F23</f>
        <v>104.81428571428565</v>
      </c>
      <c r="G8" s="92"/>
    </row>
    <row r="9" spans="1:7" ht="15" customHeight="1" x14ac:dyDescent="0.25">
      <c r="A9" s="89" t="s">
        <v>55</v>
      </c>
      <c r="B9" s="81">
        <f>+'Income Statement'!B24</f>
        <v>6.5541012216404875</v>
      </c>
      <c r="C9" s="81">
        <f>+'Income Statement'!C24</f>
        <v>18.071459119496865</v>
      </c>
      <c r="D9" s="81">
        <f>+'Income Statement'!D24</f>
        <v>25.208062709966409</v>
      </c>
      <c r="E9" s="81">
        <f>+'Income Statement'!E24</f>
        <v>14.200000000000003</v>
      </c>
      <c r="F9" s="81">
        <f>+'Income Statement'!F24</f>
        <v>22.833242469674268</v>
      </c>
      <c r="G9" s="91"/>
    </row>
    <row r="10" spans="1:7" ht="15" customHeight="1" x14ac:dyDescent="0.25">
      <c r="A10" s="89"/>
      <c r="B10" s="81"/>
      <c r="C10" s="81"/>
      <c r="D10" s="81"/>
      <c r="E10" s="81"/>
      <c r="F10" s="81"/>
      <c r="G10" s="93"/>
    </row>
    <row r="11" spans="1:7" ht="15" customHeight="1" x14ac:dyDescent="0.25">
      <c r="A11" s="89" t="s">
        <v>63</v>
      </c>
      <c r="B11" s="81">
        <f>+'Balance Sheet'!B23</f>
        <v>2.9917500000000001</v>
      </c>
      <c r="C11" s="81">
        <f>+'Balance Sheet'!C23</f>
        <v>2.5902152317880796</v>
      </c>
      <c r="D11" s="81">
        <f>+'Balance Sheet'!D23</f>
        <v>2.9984038861901454</v>
      </c>
      <c r="E11" s="81">
        <f>+'Balance Sheet'!E23</f>
        <v>3.5648855989232842</v>
      </c>
      <c r="F11" s="81">
        <f>+'Balance Sheet'!F23</f>
        <v>3.6207178217821783</v>
      </c>
      <c r="G11" s="93"/>
    </row>
    <row r="12" spans="1:7" ht="15" customHeight="1" x14ac:dyDescent="0.25">
      <c r="A12" s="89" t="s">
        <v>65</v>
      </c>
      <c r="B12" s="83">
        <f>+'Balance Sheet'!B24</f>
        <v>60.43682627224868</v>
      </c>
      <c r="C12" s="83">
        <f>+'Balance Sheet'!C24</f>
        <v>61.918580495880441</v>
      </c>
      <c r="D12" s="83">
        <f>+'Balance Sheet'!D24</f>
        <v>52.569224894114377</v>
      </c>
      <c r="E12" s="83">
        <f>+'Balance Sheet'!E24</f>
        <v>53.037591884351244</v>
      </c>
      <c r="F12" s="83">
        <f>+'Balance Sheet'!F24</f>
        <v>58.419787458041931</v>
      </c>
      <c r="G12" s="93"/>
    </row>
    <row r="13" spans="1:7" ht="15" customHeight="1" x14ac:dyDescent="0.25">
      <c r="A13" s="89"/>
      <c r="B13" s="81"/>
      <c r="C13" s="81"/>
      <c r="D13" s="81"/>
      <c r="E13" s="81"/>
      <c r="F13" s="81"/>
      <c r="G13" s="93"/>
    </row>
    <row r="14" spans="1:7" ht="15" customHeight="1" x14ac:dyDescent="0.25">
      <c r="A14" s="89" t="s">
        <v>64</v>
      </c>
      <c r="B14" s="81">
        <f>+'Balance Sheet'!B25</f>
        <v>2.4498357844450746E-4</v>
      </c>
      <c r="C14" s="81">
        <f>+'Balance Sheet'!C25</f>
        <v>9.5907570528111302E-2</v>
      </c>
      <c r="D14" s="81">
        <f>+'Balance Sheet'!D25</f>
        <v>3.1896095280015825E-5</v>
      </c>
      <c r="E14" s="81">
        <f>+'Balance Sheet'!E25</f>
        <v>3.9653151550846425E-4</v>
      </c>
      <c r="F14" s="81">
        <f>+'Balance Sheet'!F25</f>
        <v>0</v>
      </c>
      <c r="G14" s="93"/>
    </row>
    <row r="15" spans="1:7" ht="15" customHeight="1" x14ac:dyDescent="0.25">
      <c r="A15" s="89" t="s">
        <v>66</v>
      </c>
      <c r="B15" s="80">
        <f>+'Balance Sheet'!B26</f>
        <v>0.15792253925479063</v>
      </c>
      <c r="C15" s="80">
        <f>+'Balance Sheet'!C26</f>
        <v>0.19825224525566162</v>
      </c>
      <c r="D15" s="80">
        <f>+'Balance Sheet'!D26</f>
        <v>0.26774779120130621</v>
      </c>
      <c r="E15" s="80">
        <f>+'Balance Sheet'!E26</f>
        <v>0.29855657037709521</v>
      </c>
      <c r="F15" s="80">
        <f>+'Balance Sheet'!F26</f>
        <v>0.25923374142243139</v>
      </c>
      <c r="G15" s="93"/>
    </row>
    <row r="16" spans="1:7" ht="15" customHeight="1" x14ac:dyDescent="0.25">
      <c r="A16" s="89" t="s">
        <v>67</v>
      </c>
      <c r="B16" s="80">
        <f>+'Balance Sheet'!B27</f>
        <v>0.22793200309216019</v>
      </c>
      <c r="C16" s="80">
        <f>+'Balance Sheet'!C27</f>
        <v>0.27167103198940118</v>
      </c>
      <c r="D16" s="80">
        <f>+'Balance Sheet'!D27</f>
        <v>0.36235836134976968</v>
      </c>
      <c r="E16" s="80">
        <f>+'Balance Sheet'!E27</f>
        <v>0.41116109637273507</v>
      </c>
      <c r="F16" s="80">
        <f>+'Balance Sheet'!F27</f>
        <v>0.36066665825563626</v>
      </c>
      <c r="G16" s="93"/>
    </row>
    <row r="17" spans="1:7" ht="15" customHeight="1" x14ac:dyDescent="0.25">
      <c r="A17" s="89"/>
      <c r="B17" s="81"/>
      <c r="C17" s="81"/>
      <c r="D17" s="81"/>
      <c r="E17" s="81"/>
      <c r="F17" s="81"/>
      <c r="G17" s="93"/>
    </row>
    <row r="18" spans="1:7" ht="15" customHeight="1" x14ac:dyDescent="0.25">
      <c r="A18" s="89" t="s">
        <v>172</v>
      </c>
      <c r="B18" s="84">
        <f>+'Cashflow Statement'!B14</f>
        <v>1.6133410897808802</v>
      </c>
      <c r="C18" s="84">
        <f>+'Cashflow Statement'!C14</f>
        <v>1.310224618149147</v>
      </c>
      <c r="D18" s="84">
        <f>+'Cashflow Statement'!D14</f>
        <v>1.0910219582258145</v>
      </c>
      <c r="E18" s="84">
        <f>+'Cashflow Statement'!E14</f>
        <v>1.0052448979591837</v>
      </c>
      <c r="F18" s="84">
        <f>+'Cashflow Statement'!F14</f>
        <v>1.0239490644288252</v>
      </c>
      <c r="G18" s="93"/>
    </row>
    <row r="19" spans="1:7" ht="15" customHeight="1" x14ac:dyDescent="0.25">
      <c r="A19" s="89" t="s">
        <v>84</v>
      </c>
      <c r="B19" s="85">
        <f>('Data Sheet'!B66*'Data Sheet'!B50/10000000)+'Data Sheet'!B36-'Data Sheet'!B47</f>
        <v>615.61418323999999</v>
      </c>
      <c r="C19" s="85">
        <f>('Data Sheet'!C66*'Data Sheet'!C50/10000000)+'Data Sheet'!C36-'Data Sheet'!C47</f>
        <v>2883.5520000000001</v>
      </c>
      <c r="D19" s="85">
        <f>('Data Sheet'!D66*'Data Sheet'!D50/10000000)+'Data Sheet'!D36-'Data Sheet'!D47</f>
        <v>9236.1473319544984</v>
      </c>
      <c r="E19" s="85">
        <f>('Data Sheet'!E66*'Data Sheet'!E50/10000000)+'Data Sheet'!E36-'Data Sheet'!E47</f>
        <v>6337.4518269562213</v>
      </c>
      <c r="F19" s="85">
        <f>('Data Sheet'!F66*'Data Sheet'!F50/10000000)+'Data Sheet'!F36-'Data Sheet'!F47</f>
        <v>10709.052709410549</v>
      </c>
      <c r="G19" s="313">
        <f>'Data Sheet'!B6*'Data Sheet'!B8/10000000</f>
        <v>13820</v>
      </c>
    </row>
    <row r="20" spans="1:7" ht="15" customHeight="1" x14ac:dyDescent="0.25">
      <c r="A20" s="89" t="s">
        <v>82</v>
      </c>
      <c r="B20" s="81">
        <f>B19/'Income Statement'!B5</f>
        <v>1.9119046654865053</v>
      </c>
      <c r="C20" s="81">
        <f>C19/'Income Statement'!C5</f>
        <v>6.4360690132357217</v>
      </c>
      <c r="D20" s="81">
        <f>D19/'Income Statement'!D5</f>
        <v>13.981663864052589</v>
      </c>
      <c r="E20" s="81">
        <f>E19/'Income Statement'!E5</f>
        <v>8.7652510676830833</v>
      </c>
      <c r="F20" s="81">
        <f>F19/'Income Statement'!F5</f>
        <v>13.821699418444183</v>
      </c>
      <c r="G20" s="94"/>
    </row>
    <row r="21" spans="1:7" ht="15" customHeight="1" thickBot="1" x14ac:dyDescent="0.3">
      <c r="A21" s="95" t="s">
        <v>83</v>
      </c>
      <c r="B21" s="96">
        <f>'Data Sheet'!B66*'Data Sheet'!B69/'Data Sheet'!B17</f>
        <v>0.94146402607169721</v>
      </c>
      <c r="C21" s="96">
        <f>'Data Sheet'!C66*'Data Sheet'!C69/'Data Sheet'!C17</f>
        <v>3.2140719979034706</v>
      </c>
      <c r="D21" s="96">
        <f>'Data Sheet'!D66*'Data Sheet'!D69/'Data Sheet'!D17</f>
        <v>4.7931899923623495</v>
      </c>
      <c r="E21" s="96">
        <f>'Data Sheet'!E66*'Data Sheet'!E69/'Data Sheet'!E17</f>
        <v>2.6269391515114906</v>
      </c>
      <c r="F21" s="96">
        <f>'Data Sheet'!F66*'Data Sheet'!F69/'Data Sheet'!F17</f>
        <v>4.0084651038782591</v>
      </c>
      <c r="G21" s="97"/>
    </row>
    <row r="22" spans="1:7" ht="15" customHeight="1" thickBot="1" x14ac:dyDescent="0.3">
      <c r="A22" s="1"/>
      <c r="B22" s="18"/>
      <c r="C22" s="18"/>
      <c r="D22" s="18"/>
      <c r="E22" s="18"/>
      <c r="F22" s="18"/>
      <c r="G22" s="42"/>
    </row>
    <row r="23" spans="1:7" ht="15" customHeight="1" x14ac:dyDescent="0.25">
      <c r="A23" s="342" t="s">
        <v>240</v>
      </c>
      <c r="B23" s="315">
        <f>'FCFF Forecast and DCF'!B27*(1-'FCFF Forecast and DCF'!$G$31)</f>
        <v>220.12437900984318</v>
      </c>
      <c r="C23" s="315">
        <f>'FCFF Forecast and DCF'!C27*(1-'FCFF Forecast and DCF'!$G$31)</f>
        <v>296.32525957439907</v>
      </c>
      <c r="D23" s="315">
        <f>'FCFF Forecast and DCF'!D27*(1-'FCFF Forecast and DCF'!$G$31)</f>
        <v>430.21084980291789</v>
      </c>
      <c r="E23" s="315">
        <f>'FCFF Forecast and DCF'!E27*(1-'FCFF Forecast and DCF'!$G$31)</f>
        <v>498.90917010236336</v>
      </c>
      <c r="F23" s="315">
        <f>'FCFF Forecast and DCF'!F27*(1-'FCFF Forecast and DCF'!$G$31)</f>
        <v>528.26155119867246</v>
      </c>
      <c r="G23" s="316"/>
    </row>
    <row r="24" spans="1:7" ht="15" customHeight="1" x14ac:dyDescent="0.25">
      <c r="A24" s="343" t="s">
        <v>237</v>
      </c>
      <c r="B24" s="344">
        <f>'FCFF Forecast and DCF'!B43</f>
        <v>176.9</v>
      </c>
      <c r="C24" s="344">
        <f>'FCFF Forecast and DCF'!C43</f>
        <v>328.59000000000003</v>
      </c>
      <c r="D24" s="344">
        <f>'FCFF Forecast and DCF'!D43</f>
        <v>90.19</v>
      </c>
      <c r="E24" s="344">
        <f>'FCFF Forecast and DCF'!E43</f>
        <v>193.01</v>
      </c>
      <c r="F24" s="344">
        <f>'FCFF Forecast and DCF'!F43</f>
        <v>175.76999999999998</v>
      </c>
      <c r="G24" s="72"/>
    </row>
    <row r="25" spans="1:7" ht="15" customHeight="1" x14ac:dyDescent="0.25">
      <c r="A25" s="343" t="s">
        <v>238</v>
      </c>
      <c r="B25" s="344">
        <f>'FCFF Forecast and DCF'!B45</f>
        <v>0</v>
      </c>
      <c r="C25" s="344">
        <f>'FCFF Forecast and DCF'!C45</f>
        <v>155.61000000000001</v>
      </c>
      <c r="D25" s="344">
        <f>'FCFF Forecast and DCF'!D45</f>
        <v>112.7700000000001</v>
      </c>
      <c r="E25" s="344">
        <f>'FCFF Forecast and DCF'!E45</f>
        <v>-10.720000000000141</v>
      </c>
      <c r="F25" s="344">
        <f>'FCFF Forecast and DCF'!F45</f>
        <v>351.63000000000011</v>
      </c>
      <c r="G25" s="72"/>
    </row>
    <row r="26" spans="1:7" ht="15" customHeight="1" x14ac:dyDescent="0.25">
      <c r="A26" s="343" t="s">
        <v>12</v>
      </c>
      <c r="B26" s="211">
        <f>'FCFF Forecast and DCF'!B41</f>
        <v>70.900000000000006</v>
      </c>
      <c r="C26" s="211">
        <f>'FCFF Forecast and DCF'!C41</f>
        <v>81.59</v>
      </c>
      <c r="D26" s="211">
        <f>'FCFF Forecast and DCF'!D41</f>
        <v>103.19</v>
      </c>
      <c r="E26" s="211">
        <f>'FCFF Forecast and DCF'!E41</f>
        <v>114.01</v>
      </c>
      <c r="F26" s="211">
        <f>'FCFF Forecast and DCF'!F41</f>
        <v>125.77</v>
      </c>
      <c r="G26" s="72"/>
    </row>
    <row r="27" spans="1:7" ht="15" customHeight="1" thickBot="1" x14ac:dyDescent="0.3">
      <c r="A27" s="345" t="s">
        <v>239</v>
      </c>
      <c r="B27" s="31">
        <f>(B24+B25-B26)/B23</f>
        <v>0.48154593542435414</v>
      </c>
      <c r="C27" s="31">
        <f t="shared" ref="C27:F27" si="0">(C24+C25-C26)/C23</f>
        <v>1.3586759379819788</v>
      </c>
      <c r="D27" s="31">
        <f t="shared" si="0"/>
        <v>0.23190953934728822</v>
      </c>
      <c r="E27" s="31">
        <f t="shared" si="0"/>
        <v>0.13685857885913491</v>
      </c>
      <c r="F27" s="31">
        <f t="shared" si="0"/>
        <v>0.76028626177442959</v>
      </c>
      <c r="G27" s="317"/>
    </row>
  </sheetData>
  <mergeCells count="2">
    <mergeCell ref="A1:G1"/>
    <mergeCell ref="B2:G2"/>
  </mergeCells>
  <conditionalFormatting sqref="B18:F18">
    <cfRule type="cellIs" dxfId="24" priority="70" operator="lessThan">
      <formula>0.8</formula>
    </cfRule>
    <cfRule type="cellIs" dxfId="23" priority="71" operator="greaterThanOrEqual">
      <formula>0.8</formula>
    </cfRule>
  </conditionalFormatting>
  <conditionalFormatting sqref="B4:F10 B17:F17 B19:F22">
    <cfRule type="cellIs" dxfId="22" priority="134" operator="lessThan">
      <formula>#REF!</formula>
    </cfRule>
  </conditionalFormatting>
  <conditionalFormatting sqref="B4:F10 B17:F17 B19:F22">
    <cfRule type="cellIs" dxfId="21" priority="136" operator="greaterThanOrEqual">
      <formula>#REF!</formula>
    </cfRule>
  </conditionalFormatting>
  <conditionalFormatting sqref="B14:F14 B12:F12">
    <cfRule type="cellIs" dxfId="20" priority="139" operator="greaterThanOrEqual">
      <formula>#REF!</formula>
    </cfRule>
    <cfRule type="cellIs" dxfId="19" priority="140" operator="lessThan">
      <formula>#REF!</formula>
    </cfRule>
  </conditionalFormatting>
  <conditionalFormatting sqref="B15:F16">
    <cfRule type="cellIs" dxfId="18" priority="148" operator="greaterThanOrEqual">
      <formula>#REF!</formula>
    </cfRule>
    <cfRule type="cellIs" dxfId="17" priority="149" operator="lessThan">
      <formula>#REF!</formula>
    </cfRule>
  </conditionalFormatting>
  <conditionalFormatting sqref="B11:F11 B13:F13">
    <cfRule type="cellIs" dxfId="16" priority="153" operator="lessThan">
      <formula>#REF!</formula>
    </cfRule>
    <cfRule type="cellIs" dxfId="15" priority="154" operator="greaterThanOrEqual">
      <formula>#REF!</formula>
    </cfRule>
  </conditionalFormatting>
  <pageMargins left="0.7" right="0.7" top="0.75" bottom="0.75" header="0.3" footer="0.3"/>
  <pageSetup paperSize="11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914B2-D32F-4418-AEED-44B73615AFDA}">
  <dimension ref="A1:P744"/>
  <sheetViews>
    <sheetView zoomScale="70" zoomScaleNormal="70" workbookViewId="0">
      <selection activeCell="I21" sqref="I21"/>
    </sheetView>
  </sheetViews>
  <sheetFormatPr defaultRowHeight="15" x14ac:dyDescent="0.25"/>
  <cols>
    <col min="1" max="1" width="17.28515625" customWidth="1"/>
    <col min="2" max="2" width="21" customWidth="1"/>
    <col min="3" max="3" width="21.42578125" customWidth="1"/>
    <col min="4" max="4" width="12.42578125" bestFit="1" customWidth="1"/>
    <col min="5" max="5" width="13.5703125" bestFit="1" customWidth="1"/>
    <col min="6" max="6" width="16.85546875" bestFit="1" customWidth="1"/>
    <col min="7" max="7" width="16.85546875" customWidth="1"/>
    <col min="8" max="8" width="15.7109375" bestFit="1" customWidth="1"/>
    <col min="9" max="9" width="54.85546875" customWidth="1"/>
    <col min="10" max="10" width="31.7109375" customWidth="1"/>
    <col min="11" max="11" width="9.42578125" customWidth="1"/>
    <col min="12" max="12" width="8.85546875" bestFit="1" customWidth="1"/>
    <col min="13" max="13" width="3" customWidth="1"/>
    <col min="14" max="14" width="15.5703125" customWidth="1"/>
    <col min="15" max="15" width="14.140625" customWidth="1"/>
    <col min="16" max="16" width="3" customWidth="1"/>
    <col min="19" max="19" width="3" customWidth="1"/>
    <col min="23" max="23" width="15.85546875" bestFit="1" customWidth="1"/>
    <col min="24" max="24" width="3.140625" customWidth="1"/>
    <col min="25" max="25" width="28.85546875" customWidth="1"/>
  </cols>
  <sheetData>
    <row r="1" spans="1:16" x14ac:dyDescent="0.25">
      <c r="A1" s="297" t="s">
        <v>179</v>
      </c>
      <c r="B1" s="297"/>
      <c r="C1" s="297"/>
      <c r="D1" s="297"/>
      <c r="E1" s="297"/>
      <c r="F1" s="297"/>
      <c r="G1" s="297"/>
      <c r="I1" s="295" t="s">
        <v>184</v>
      </c>
      <c r="J1" s="296"/>
    </row>
    <row r="2" spans="1:16" x14ac:dyDescent="0.25">
      <c r="A2" t="s">
        <v>94</v>
      </c>
      <c r="B2" t="s">
        <v>175</v>
      </c>
      <c r="C2" t="s">
        <v>176</v>
      </c>
      <c r="D2" t="s">
        <v>177</v>
      </c>
      <c r="E2" t="s">
        <v>217</v>
      </c>
      <c r="F2" t="s">
        <v>218</v>
      </c>
      <c r="G2" t="s">
        <v>178</v>
      </c>
      <c r="I2" s="71" t="s">
        <v>186</v>
      </c>
      <c r="J2" s="212">
        <v>7.3649999999999993E-2</v>
      </c>
    </row>
    <row r="3" spans="1:16" x14ac:dyDescent="0.25">
      <c r="A3" s="56">
        <v>45541</v>
      </c>
      <c r="B3" s="210">
        <v>2832.6</v>
      </c>
      <c r="C3" s="210">
        <v>2910</v>
      </c>
      <c r="D3" s="54">
        <v>-2.4899999999999999E-2</v>
      </c>
      <c r="E3" s="210">
        <v>42607.85</v>
      </c>
      <c r="F3" s="210">
        <v>42228.9</v>
      </c>
      <c r="G3" s="54">
        <v>-9.7000000000000003E-3</v>
      </c>
      <c r="I3" s="71" t="s">
        <v>185</v>
      </c>
      <c r="J3" s="72"/>
    </row>
    <row r="4" spans="1:16" x14ac:dyDescent="0.25">
      <c r="A4" s="56">
        <v>45540</v>
      </c>
      <c r="B4" s="210">
        <v>2904.9</v>
      </c>
      <c r="C4" s="210">
        <v>2881.85</v>
      </c>
      <c r="D4" s="54">
        <v>1.21E-2</v>
      </c>
      <c r="E4" s="210">
        <v>42578.15</v>
      </c>
      <c r="F4" s="210">
        <v>42644.65</v>
      </c>
      <c r="G4" s="54">
        <v>4.5999999999999999E-3</v>
      </c>
      <c r="I4" s="71"/>
      <c r="J4" s="72"/>
    </row>
    <row r="5" spans="1:16" x14ac:dyDescent="0.25">
      <c r="A5" s="56">
        <v>45539</v>
      </c>
      <c r="B5" s="210">
        <v>2870.05</v>
      </c>
      <c r="C5" s="210">
        <v>2848</v>
      </c>
      <c r="D5" s="54">
        <v>-1.0200000000000001E-2</v>
      </c>
      <c r="E5" s="210">
        <v>42315.7</v>
      </c>
      <c r="F5" s="210">
        <v>42450.5</v>
      </c>
      <c r="G5" s="54">
        <v>-9.4000000000000004E-3</v>
      </c>
      <c r="I5" s="71" t="s">
        <v>93</v>
      </c>
      <c r="J5" s="213">
        <f>_xlfn.COVARIANCE.S(D3:D499,G3:G499)/_xlfn.VAR.S(G3:G499)</f>
        <v>0.35058815602308679</v>
      </c>
    </row>
    <row r="6" spans="1:16" x14ac:dyDescent="0.25">
      <c r="A6" s="56">
        <v>45538</v>
      </c>
      <c r="B6" s="210">
        <v>2899.65</v>
      </c>
      <c r="C6" s="210">
        <v>2872</v>
      </c>
      <c r="D6" s="54">
        <v>1.5800000000000002E-2</v>
      </c>
      <c r="E6" s="210">
        <v>42953.1</v>
      </c>
      <c r="F6" s="210">
        <v>42851.3</v>
      </c>
      <c r="G6" s="54">
        <v>-2.8999999999999998E-3</v>
      </c>
      <c r="I6" s="71" t="s">
        <v>188</v>
      </c>
      <c r="J6" s="72">
        <f>INTERCEPT(D3:D499,G3:G499)</f>
        <v>1.2870456402862523E-3</v>
      </c>
    </row>
    <row r="7" spans="1:16" x14ac:dyDescent="0.25">
      <c r="A7" s="56">
        <v>45537</v>
      </c>
      <c r="B7" s="210">
        <v>2854.55</v>
      </c>
      <c r="C7" s="210">
        <v>2944</v>
      </c>
      <c r="D7" s="54">
        <v>-1.7000000000000001E-2</v>
      </c>
      <c r="E7" s="210">
        <v>42864.85</v>
      </c>
      <c r="F7" s="210">
        <v>42975.6</v>
      </c>
      <c r="G7" s="54">
        <v>4.4000000000000003E-3</v>
      </c>
      <c r="I7" s="71" t="s">
        <v>180</v>
      </c>
      <c r="J7" s="72"/>
    </row>
    <row r="8" spans="1:16" x14ac:dyDescent="0.25">
      <c r="A8" s="56">
        <v>45534</v>
      </c>
      <c r="B8" s="210">
        <v>2903.8</v>
      </c>
      <c r="C8" s="210">
        <v>2838.9</v>
      </c>
      <c r="D8" s="54">
        <v>2.3800000000000002E-2</v>
      </c>
      <c r="E8" s="210">
        <v>42644.1</v>
      </c>
      <c r="F8" s="210">
        <v>42787.8</v>
      </c>
      <c r="G8" s="54">
        <v>4.5999999999999999E-3</v>
      </c>
      <c r="I8" s="71"/>
      <c r="J8" s="72"/>
      <c r="M8" s="68"/>
    </row>
    <row r="9" spans="1:16" x14ac:dyDescent="0.25">
      <c r="A9" s="56">
        <v>45533</v>
      </c>
      <c r="B9" s="210">
        <v>2836.25</v>
      </c>
      <c r="C9" s="210">
        <v>2870</v>
      </c>
      <c r="D9" s="54">
        <v>-8.2000000000000007E-3</v>
      </c>
      <c r="E9" s="210">
        <v>42191.1</v>
      </c>
      <c r="F9" s="210">
        <v>42591.65</v>
      </c>
      <c r="G9" s="54">
        <v>4.7000000000000002E-3</v>
      </c>
      <c r="I9" s="71"/>
      <c r="J9" s="72"/>
      <c r="M9" s="55"/>
    </row>
    <row r="10" spans="1:16" x14ac:dyDescent="0.25">
      <c r="A10" s="56">
        <v>45532</v>
      </c>
      <c r="B10" s="210">
        <v>2859.75</v>
      </c>
      <c r="C10" s="210">
        <v>2847.85</v>
      </c>
      <c r="D10" s="54">
        <v>1.7999999999999999E-2</v>
      </c>
      <c r="E10" s="210">
        <v>41792.9</v>
      </c>
      <c r="F10" s="210">
        <v>42394.400000000001</v>
      </c>
      <c r="G10" s="54">
        <v>1.6400000000000001E-2</v>
      </c>
      <c r="I10" s="71" t="s">
        <v>181</v>
      </c>
      <c r="J10" s="214">
        <f>(F3/F500)^(1/2)-1</f>
        <v>0.23375731009813983</v>
      </c>
      <c r="M10" s="69"/>
    </row>
    <row r="11" spans="1:16" x14ac:dyDescent="0.25">
      <c r="A11" s="56">
        <v>45531</v>
      </c>
      <c r="B11" s="210">
        <v>2809.25</v>
      </c>
      <c r="C11" s="210">
        <v>2764.7</v>
      </c>
      <c r="D11" s="54">
        <v>1.9E-2</v>
      </c>
      <c r="E11" s="210">
        <v>41696.85</v>
      </c>
      <c r="F11" s="210">
        <v>41709.25</v>
      </c>
      <c r="G11" s="54">
        <v>1.1000000000000001E-3</v>
      </c>
      <c r="I11" s="71"/>
      <c r="J11" s="72"/>
      <c r="M11" s="69"/>
    </row>
    <row r="12" spans="1:16" x14ac:dyDescent="0.25">
      <c r="A12" s="56">
        <v>45530</v>
      </c>
      <c r="B12" s="210">
        <v>2756.8</v>
      </c>
      <c r="C12" s="210">
        <v>2749.9</v>
      </c>
      <c r="D12" s="54">
        <v>1.4E-2</v>
      </c>
      <c r="E12" s="210">
        <v>41343.449999999997</v>
      </c>
      <c r="F12" s="210">
        <v>41662.1</v>
      </c>
      <c r="G12" s="54">
        <v>1.3899999999999999E-2</v>
      </c>
      <c r="I12" s="71" t="s">
        <v>182</v>
      </c>
      <c r="J12" s="212">
        <f>J10-J2</f>
        <v>0.16010731009813983</v>
      </c>
    </row>
    <row r="13" spans="1:16" x14ac:dyDescent="0.25">
      <c r="A13" s="56">
        <v>45527</v>
      </c>
      <c r="B13" s="210">
        <v>2718.85</v>
      </c>
      <c r="C13" s="210">
        <v>2686</v>
      </c>
      <c r="D13" s="54">
        <v>1.3599999999999999E-2</v>
      </c>
      <c r="E13" s="210">
        <v>41492.75</v>
      </c>
      <c r="F13" s="210">
        <v>41089.85</v>
      </c>
      <c r="G13" s="54">
        <v>-0.01</v>
      </c>
      <c r="I13" s="71"/>
      <c r="J13" s="72"/>
      <c r="M13" s="69"/>
    </row>
    <row r="14" spans="1:16" x14ac:dyDescent="0.25">
      <c r="A14" s="56">
        <v>45526</v>
      </c>
      <c r="B14" s="210">
        <v>2682.35</v>
      </c>
      <c r="C14" s="210">
        <v>2740</v>
      </c>
      <c r="D14" s="54">
        <v>-2.63E-2</v>
      </c>
      <c r="E14" s="210">
        <v>41735.25</v>
      </c>
      <c r="F14" s="210">
        <v>41506.199999999997</v>
      </c>
      <c r="G14" s="54">
        <v>-1.6000000000000001E-3</v>
      </c>
      <c r="I14" s="71" t="s">
        <v>183</v>
      </c>
      <c r="J14" s="212">
        <f>J2+J12*J5</f>
        <v>0.12978172661312337</v>
      </c>
      <c r="P14" t="s">
        <v>139</v>
      </c>
    </row>
    <row r="15" spans="1:16" x14ac:dyDescent="0.25">
      <c r="A15" s="56">
        <v>45525</v>
      </c>
      <c r="B15" s="210">
        <v>2754.75</v>
      </c>
      <c r="C15" s="210">
        <v>2707.9</v>
      </c>
      <c r="D15" s="54">
        <v>2.4500000000000001E-2</v>
      </c>
      <c r="E15" s="210">
        <v>41532.050000000003</v>
      </c>
      <c r="F15" s="210">
        <v>41570.85</v>
      </c>
      <c r="G15" s="54">
        <v>0</v>
      </c>
      <c r="I15" s="71" t="s">
        <v>187</v>
      </c>
      <c r="J15" s="72"/>
    </row>
    <row r="16" spans="1:16" ht="15.75" thickBot="1" x14ac:dyDescent="0.3">
      <c r="A16" s="56">
        <v>45524</v>
      </c>
      <c r="B16" s="210">
        <v>2688.75</v>
      </c>
      <c r="C16" s="210">
        <v>2723</v>
      </c>
      <c r="D16" s="54">
        <v>-3.7000000000000002E-3</v>
      </c>
      <c r="E16" s="210">
        <v>41421.25</v>
      </c>
      <c r="F16" s="210">
        <v>41572.800000000003</v>
      </c>
      <c r="G16" s="54">
        <v>8.0999999999999996E-3</v>
      </c>
      <c r="I16" s="215" t="s">
        <v>92</v>
      </c>
      <c r="J16" s="216">
        <f>J14</f>
        <v>0.12978172661312337</v>
      </c>
    </row>
    <row r="17" spans="1:10" x14ac:dyDescent="0.25">
      <c r="A17" s="56">
        <v>45523</v>
      </c>
      <c r="B17" s="210">
        <v>2698.7</v>
      </c>
      <c r="C17" s="210">
        <v>2470.1999999999998</v>
      </c>
      <c r="D17" s="54">
        <v>8.5000000000000006E-2</v>
      </c>
      <c r="E17" s="210">
        <v>40940.9</v>
      </c>
      <c r="F17" s="210">
        <v>41236.85</v>
      </c>
      <c r="G17" s="54">
        <v>8.8000000000000005E-3</v>
      </c>
      <c r="I17" s="211"/>
      <c r="J17" s="211"/>
    </row>
    <row r="18" spans="1:10" x14ac:dyDescent="0.25">
      <c r="A18" s="56">
        <v>45520</v>
      </c>
      <c r="B18" s="210">
        <v>2487.35</v>
      </c>
      <c r="C18" s="210">
        <v>2402.15</v>
      </c>
      <c r="D18" s="54">
        <v>3.5499999999999997E-2</v>
      </c>
      <c r="E18" s="210">
        <v>40287.300000000003</v>
      </c>
      <c r="F18" s="210">
        <v>40878.25</v>
      </c>
      <c r="G18" s="54">
        <v>2.8899999999999999E-2</v>
      </c>
      <c r="I18" s="211"/>
      <c r="J18" s="211"/>
    </row>
    <row r="19" spans="1:10" x14ac:dyDescent="0.25">
      <c r="A19" s="56">
        <v>45518</v>
      </c>
      <c r="B19" s="210">
        <v>2402.15</v>
      </c>
      <c r="C19" s="210">
        <v>2460</v>
      </c>
      <c r="D19" s="54">
        <v>-3.32E-2</v>
      </c>
      <c r="E19" s="210">
        <v>39259.699999999997</v>
      </c>
      <c r="F19" s="210">
        <v>39731.25</v>
      </c>
      <c r="G19" s="54">
        <v>1.5800000000000002E-2</v>
      </c>
      <c r="I19" s="211"/>
      <c r="J19" s="211"/>
    </row>
    <row r="20" spans="1:10" x14ac:dyDescent="0.25">
      <c r="A20" s="56">
        <v>45517</v>
      </c>
      <c r="B20" s="210">
        <v>2484.65</v>
      </c>
      <c r="C20" s="210">
        <v>2570</v>
      </c>
      <c r="D20" s="54">
        <v>-2.7900000000000001E-2</v>
      </c>
      <c r="E20" s="210">
        <v>39198.25</v>
      </c>
      <c r="F20" s="210">
        <v>39114.85</v>
      </c>
      <c r="G20" s="54">
        <v>1E-4</v>
      </c>
      <c r="I20" s="211"/>
      <c r="J20" s="211"/>
    </row>
    <row r="21" spans="1:10" x14ac:dyDescent="0.25">
      <c r="A21" s="56">
        <v>45516</v>
      </c>
      <c r="B21" s="210">
        <v>2556</v>
      </c>
      <c r="C21" s="210">
        <v>2458</v>
      </c>
      <c r="D21" s="54">
        <v>0.03</v>
      </c>
      <c r="E21" s="210">
        <v>39038.949999999997</v>
      </c>
      <c r="F21" s="210">
        <v>39109.550000000003</v>
      </c>
      <c r="G21" s="54">
        <v>1.6999999999999999E-3</v>
      </c>
      <c r="I21" s="211"/>
      <c r="J21" s="211"/>
    </row>
    <row r="22" spans="1:10" x14ac:dyDescent="0.25">
      <c r="A22" s="56">
        <v>45513</v>
      </c>
      <c r="B22" s="210">
        <v>2481.4499999999998</v>
      </c>
      <c r="C22" s="210">
        <v>2550</v>
      </c>
      <c r="D22" s="54">
        <v>-1.8100000000000002E-2</v>
      </c>
      <c r="E22" s="210">
        <v>39007.699999999997</v>
      </c>
      <c r="F22" s="210">
        <v>39043.300000000003</v>
      </c>
      <c r="G22" s="54">
        <v>1.55E-2</v>
      </c>
      <c r="I22" s="211"/>
      <c r="J22" s="211"/>
    </row>
    <row r="23" spans="1:10" x14ac:dyDescent="0.25">
      <c r="A23" s="56">
        <v>45512</v>
      </c>
      <c r="B23" s="210">
        <v>2527.25</v>
      </c>
      <c r="C23" s="210">
        <v>2495</v>
      </c>
      <c r="D23" s="54">
        <v>1.6500000000000001E-2</v>
      </c>
      <c r="E23" s="210">
        <v>39030.5</v>
      </c>
      <c r="F23" s="210">
        <v>38448.300000000003</v>
      </c>
      <c r="G23" s="54">
        <v>-1.9E-2</v>
      </c>
    </row>
    <row r="24" spans="1:10" x14ac:dyDescent="0.25">
      <c r="A24" s="56">
        <v>45511</v>
      </c>
      <c r="B24" s="210">
        <v>2486.15</v>
      </c>
      <c r="C24" s="210">
        <v>2523</v>
      </c>
      <c r="D24" s="54">
        <v>1E-4</v>
      </c>
      <c r="E24" s="210">
        <v>39269.050000000003</v>
      </c>
      <c r="F24" s="210">
        <v>39194.800000000003</v>
      </c>
      <c r="G24" s="54">
        <v>1.4800000000000001E-2</v>
      </c>
      <c r="J24" s="54"/>
    </row>
    <row r="25" spans="1:10" x14ac:dyDescent="0.25">
      <c r="A25" s="56">
        <v>45510</v>
      </c>
      <c r="B25" s="210">
        <v>2485.85</v>
      </c>
      <c r="C25" s="210">
        <v>2415.9</v>
      </c>
      <c r="D25" s="54">
        <v>2.7300000000000001E-2</v>
      </c>
      <c r="E25" s="210">
        <v>38565.85</v>
      </c>
      <c r="F25" s="210">
        <v>38624.199999999997</v>
      </c>
      <c r="G25" s="54">
        <v>4.8999999999999998E-3</v>
      </c>
    </row>
    <row r="26" spans="1:10" x14ac:dyDescent="0.25">
      <c r="A26" s="56">
        <v>45509</v>
      </c>
      <c r="B26" s="210">
        <v>2419.9</v>
      </c>
      <c r="C26" s="210">
        <v>2400</v>
      </c>
      <c r="D26" s="54">
        <v>-8.2000000000000007E-3</v>
      </c>
      <c r="E26" s="210">
        <v>38822.550000000003</v>
      </c>
      <c r="F26" s="210">
        <v>38435.949999999997</v>
      </c>
      <c r="G26" s="54">
        <v>-3.2599999999999997E-2</v>
      </c>
    </row>
    <row r="27" spans="1:10" x14ac:dyDescent="0.25">
      <c r="A27" s="56">
        <v>45506</v>
      </c>
      <c r="B27" s="210">
        <v>2439.9499999999998</v>
      </c>
      <c r="C27" s="210">
        <v>2440</v>
      </c>
      <c r="D27" s="54">
        <v>-1.2999999999999999E-3</v>
      </c>
      <c r="E27" s="210">
        <v>40346.550000000003</v>
      </c>
      <c r="F27" s="210">
        <v>39730.300000000003</v>
      </c>
      <c r="G27" s="54">
        <v>-2.41E-2</v>
      </c>
    </row>
    <row r="28" spans="1:10" x14ac:dyDescent="0.25">
      <c r="A28" s="56">
        <v>45505</v>
      </c>
      <c r="B28" s="210">
        <v>2443.15</v>
      </c>
      <c r="C28" s="210">
        <v>2395.5500000000002</v>
      </c>
      <c r="D28" s="54">
        <v>1.9900000000000001E-2</v>
      </c>
      <c r="E28" s="210">
        <v>40862.400000000001</v>
      </c>
      <c r="F28" s="210">
        <v>40709.4</v>
      </c>
      <c r="G28" s="54">
        <v>-3.5000000000000001E-3</v>
      </c>
    </row>
    <row r="29" spans="1:10" x14ac:dyDescent="0.25">
      <c r="A29" s="56">
        <v>45504</v>
      </c>
      <c r="B29" s="210">
        <v>2395.5500000000002</v>
      </c>
      <c r="C29" s="210">
        <v>2413.6999999999998</v>
      </c>
      <c r="D29" s="54">
        <v>-1.6999999999999999E-3</v>
      </c>
      <c r="E29" s="210">
        <v>40728.75</v>
      </c>
      <c r="F29" s="210">
        <v>40851.1</v>
      </c>
      <c r="G29" s="54">
        <v>1.8E-3</v>
      </c>
    </row>
    <row r="30" spans="1:10" x14ac:dyDescent="0.25">
      <c r="A30" s="56">
        <v>45503</v>
      </c>
      <c r="B30" s="210">
        <v>2399.65</v>
      </c>
      <c r="C30" s="210">
        <v>2365.25</v>
      </c>
      <c r="D30" s="54">
        <v>1.44E-2</v>
      </c>
      <c r="E30" s="210">
        <v>40827.1</v>
      </c>
      <c r="F30" s="210">
        <v>40776.35</v>
      </c>
      <c r="G30" s="54">
        <v>-1.1000000000000001E-3</v>
      </c>
    </row>
    <row r="31" spans="1:10" x14ac:dyDescent="0.25">
      <c r="A31" s="56">
        <v>45502</v>
      </c>
      <c r="B31" s="210">
        <v>2365.5500000000002</v>
      </c>
      <c r="C31" s="210">
        <v>2399.9</v>
      </c>
      <c r="D31" s="54">
        <v>-1.04E-2</v>
      </c>
      <c r="E31" s="210">
        <v>41220.75</v>
      </c>
      <c r="F31" s="210">
        <v>40820.1</v>
      </c>
      <c r="G31" s="54">
        <v>-3.8E-3</v>
      </c>
    </row>
    <row r="32" spans="1:10" x14ac:dyDescent="0.25">
      <c r="A32" s="56">
        <v>45499</v>
      </c>
      <c r="B32" s="210">
        <v>2390.5</v>
      </c>
      <c r="C32" s="210">
        <v>2396</v>
      </c>
      <c r="D32" s="54">
        <v>-1.1000000000000001E-3</v>
      </c>
      <c r="E32" s="210">
        <v>40164.449999999997</v>
      </c>
      <c r="F32" s="210">
        <v>40977.35</v>
      </c>
      <c r="G32" s="54">
        <v>2.3E-2</v>
      </c>
    </row>
    <row r="33" spans="1:7" x14ac:dyDescent="0.25">
      <c r="A33" s="56">
        <v>45498</v>
      </c>
      <c r="B33" s="210">
        <v>2393.25</v>
      </c>
      <c r="C33" s="210">
        <v>2429</v>
      </c>
      <c r="D33" s="54">
        <v>-1.5599999999999999E-2</v>
      </c>
      <c r="E33" s="210">
        <v>39809.800000000003</v>
      </c>
      <c r="F33" s="210">
        <v>40055.5</v>
      </c>
      <c r="G33" s="54">
        <v>-1.5E-3</v>
      </c>
    </row>
    <row r="34" spans="1:7" x14ac:dyDescent="0.25">
      <c r="A34" s="56">
        <v>45497</v>
      </c>
      <c r="B34" s="210">
        <v>2431.1</v>
      </c>
      <c r="C34" s="210">
        <v>2383.6999999999998</v>
      </c>
      <c r="D34" s="54">
        <v>2.06E-2</v>
      </c>
      <c r="E34" s="210">
        <v>40003</v>
      </c>
      <c r="F34" s="210">
        <v>40115.050000000003</v>
      </c>
      <c r="G34" s="54">
        <v>1.8E-3</v>
      </c>
    </row>
    <row r="35" spans="1:7" x14ac:dyDescent="0.25">
      <c r="A35" s="56">
        <v>45496</v>
      </c>
      <c r="B35" s="210">
        <v>2382.0500000000002</v>
      </c>
      <c r="C35" s="210">
        <v>2399</v>
      </c>
      <c r="D35" s="54">
        <v>-2.1600000000000001E-2</v>
      </c>
      <c r="E35" s="210">
        <v>39773.75</v>
      </c>
      <c r="F35" s="210">
        <v>40044.699999999997</v>
      </c>
      <c r="G35" s="54">
        <v>6.7999999999999996E-3</v>
      </c>
    </row>
    <row r="36" spans="1:7" x14ac:dyDescent="0.25">
      <c r="A36" s="56">
        <v>45495</v>
      </c>
      <c r="B36" s="210">
        <v>2434.5500000000002</v>
      </c>
      <c r="C36" s="210">
        <v>2390</v>
      </c>
      <c r="D36" s="54">
        <v>8.9999999999999998E-4</v>
      </c>
      <c r="E36" s="210">
        <v>39664.85</v>
      </c>
      <c r="F36" s="210">
        <v>39773.15</v>
      </c>
      <c r="G36" s="54">
        <v>-3.8E-3</v>
      </c>
    </row>
    <row r="37" spans="1:7" x14ac:dyDescent="0.25">
      <c r="A37" s="56">
        <v>45492</v>
      </c>
      <c r="B37" s="210">
        <v>2432.35</v>
      </c>
      <c r="C37" s="210">
        <v>2465.15</v>
      </c>
      <c r="D37" s="54">
        <v>-1.77E-2</v>
      </c>
      <c r="E37" s="210">
        <v>40682.699999999997</v>
      </c>
      <c r="F37" s="210">
        <v>39923.300000000003</v>
      </c>
      <c r="G37" s="54">
        <v>-2.2000000000000001E-3</v>
      </c>
    </row>
    <row r="38" spans="1:7" x14ac:dyDescent="0.25">
      <c r="A38" s="56">
        <v>45491</v>
      </c>
      <c r="B38" s="210">
        <v>2476.1999999999998</v>
      </c>
      <c r="C38" s="210">
        <v>2475</v>
      </c>
      <c r="D38" s="54">
        <v>-8.5000000000000006E-3</v>
      </c>
      <c r="E38" s="210">
        <v>39010.35</v>
      </c>
      <c r="F38" s="210">
        <v>40010.400000000001</v>
      </c>
      <c r="G38" s="54">
        <v>2.2200000000000001E-2</v>
      </c>
    </row>
    <row r="39" spans="1:7" x14ac:dyDescent="0.25">
      <c r="A39" s="56">
        <v>45489</v>
      </c>
      <c r="B39" s="210">
        <v>2497.5</v>
      </c>
      <c r="C39" s="210">
        <v>2528.0500000000002</v>
      </c>
      <c r="D39" s="54">
        <v>-1.21E-2</v>
      </c>
      <c r="E39" s="210">
        <v>39013.75</v>
      </c>
      <c r="F39" s="210">
        <v>39141.5</v>
      </c>
      <c r="G39" s="54">
        <v>5.8999999999999999E-3</v>
      </c>
    </row>
    <row r="40" spans="1:7" x14ac:dyDescent="0.25">
      <c r="A40" s="56">
        <v>45488</v>
      </c>
      <c r="B40" s="210">
        <v>2528.0500000000002</v>
      </c>
      <c r="C40" s="210">
        <v>2573</v>
      </c>
      <c r="D40" s="54">
        <v>-1.0200000000000001E-2</v>
      </c>
      <c r="E40" s="210">
        <v>39432.1</v>
      </c>
      <c r="F40" s="210">
        <v>38911.35</v>
      </c>
      <c r="G40" s="54">
        <v>-2.8999999999999998E-3</v>
      </c>
    </row>
    <row r="41" spans="1:7" x14ac:dyDescent="0.25">
      <c r="A41" s="56">
        <v>45485</v>
      </c>
      <c r="B41" s="210">
        <v>2554.1</v>
      </c>
      <c r="C41" s="210">
        <v>2520.0500000000002</v>
      </c>
      <c r="D41" s="54">
        <v>1.35E-2</v>
      </c>
      <c r="E41" s="210">
        <v>37917.35</v>
      </c>
      <c r="F41" s="210">
        <v>39023</v>
      </c>
      <c r="G41" s="54">
        <v>4.53E-2</v>
      </c>
    </row>
    <row r="42" spans="1:7" x14ac:dyDescent="0.25">
      <c r="A42" s="56">
        <v>45484</v>
      </c>
      <c r="B42" s="210">
        <v>2520.0500000000002</v>
      </c>
      <c r="C42" s="210">
        <v>2539.6999999999998</v>
      </c>
      <c r="D42" s="54">
        <v>-7.7000000000000002E-3</v>
      </c>
      <c r="E42" s="210">
        <v>37464.85</v>
      </c>
      <c r="F42" s="210">
        <v>37332.6</v>
      </c>
      <c r="G42" s="54">
        <v>1.4E-3</v>
      </c>
    </row>
    <row r="43" spans="1:7" x14ac:dyDescent="0.25">
      <c r="A43" s="56">
        <v>45483</v>
      </c>
      <c r="B43" s="210">
        <v>2539.6999999999998</v>
      </c>
      <c r="C43" s="210">
        <v>2499.9499999999998</v>
      </c>
      <c r="D43" s="54">
        <v>1.47E-2</v>
      </c>
      <c r="E43" s="210">
        <v>37713.949999999997</v>
      </c>
      <c r="F43" s="210">
        <v>37280.75</v>
      </c>
      <c r="G43" s="54">
        <v>-1.03E-2</v>
      </c>
    </row>
    <row r="44" spans="1:7" x14ac:dyDescent="0.25">
      <c r="A44" s="56">
        <v>45482</v>
      </c>
      <c r="B44" s="210">
        <v>2502.8000000000002</v>
      </c>
      <c r="C44" s="210">
        <v>2484</v>
      </c>
      <c r="D44" s="54">
        <v>5.9999999999999995E-4</v>
      </c>
      <c r="E44" s="210">
        <v>37747.300000000003</v>
      </c>
      <c r="F44" s="210">
        <v>37668.65</v>
      </c>
      <c r="G44" s="54">
        <v>-2E-3</v>
      </c>
    </row>
    <row r="45" spans="1:7" x14ac:dyDescent="0.25">
      <c r="A45" s="56">
        <v>45481</v>
      </c>
      <c r="B45" s="210">
        <v>2501.25</v>
      </c>
      <c r="C45" s="210">
        <v>2501.65</v>
      </c>
      <c r="D45" s="54">
        <v>-2.0000000000000001E-4</v>
      </c>
      <c r="E45" s="210">
        <v>37766</v>
      </c>
      <c r="F45" s="210">
        <v>37742.25</v>
      </c>
      <c r="G45" s="54">
        <v>5.9999999999999995E-4</v>
      </c>
    </row>
    <row r="46" spans="1:7" x14ac:dyDescent="0.25">
      <c r="A46" s="56">
        <v>45478</v>
      </c>
      <c r="B46" s="210">
        <v>2501.65</v>
      </c>
      <c r="C46" s="210">
        <v>2516</v>
      </c>
      <c r="D46" s="54">
        <v>-6.0000000000000001E-3</v>
      </c>
      <c r="E46" s="210">
        <v>37754.15</v>
      </c>
      <c r="F46" s="210">
        <v>37720.75</v>
      </c>
      <c r="G46" s="54">
        <v>-1E-4</v>
      </c>
    </row>
    <row r="47" spans="1:7" x14ac:dyDescent="0.25">
      <c r="A47" s="56">
        <v>45477</v>
      </c>
      <c r="B47" s="210">
        <v>2516.75</v>
      </c>
      <c r="C47" s="210">
        <v>2475.15</v>
      </c>
      <c r="D47" s="54">
        <v>-6.9999999999999999E-4</v>
      </c>
      <c r="E47" s="210">
        <v>37455.65</v>
      </c>
      <c r="F47" s="210">
        <v>37725.9</v>
      </c>
      <c r="G47" s="54">
        <v>1.0999999999999999E-2</v>
      </c>
    </row>
    <row r="48" spans="1:7" x14ac:dyDescent="0.25">
      <c r="A48" s="56">
        <v>45476</v>
      </c>
      <c r="B48" s="210">
        <v>2518.5</v>
      </c>
      <c r="C48" s="210">
        <v>2476.4</v>
      </c>
      <c r="D48" s="54">
        <v>2.4899999999999999E-2</v>
      </c>
      <c r="E48" s="210">
        <v>37439.449999999997</v>
      </c>
      <c r="F48" s="210">
        <v>37314.35</v>
      </c>
      <c r="G48" s="54">
        <v>4.0000000000000002E-4</v>
      </c>
    </row>
    <row r="49" spans="1:7" x14ac:dyDescent="0.25">
      <c r="A49" s="56">
        <v>45475</v>
      </c>
      <c r="B49" s="210">
        <v>2457.1999999999998</v>
      </c>
      <c r="C49" s="210">
        <v>2455</v>
      </c>
      <c r="D49" s="54">
        <v>5.1000000000000004E-3</v>
      </c>
      <c r="E49" s="210">
        <v>37006.35</v>
      </c>
      <c r="F49" s="210">
        <v>37299.15</v>
      </c>
      <c r="G49" s="54">
        <v>1.17E-2</v>
      </c>
    </row>
    <row r="50" spans="1:7" x14ac:dyDescent="0.25">
      <c r="A50" s="56">
        <v>45474</v>
      </c>
      <c r="B50" s="210">
        <v>2444.85</v>
      </c>
      <c r="C50" s="210">
        <v>2436</v>
      </c>
      <c r="D50" s="54">
        <v>1.06E-2</v>
      </c>
      <c r="E50" s="210">
        <v>36103</v>
      </c>
      <c r="F50" s="210">
        <v>36869.199999999997</v>
      </c>
      <c r="G50" s="54">
        <v>1.9699999999999999E-2</v>
      </c>
    </row>
    <row r="51" spans="1:7" x14ac:dyDescent="0.25">
      <c r="A51" s="56">
        <v>45471</v>
      </c>
      <c r="B51" s="210">
        <v>2419.1</v>
      </c>
      <c r="C51" s="210">
        <v>2410</v>
      </c>
      <c r="D51" s="54">
        <v>9.7000000000000003E-3</v>
      </c>
      <c r="E51" s="210">
        <v>36154.199999999997</v>
      </c>
      <c r="F51" s="210">
        <v>36157.5</v>
      </c>
      <c r="G51" s="54">
        <v>8.9999999999999998E-4</v>
      </c>
    </row>
    <row r="52" spans="1:7" x14ac:dyDescent="0.25">
      <c r="A52" s="56">
        <v>45470</v>
      </c>
      <c r="B52" s="210">
        <v>2395.8000000000002</v>
      </c>
      <c r="C52" s="210">
        <v>2420</v>
      </c>
      <c r="D52" s="54">
        <v>-5.4000000000000003E-3</v>
      </c>
      <c r="E52" s="210">
        <v>35289.25</v>
      </c>
      <c r="F52" s="210">
        <v>36123.699999999997</v>
      </c>
      <c r="G52" s="54">
        <v>2.0299999999999999E-2</v>
      </c>
    </row>
    <row r="53" spans="1:7" x14ac:dyDescent="0.25">
      <c r="A53" s="56">
        <v>45469</v>
      </c>
      <c r="B53" s="210">
        <v>2408.6999999999998</v>
      </c>
      <c r="C53" s="210">
        <v>2389.4</v>
      </c>
      <c r="D53" s="54">
        <v>1.8100000000000002E-2</v>
      </c>
      <c r="E53" s="210">
        <v>35484.050000000003</v>
      </c>
      <c r="F53" s="210">
        <v>35406.6</v>
      </c>
      <c r="G53" s="54">
        <v>-5.9999999999999995E-4</v>
      </c>
    </row>
    <row r="54" spans="1:7" x14ac:dyDescent="0.25">
      <c r="A54" s="56">
        <v>45468</v>
      </c>
      <c r="B54" s="210">
        <v>2365.9</v>
      </c>
      <c r="C54" s="210">
        <v>2398</v>
      </c>
      <c r="D54" s="54">
        <v>1.5E-3</v>
      </c>
      <c r="E54" s="210">
        <v>35146.65</v>
      </c>
      <c r="F54" s="210">
        <v>35426.9</v>
      </c>
      <c r="G54" s="54">
        <v>8.0999999999999996E-3</v>
      </c>
    </row>
    <row r="55" spans="1:7" x14ac:dyDescent="0.25">
      <c r="A55" s="56">
        <v>45467</v>
      </c>
      <c r="B55" s="210">
        <v>2362.4499999999998</v>
      </c>
      <c r="C55" s="210">
        <v>2406.1999999999998</v>
      </c>
      <c r="D55" s="54">
        <v>-1.83E-2</v>
      </c>
      <c r="E55" s="210">
        <v>35067.75</v>
      </c>
      <c r="F55" s="210">
        <v>35143.800000000003</v>
      </c>
      <c r="G55" s="54">
        <v>-1.6000000000000001E-3</v>
      </c>
    </row>
    <row r="56" spans="1:7" x14ac:dyDescent="0.25">
      <c r="A56" s="56">
        <v>45464</v>
      </c>
      <c r="B56" s="210">
        <v>2406.5</v>
      </c>
      <c r="C56" s="210">
        <v>2400</v>
      </c>
      <c r="D56" s="54">
        <v>1.32E-2</v>
      </c>
      <c r="E56" s="210">
        <v>35474.35</v>
      </c>
      <c r="F56" s="210">
        <v>35200.300000000003</v>
      </c>
      <c r="G56" s="54">
        <v>7.6E-3</v>
      </c>
    </row>
    <row r="57" spans="1:7" x14ac:dyDescent="0.25">
      <c r="A57" s="56">
        <v>45463</v>
      </c>
      <c r="B57" s="210">
        <v>2375.1</v>
      </c>
      <c r="C57" s="210">
        <v>2380</v>
      </c>
      <c r="D57" s="54">
        <v>-3.0000000000000001E-3</v>
      </c>
      <c r="E57" s="210">
        <v>35002.5</v>
      </c>
      <c r="F57" s="210">
        <v>34936.449999999997</v>
      </c>
      <c r="G57" s="54">
        <v>2.9999999999999997E-4</v>
      </c>
    </row>
    <row r="58" spans="1:7" x14ac:dyDescent="0.25">
      <c r="A58" s="56">
        <v>45462</v>
      </c>
      <c r="B58" s="210">
        <v>2382.1999999999998</v>
      </c>
      <c r="C58" s="210">
        <v>2376.0500000000002</v>
      </c>
      <c r="D58" s="54">
        <v>5.4000000000000003E-3</v>
      </c>
      <c r="E58" s="210">
        <v>34904.9</v>
      </c>
      <c r="F58" s="210">
        <v>34927.1</v>
      </c>
      <c r="G58" s="54">
        <v>3.5999999999999999E-3</v>
      </c>
    </row>
    <row r="59" spans="1:7" x14ac:dyDescent="0.25">
      <c r="A59" s="56">
        <v>45461</v>
      </c>
      <c r="B59" s="210">
        <v>2369.3000000000002</v>
      </c>
      <c r="C59" s="210">
        <v>2392.1999999999998</v>
      </c>
      <c r="D59" s="54">
        <v>-4.5999999999999999E-3</v>
      </c>
      <c r="E59" s="210">
        <v>34696</v>
      </c>
      <c r="F59" s="210">
        <v>34802.949999999997</v>
      </c>
      <c r="G59" s="54">
        <v>5.8999999999999999E-3</v>
      </c>
    </row>
    <row r="60" spans="1:7" x14ac:dyDescent="0.25">
      <c r="A60" s="56">
        <v>45457</v>
      </c>
      <c r="B60" s="210">
        <v>2380.15</v>
      </c>
      <c r="C60" s="210">
        <v>2410.75</v>
      </c>
      <c r="D60" s="54">
        <v>-1.3299999999999999E-2</v>
      </c>
      <c r="E60" s="210">
        <v>35035.699999999997</v>
      </c>
      <c r="F60" s="210">
        <v>34598.550000000003</v>
      </c>
      <c r="G60" s="54">
        <v>-8.6999999999999994E-3</v>
      </c>
    </row>
    <row r="61" spans="1:7" x14ac:dyDescent="0.25">
      <c r="A61" s="56">
        <v>45456</v>
      </c>
      <c r="B61" s="210">
        <v>2412.15</v>
      </c>
      <c r="C61" s="210">
        <v>2398.85</v>
      </c>
      <c r="D61" s="54">
        <v>1.06E-2</v>
      </c>
      <c r="E61" s="210">
        <v>34796.400000000001</v>
      </c>
      <c r="F61" s="210">
        <v>34902.050000000003</v>
      </c>
      <c r="G61" s="54">
        <v>1.03E-2</v>
      </c>
    </row>
    <row r="62" spans="1:7" x14ac:dyDescent="0.25">
      <c r="A62" s="56">
        <v>45455</v>
      </c>
      <c r="B62" s="210">
        <v>2386.9</v>
      </c>
      <c r="C62" s="210">
        <v>2408</v>
      </c>
      <c r="D62" s="54">
        <v>-6.6E-3</v>
      </c>
      <c r="E62" s="210">
        <v>34860.050000000003</v>
      </c>
      <c r="F62" s="210">
        <v>34547.449999999997</v>
      </c>
      <c r="G62" s="54">
        <v>5.0000000000000001E-4</v>
      </c>
    </row>
    <row r="63" spans="1:7" x14ac:dyDescent="0.25">
      <c r="A63" s="56">
        <v>45454</v>
      </c>
      <c r="B63" s="210">
        <v>2402.85</v>
      </c>
      <c r="C63" s="210">
        <v>2406.0500000000002</v>
      </c>
      <c r="D63" s="54">
        <v>-1.6000000000000001E-3</v>
      </c>
      <c r="E63" s="210">
        <v>34600.85</v>
      </c>
      <c r="F63" s="210">
        <v>34531.449999999997</v>
      </c>
      <c r="G63" s="54">
        <v>2.0000000000000001E-4</v>
      </c>
    </row>
    <row r="64" spans="1:7" x14ac:dyDescent="0.25">
      <c r="A64" s="56">
        <v>45453</v>
      </c>
      <c r="B64" s="210">
        <v>2406.65</v>
      </c>
      <c r="C64" s="210">
        <v>2342</v>
      </c>
      <c r="D64" s="54">
        <v>3.7999999999999999E-2</v>
      </c>
      <c r="E64" s="210">
        <v>35140.449999999997</v>
      </c>
      <c r="F64" s="210">
        <v>34526.25</v>
      </c>
      <c r="G64" s="54">
        <v>-1.83E-2</v>
      </c>
    </row>
    <row r="65" spans="1:7" x14ac:dyDescent="0.25">
      <c r="A65" s="56">
        <v>45450</v>
      </c>
      <c r="B65" s="210">
        <v>2318.6</v>
      </c>
      <c r="C65" s="210">
        <v>2233</v>
      </c>
      <c r="D65" s="54">
        <v>4.3900000000000002E-2</v>
      </c>
      <c r="E65" s="210">
        <v>34274.6</v>
      </c>
      <c r="F65" s="210">
        <v>35169.9</v>
      </c>
      <c r="G65" s="54">
        <v>3.3700000000000001E-2</v>
      </c>
    </row>
    <row r="66" spans="1:7" x14ac:dyDescent="0.25">
      <c r="A66" s="56">
        <v>45449</v>
      </c>
      <c r="B66" s="210">
        <v>2221.0500000000002</v>
      </c>
      <c r="C66" s="210">
        <v>2150.25</v>
      </c>
      <c r="D66" s="54">
        <v>4.3200000000000002E-2</v>
      </c>
      <c r="E66" s="210">
        <v>33451.699999999997</v>
      </c>
      <c r="F66" s="210">
        <v>34023.800000000003</v>
      </c>
      <c r="G66" s="54">
        <v>2.8299999999999999E-2</v>
      </c>
    </row>
    <row r="67" spans="1:7" x14ac:dyDescent="0.25">
      <c r="A67" s="56">
        <v>45448</v>
      </c>
      <c r="B67" s="210">
        <v>2129.15</v>
      </c>
      <c r="C67" s="210">
        <v>2174</v>
      </c>
      <c r="D67" s="54">
        <v>-1.5800000000000002E-2</v>
      </c>
      <c r="E67" s="210">
        <v>32464.05</v>
      </c>
      <c r="F67" s="210">
        <v>33087.949999999997</v>
      </c>
      <c r="G67" s="54">
        <v>2.3900000000000001E-2</v>
      </c>
    </row>
    <row r="68" spans="1:7" x14ac:dyDescent="0.25">
      <c r="A68" s="56">
        <v>45447</v>
      </c>
      <c r="B68" s="210">
        <v>2163.25</v>
      </c>
      <c r="C68" s="210">
        <v>2197.8000000000002</v>
      </c>
      <c r="D68" s="54">
        <v>-1.2800000000000001E-2</v>
      </c>
      <c r="E68" s="210">
        <v>32575.200000000001</v>
      </c>
      <c r="F68" s="210">
        <v>32315.55</v>
      </c>
      <c r="G68" s="54">
        <v>-6.0000000000000001E-3</v>
      </c>
    </row>
    <row r="69" spans="1:7" x14ac:dyDescent="0.25">
      <c r="A69" s="56">
        <v>45446</v>
      </c>
      <c r="B69" s="210">
        <v>2191.35</v>
      </c>
      <c r="C69" s="210">
        <v>2240</v>
      </c>
      <c r="D69" s="54">
        <v>-1.1999999999999999E-3</v>
      </c>
      <c r="E69" s="210">
        <v>33114.699999999997</v>
      </c>
      <c r="F69" s="210">
        <v>32511.4</v>
      </c>
      <c r="G69" s="54">
        <v>3.8999999999999998E-3</v>
      </c>
    </row>
    <row r="70" spans="1:7" x14ac:dyDescent="0.25">
      <c r="A70" s="56">
        <v>45443</v>
      </c>
      <c r="B70" s="210">
        <v>2193.9</v>
      </c>
      <c r="C70" s="210">
        <v>2229.6999999999998</v>
      </c>
      <c r="D70" s="54">
        <v>-9.4999999999999998E-3</v>
      </c>
      <c r="E70" s="210">
        <v>32732.799999999999</v>
      </c>
      <c r="F70" s="210">
        <v>32386.1</v>
      </c>
      <c r="G70" s="54">
        <v>-1.2800000000000001E-2</v>
      </c>
    </row>
    <row r="71" spans="1:7" x14ac:dyDescent="0.25">
      <c r="A71" s="56">
        <v>45442</v>
      </c>
      <c r="B71" s="210">
        <v>2215.0500000000002</v>
      </c>
      <c r="C71" s="210">
        <v>2214.4499999999998</v>
      </c>
      <c r="D71" s="54">
        <v>2.0000000000000001E-4</v>
      </c>
      <c r="E71" s="210">
        <v>33363.9</v>
      </c>
      <c r="F71" s="210">
        <v>32806.75</v>
      </c>
      <c r="G71" s="54">
        <v>-2.1899999999999999E-2</v>
      </c>
    </row>
    <row r="72" spans="1:7" x14ac:dyDescent="0.25">
      <c r="A72" s="56">
        <v>45441</v>
      </c>
      <c r="B72" s="210">
        <v>2214.65</v>
      </c>
      <c r="C72" s="210">
        <v>2189.85</v>
      </c>
      <c r="D72" s="54">
        <v>1.55E-2</v>
      </c>
      <c r="E72" s="210">
        <v>33888.9</v>
      </c>
      <c r="F72" s="210">
        <v>33542.699999999997</v>
      </c>
      <c r="G72" s="54">
        <v>-0.01</v>
      </c>
    </row>
    <row r="73" spans="1:7" x14ac:dyDescent="0.25">
      <c r="A73" s="56">
        <v>45440</v>
      </c>
      <c r="B73" s="210">
        <v>2180.9</v>
      </c>
      <c r="C73" s="210">
        <v>2193.4</v>
      </c>
      <c r="D73" s="54">
        <v>0</v>
      </c>
      <c r="E73" s="210">
        <v>34095.65</v>
      </c>
      <c r="F73" s="210">
        <v>33880.85</v>
      </c>
      <c r="G73" s="54">
        <v>-3.3999999999999998E-3</v>
      </c>
    </row>
    <row r="74" spans="1:7" x14ac:dyDescent="0.25">
      <c r="A74" s="56">
        <v>45439</v>
      </c>
      <c r="B74" s="210">
        <v>2180.8000000000002</v>
      </c>
      <c r="C74" s="210">
        <v>2258</v>
      </c>
      <c r="D74" s="54">
        <v>-2.8299999999999999E-2</v>
      </c>
      <c r="E74" s="210">
        <v>33914.449999999997</v>
      </c>
      <c r="F74" s="210">
        <v>33995.25</v>
      </c>
      <c r="G74" s="54">
        <v>5.1000000000000004E-3</v>
      </c>
    </row>
    <row r="75" spans="1:7" x14ac:dyDescent="0.25">
      <c r="A75" s="56">
        <v>45436</v>
      </c>
      <c r="B75" s="210">
        <v>2244.25</v>
      </c>
      <c r="C75" s="210">
        <v>2289</v>
      </c>
      <c r="D75" s="54">
        <v>-1.4E-2</v>
      </c>
      <c r="E75" s="210">
        <v>34024.65</v>
      </c>
      <c r="F75" s="210">
        <v>33824.300000000003</v>
      </c>
      <c r="G75" s="54">
        <v>-6.4000000000000003E-3</v>
      </c>
    </row>
    <row r="76" spans="1:7" x14ac:dyDescent="0.25">
      <c r="A76" s="56">
        <v>45435</v>
      </c>
      <c r="B76" s="210">
        <v>2276.15</v>
      </c>
      <c r="C76" s="210">
        <v>2330.9499999999998</v>
      </c>
      <c r="D76" s="54">
        <v>-1.8700000000000001E-2</v>
      </c>
      <c r="E76" s="210">
        <v>33683.699999999997</v>
      </c>
      <c r="F76" s="210">
        <v>34042.85</v>
      </c>
      <c r="G76" s="54">
        <v>1.2800000000000001E-2</v>
      </c>
    </row>
    <row r="77" spans="1:7" x14ac:dyDescent="0.25">
      <c r="A77" s="56">
        <v>45434</v>
      </c>
      <c r="B77" s="210">
        <v>2319.5</v>
      </c>
      <c r="C77" s="210">
        <v>2343.85</v>
      </c>
      <c r="D77" s="54">
        <v>-1.04E-2</v>
      </c>
      <c r="E77" s="210">
        <v>33444.25</v>
      </c>
      <c r="F77" s="210">
        <v>33613.1</v>
      </c>
      <c r="G77" s="54">
        <v>7.0000000000000001E-3</v>
      </c>
    </row>
    <row r="78" spans="1:7" x14ac:dyDescent="0.25">
      <c r="A78" s="56">
        <v>45433</v>
      </c>
      <c r="B78" s="210">
        <v>2343.85</v>
      </c>
      <c r="C78" s="210">
        <v>2364.5</v>
      </c>
      <c r="D78" s="54">
        <v>-9.4000000000000004E-3</v>
      </c>
      <c r="E78" s="210">
        <v>33253</v>
      </c>
      <c r="F78" s="210">
        <v>33379.75</v>
      </c>
      <c r="G78" s="54">
        <v>-1.8E-3</v>
      </c>
    </row>
    <row r="79" spans="1:7" x14ac:dyDescent="0.25">
      <c r="A79" s="56">
        <v>45430</v>
      </c>
      <c r="B79" s="210">
        <v>2366.1999999999998</v>
      </c>
      <c r="C79" s="210">
        <v>2317.9</v>
      </c>
      <c r="D79" s="54">
        <v>3.8399999999999997E-2</v>
      </c>
      <c r="E79" s="210">
        <v>33446.25</v>
      </c>
      <c r="F79" s="210">
        <v>33438.75</v>
      </c>
      <c r="G79" s="54">
        <v>1.6999999999999999E-3</v>
      </c>
    </row>
    <row r="80" spans="1:7" x14ac:dyDescent="0.25">
      <c r="A80" s="56">
        <v>45429</v>
      </c>
      <c r="B80" s="210">
        <v>2278.8000000000002</v>
      </c>
      <c r="C80" s="210">
        <v>2340</v>
      </c>
      <c r="D80" s="54">
        <v>-5.1299999999999998E-2</v>
      </c>
      <c r="E80" s="210">
        <v>33763.85</v>
      </c>
      <c r="F80" s="210">
        <v>33381.85</v>
      </c>
      <c r="G80" s="54">
        <v>-8.5000000000000006E-3</v>
      </c>
    </row>
    <row r="81" spans="1:7" x14ac:dyDescent="0.25">
      <c r="A81" s="56">
        <v>45428</v>
      </c>
      <c r="B81" s="210">
        <v>2401.9</v>
      </c>
      <c r="C81" s="210">
        <v>2344.9499999999998</v>
      </c>
      <c r="D81" s="54">
        <v>4.3200000000000002E-2</v>
      </c>
      <c r="E81" s="210">
        <v>33364.65</v>
      </c>
      <c r="F81" s="210">
        <v>33668.449999999997</v>
      </c>
      <c r="G81" s="54">
        <v>1.66E-2</v>
      </c>
    </row>
    <row r="82" spans="1:7" x14ac:dyDescent="0.25">
      <c r="A82" s="56">
        <v>45427</v>
      </c>
      <c r="B82" s="210">
        <v>2302.4499999999998</v>
      </c>
      <c r="C82" s="210">
        <v>2264</v>
      </c>
      <c r="D82" s="54">
        <v>2.5700000000000001E-2</v>
      </c>
      <c r="E82" s="210">
        <v>33144</v>
      </c>
      <c r="F82" s="210">
        <v>33117.4</v>
      </c>
      <c r="G82" s="54">
        <v>-2.0000000000000001E-4</v>
      </c>
    </row>
    <row r="83" spans="1:7" x14ac:dyDescent="0.25">
      <c r="A83" s="56">
        <v>45426</v>
      </c>
      <c r="B83" s="210">
        <v>2244.6999999999998</v>
      </c>
      <c r="C83" s="210">
        <v>2182</v>
      </c>
      <c r="D83" s="54">
        <v>3.1699999999999999E-2</v>
      </c>
      <c r="E83" s="210">
        <v>33106.75</v>
      </c>
      <c r="F83" s="210">
        <v>33122.85</v>
      </c>
      <c r="G83" s="54">
        <v>1.5E-3</v>
      </c>
    </row>
    <row r="84" spans="1:7" x14ac:dyDescent="0.25">
      <c r="A84" s="56">
        <v>45425</v>
      </c>
      <c r="B84" s="210">
        <v>2175.6999999999998</v>
      </c>
      <c r="C84" s="210">
        <v>2329</v>
      </c>
      <c r="D84" s="54">
        <v>-5.2200000000000003E-2</v>
      </c>
      <c r="E84" s="210">
        <v>32910.65</v>
      </c>
      <c r="F84" s="210">
        <v>33074.6</v>
      </c>
      <c r="G84" s="54">
        <v>4.1999999999999997E-3</v>
      </c>
    </row>
    <row r="85" spans="1:7" x14ac:dyDescent="0.25">
      <c r="A85" s="56">
        <v>45422</v>
      </c>
      <c r="B85" s="210">
        <v>2295.6</v>
      </c>
      <c r="C85" s="210">
        <v>2369</v>
      </c>
      <c r="D85" s="54">
        <v>-1.6299999999999999E-2</v>
      </c>
      <c r="E85" s="210">
        <v>33166.1</v>
      </c>
      <c r="F85" s="210">
        <v>32935.15</v>
      </c>
      <c r="G85" s="54">
        <v>-8.2000000000000007E-3</v>
      </c>
    </row>
    <row r="86" spans="1:7" x14ac:dyDescent="0.25">
      <c r="A86" s="56">
        <v>45421</v>
      </c>
      <c r="B86" s="210">
        <v>2333.6999999999998</v>
      </c>
      <c r="C86" s="210">
        <v>2374.75</v>
      </c>
      <c r="D86" s="54">
        <v>-1.7299999999999999E-2</v>
      </c>
      <c r="E86" s="210">
        <v>33275.75</v>
      </c>
      <c r="F86" s="210">
        <v>33205.85</v>
      </c>
      <c r="G86" s="54">
        <v>-3.8999999999999998E-3</v>
      </c>
    </row>
    <row r="87" spans="1:7" x14ac:dyDescent="0.25">
      <c r="A87" s="56">
        <v>45420</v>
      </c>
      <c r="B87" s="210">
        <v>2374.75</v>
      </c>
      <c r="C87" s="210">
        <v>2359.85</v>
      </c>
      <c r="D87" s="54">
        <v>-3.8E-3</v>
      </c>
      <c r="E87" s="210">
        <v>33425.15</v>
      </c>
      <c r="F87" s="210">
        <v>33335.15</v>
      </c>
      <c r="G87" s="54">
        <v>-4.1000000000000003E-3</v>
      </c>
    </row>
    <row r="88" spans="1:7" x14ac:dyDescent="0.25">
      <c r="A88" s="56">
        <v>45419</v>
      </c>
      <c r="B88" s="210">
        <v>2383.6999999999998</v>
      </c>
      <c r="C88" s="210">
        <v>2360.1</v>
      </c>
      <c r="D88" s="54">
        <v>5.4000000000000003E-3</v>
      </c>
      <c r="E88" s="210">
        <v>33268.15</v>
      </c>
      <c r="F88" s="210">
        <v>33473</v>
      </c>
      <c r="G88" s="54">
        <v>7.7000000000000002E-3</v>
      </c>
    </row>
    <row r="89" spans="1:7" x14ac:dyDescent="0.25">
      <c r="A89" s="56">
        <v>45418</v>
      </c>
      <c r="B89" s="210">
        <v>2370.9499999999998</v>
      </c>
      <c r="C89" s="210">
        <v>2415.8000000000002</v>
      </c>
      <c r="D89" s="54">
        <v>-1.9800000000000002E-2</v>
      </c>
      <c r="E89" s="210">
        <v>33041.199999999997</v>
      </c>
      <c r="F89" s="210">
        <v>33217.15</v>
      </c>
      <c r="G89" s="54">
        <v>9.4000000000000004E-3</v>
      </c>
    </row>
    <row r="90" spans="1:7" x14ac:dyDescent="0.25">
      <c r="A90" s="56">
        <v>45415</v>
      </c>
      <c r="B90" s="210">
        <v>2418.9</v>
      </c>
      <c r="C90" s="210">
        <v>2449.9</v>
      </c>
      <c r="D90" s="54">
        <v>-1.2699999999999999E-2</v>
      </c>
      <c r="E90" s="210">
        <v>33248.5</v>
      </c>
      <c r="F90" s="210">
        <v>32908.400000000001</v>
      </c>
      <c r="G90" s="54">
        <v>-8.8999999999999999E-3</v>
      </c>
    </row>
    <row r="91" spans="1:7" x14ac:dyDescent="0.25">
      <c r="A91" s="56">
        <v>45414</v>
      </c>
      <c r="B91" s="210">
        <v>2449.9</v>
      </c>
      <c r="C91" s="210">
        <v>2464</v>
      </c>
      <c r="D91" s="54">
        <v>-5.5999999999999999E-3</v>
      </c>
      <c r="E91" s="210">
        <v>33059.300000000003</v>
      </c>
      <c r="F91" s="210">
        <v>33203.35</v>
      </c>
      <c r="G91" s="54">
        <v>1E-4</v>
      </c>
    </row>
    <row r="92" spans="1:7" x14ac:dyDescent="0.25">
      <c r="A92" s="56">
        <v>45412</v>
      </c>
      <c r="B92" s="210">
        <v>2463.65</v>
      </c>
      <c r="C92" s="210">
        <v>2484.9499999999998</v>
      </c>
      <c r="D92" s="54">
        <v>-8.3999999999999995E-3</v>
      </c>
      <c r="E92" s="210">
        <v>33547.699999999997</v>
      </c>
      <c r="F92" s="210">
        <v>33200.949999999997</v>
      </c>
      <c r="G92" s="54">
        <v>-1.1299999999999999E-2</v>
      </c>
    </row>
    <row r="93" spans="1:7" x14ac:dyDescent="0.25">
      <c r="A93" s="56">
        <v>45411</v>
      </c>
      <c r="B93" s="210">
        <v>2484.5500000000002</v>
      </c>
      <c r="C93" s="210">
        <v>2421.6</v>
      </c>
      <c r="D93" s="54">
        <v>2.2200000000000001E-2</v>
      </c>
      <c r="E93" s="210">
        <v>33640.75</v>
      </c>
      <c r="F93" s="210">
        <v>33579.4</v>
      </c>
      <c r="G93" s="54">
        <v>-2.5999999999999999E-3</v>
      </c>
    </row>
    <row r="94" spans="1:7" x14ac:dyDescent="0.25">
      <c r="A94" s="56">
        <v>45408</v>
      </c>
      <c r="B94" s="210">
        <v>2430.6</v>
      </c>
      <c r="C94" s="210">
        <v>2454.85</v>
      </c>
      <c r="D94" s="54">
        <v>-9.9000000000000008E-3</v>
      </c>
      <c r="E94" s="210">
        <v>33743.1</v>
      </c>
      <c r="F94" s="210">
        <v>33666.25</v>
      </c>
      <c r="G94" s="54">
        <v>3.3E-3</v>
      </c>
    </row>
    <row r="95" spans="1:7" x14ac:dyDescent="0.25">
      <c r="A95" s="56">
        <v>45407</v>
      </c>
      <c r="B95" s="210">
        <v>2454.85</v>
      </c>
      <c r="C95" s="210">
        <v>2404.0500000000002</v>
      </c>
      <c r="D95" s="54">
        <v>1.8100000000000002E-2</v>
      </c>
      <c r="E95" s="210">
        <v>33283.449999999997</v>
      </c>
      <c r="F95" s="210">
        <v>33554.449999999997</v>
      </c>
      <c r="G95" s="54">
        <v>3.3E-3</v>
      </c>
    </row>
    <row r="96" spans="1:7" x14ac:dyDescent="0.25">
      <c r="A96" s="56">
        <v>45406</v>
      </c>
      <c r="B96" s="210">
        <v>2411.1</v>
      </c>
      <c r="C96" s="210">
        <v>2360</v>
      </c>
      <c r="D96" s="54">
        <v>2.5000000000000001E-2</v>
      </c>
      <c r="E96" s="210">
        <v>33829.550000000003</v>
      </c>
      <c r="F96" s="210">
        <v>33442.550000000003</v>
      </c>
      <c r="G96" s="54">
        <v>-8.0999999999999996E-3</v>
      </c>
    </row>
    <row r="97" spans="1:7" x14ac:dyDescent="0.25">
      <c r="A97" s="56">
        <v>45405</v>
      </c>
      <c r="B97" s="210">
        <v>2352.4</v>
      </c>
      <c r="C97" s="210">
        <v>2361</v>
      </c>
      <c r="D97" s="54">
        <v>9.5999999999999992E-3</v>
      </c>
      <c r="E97" s="210">
        <v>33752.85</v>
      </c>
      <c r="F97" s="210">
        <v>33714.550000000003</v>
      </c>
      <c r="G97" s="54">
        <v>5.1999999999999998E-3</v>
      </c>
    </row>
    <row r="98" spans="1:7" x14ac:dyDescent="0.25">
      <c r="A98" s="56">
        <v>45404</v>
      </c>
      <c r="B98" s="210">
        <v>2330</v>
      </c>
      <c r="C98" s="210">
        <v>2350</v>
      </c>
      <c r="D98" s="54">
        <v>-3.2500000000000001E-2</v>
      </c>
      <c r="E98" s="210">
        <v>33488.75</v>
      </c>
      <c r="F98" s="210">
        <v>33538.800000000003</v>
      </c>
      <c r="G98" s="54">
        <v>5.1000000000000004E-3</v>
      </c>
    </row>
    <row r="99" spans="1:7" x14ac:dyDescent="0.25">
      <c r="A99" s="56">
        <v>45401</v>
      </c>
      <c r="B99" s="210">
        <v>2408.1999999999998</v>
      </c>
      <c r="C99" s="210">
        <v>2415</v>
      </c>
      <c r="D99" s="54">
        <v>-1.7000000000000001E-2</v>
      </c>
      <c r="E99" s="210">
        <v>33047.35</v>
      </c>
      <c r="F99" s="210">
        <v>33368.300000000003</v>
      </c>
      <c r="G99" s="54">
        <v>-3.8999999999999998E-3</v>
      </c>
    </row>
    <row r="100" spans="1:7" x14ac:dyDescent="0.25">
      <c r="A100" s="56">
        <v>45400</v>
      </c>
      <c r="B100" s="210">
        <v>2449.9</v>
      </c>
      <c r="C100" s="210">
        <v>2443.9499999999998</v>
      </c>
      <c r="D100" s="54">
        <v>2.8999999999999998E-3</v>
      </c>
      <c r="E100" s="210">
        <v>33746.400000000001</v>
      </c>
      <c r="F100" s="210">
        <v>33498.65</v>
      </c>
      <c r="G100" s="54">
        <v>-2.3E-3</v>
      </c>
    </row>
    <row r="101" spans="1:7" x14ac:dyDescent="0.25">
      <c r="A101" s="56">
        <v>45398</v>
      </c>
      <c r="B101" s="210">
        <v>2442.75</v>
      </c>
      <c r="C101" s="210">
        <v>2451.0500000000002</v>
      </c>
      <c r="D101" s="54">
        <v>-7.6E-3</v>
      </c>
      <c r="E101" s="210">
        <v>34108.6</v>
      </c>
      <c r="F101" s="210">
        <v>33574.949999999997</v>
      </c>
      <c r="G101" s="54">
        <v>-2.58E-2</v>
      </c>
    </row>
    <row r="102" spans="1:7" x14ac:dyDescent="0.25">
      <c r="A102" s="56">
        <v>45397</v>
      </c>
      <c r="B102" s="210">
        <v>2461.35</v>
      </c>
      <c r="C102" s="210">
        <v>2431</v>
      </c>
      <c r="D102" s="54">
        <v>0.01</v>
      </c>
      <c r="E102" s="210">
        <v>34845.800000000003</v>
      </c>
      <c r="F102" s="210">
        <v>34463.599999999999</v>
      </c>
      <c r="G102" s="54">
        <v>-1.5800000000000002E-2</v>
      </c>
    </row>
    <row r="103" spans="1:7" x14ac:dyDescent="0.25">
      <c r="A103" s="56">
        <v>45394</v>
      </c>
      <c r="B103" s="210">
        <v>2436.9499999999998</v>
      </c>
      <c r="C103" s="210">
        <v>2493</v>
      </c>
      <c r="D103" s="54">
        <v>-1.95E-2</v>
      </c>
      <c r="E103" s="210">
        <v>35222.550000000003</v>
      </c>
      <c r="F103" s="210">
        <v>35018.1</v>
      </c>
      <c r="G103" s="54">
        <v>-7.7999999999999996E-3</v>
      </c>
    </row>
    <row r="104" spans="1:7" x14ac:dyDescent="0.25">
      <c r="A104" s="56">
        <v>45392</v>
      </c>
      <c r="B104" s="210">
        <v>2485.4499999999998</v>
      </c>
      <c r="C104" s="210">
        <v>2475</v>
      </c>
      <c r="D104" s="54">
        <v>3.0000000000000001E-3</v>
      </c>
      <c r="E104" s="210">
        <v>35191.15</v>
      </c>
      <c r="F104" s="210">
        <v>35293.15</v>
      </c>
      <c r="G104" s="54">
        <v>6.1000000000000004E-3</v>
      </c>
    </row>
    <row r="105" spans="1:7" x14ac:dyDescent="0.25">
      <c r="A105" s="56">
        <v>45391</v>
      </c>
      <c r="B105" s="210">
        <v>2478.0500000000002</v>
      </c>
      <c r="C105" s="210">
        <v>2498</v>
      </c>
      <c r="D105" s="54">
        <v>-1E-4</v>
      </c>
      <c r="E105" s="210">
        <v>35241.9</v>
      </c>
      <c r="F105" s="210">
        <v>35079.35</v>
      </c>
      <c r="G105" s="54">
        <v>4.0000000000000002E-4</v>
      </c>
    </row>
    <row r="106" spans="1:7" x14ac:dyDescent="0.25">
      <c r="A106" s="56">
        <v>45390</v>
      </c>
      <c r="B106" s="210">
        <v>2478.3000000000002</v>
      </c>
      <c r="C106" s="210">
        <v>2506</v>
      </c>
      <c r="D106" s="54">
        <v>5.9999999999999995E-4</v>
      </c>
      <c r="E106" s="210">
        <v>35381</v>
      </c>
      <c r="F106" s="210">
        <v>35064.15</v>
      </c>
      <c r="G106" s="54">
        <v>-5.1999999999999998E-3</v>
      </c>
    </row>
    <row r="107" spans="1:7" x14ac:dyDescent="0.25">
      <c r="A107" s="56">
        <v>45387</v>
      </c>
      <c r="B107" s="210">
        <v>2476.85</v>
      </c>
      <c r="C107" s="210">
        <v>2499</v>
      </c>
      <c r="D107" s="54">
        <v>-2.0000000000000001E-4</v>
      </c>
      <c r="E107" s="210">
        <v>35331.800000000003</v>
      </c>
      <c r="F107" s="210">
        <v>35247.9</v>
      </c>
      <c r="G107" s="54">
        <v>-5.0000000000000001E-3</v>
      </c>
    </row>
    <row r="108" spans="1:7" x14ac:dyDescent="0.25">
      <c r="A108" s="56">
        <v>45386</v>
      </c>
      <c r="B108" s="210">
        <v>2477.3000000000002</v>
      </c>
      <c r="C108" s="210">
        <v>2465.1999999999998</v>
      </c>
      <c r="D108" s="54">
        <v>1.09E-2</v>
      </c>
      <c r="E108" s="210">
        <v>35314.699999999997</v>
      </c>
      <c r="F108" s="210">
        <v>35426.699999999997</v>
      </c>
      <c r="G108" s="54">
        <v>1.0800000000000001E-2</v>
      </c>
    </row>
    <row r="109" spans="1:7" x14ac:dyDescent="0.25">
      <c r="A109" s="56">
        <v>45385</v>
      </c>
      <c r="B109" s="210">
        <v>2450.5500000000002</v>
      </c>
      <c r="C109" s="210">
        <v>2399.5500000000002</v>
      </c>
      <c r="D109" s="54">
        <v>2.9399999999999999E-2</v>
      </c>
      <c r="E109" s="210">
        <v>34682.6</v>
      </c>
      <c r="F109" s="210">
        <v>35047.4</v>
      </c>
      <c r="G109" s="54">
        <v>7.3000000000000001E-3</v>
      </c>
    </row>
    <row r="110" spans="1:7" x14ac:dyDescent="0.25">
      <c r="A110" s="56">
        <v>45384</v>
      </c>
      <c r="B110" s="210">
        <v>2380.5500000000002</v>
      </c>
      <c r="C110" s="210">
        <v>2399.9</v>
      </c>
      <c r="D110" s="54">
        <v>-5.3E-3</v>
      </c>
      <c r="E110" s="210">
        <v>34900.15</v>
      </c>
      <c r="F110" s="210">
        <v>34793.949999999997</v>
      </c>
      <c r="G110" s="54">
        <v>-7.1000000000000004E-3</v>
      </c>
    </row>
    <row r="111" spans="1:7" x14ac:dyDescent="0.25">
      <c r="A111" s="56">
        <v>45383</v>
      </c>
      <c r="B111" s="210">
        <v>2393.25</v>
      </c>
      <c r="C111" s="210">
        <v>2350</v>
      </c>
      <c r="D111" s="54">
        <v>1.0999999999999999E-2</v>
      </c>
      <c r="E111" s="210">
        <v>35224</v>
      </c>
      <c r="F111" s="210">
        <v>35042.800000000003</v>
      </c>
      <c r="G111" s="54">
        <v>4.1000000000000003E-3</v>
      </c>
    </row>
    <row r="112" spans="1:7" x14ac:dyDescent="0.25">
      <c r="A112" s="56">
        <v>45379</v>
      </c>
      <c r="B112" s="210">
        <v>2367.3000000000002</v>
      </c>
      <c r="C112" s="210">
        <v>2389.4499999999998</v>
      </c>
      <c r="D112" s="54">
        <v>-8.3000000000000001E-3</v>
      </c>
      <c r="E112" s="210">
        <v>34862.6</v>
      </c>
      <c r="F112" s="210">
        <v>34898.15</v>
      </c>
      <c r="G112" s="54">
        <v>4.4000000000000003E-3</v>
      </c>
    </row>
    <row r="113" spans="1:7" x14ac:dyDescent="0.25">
      <c r="A113" s="56">
        <v>45378</v>
      </c>
      <c r="B113" s="210">
        <v>2387.1</v>
      </c>
      <c r="C113" s="210">
        <v>2342</v>
      </c>
      <c r="D113" s="54">
        <v>1.9300000000000001E-2</v>
      </c>
      <c r="E113" s="210">
        <v>35057.4</v>
      </c>
      <c r="F113" s="210">
        <v>34744.35</v>
      </c>
      <c r="G113" s="54">
        <v>-6.4000000000000003E-3</v>
      </c>
    </row>
    <row r="114" spans="1:7" x14ac:dyDescent="0.25">
      <c r="A114" s="56">
        <v>45377</v>
      </c>
      <c r="B114" s="210">
        <v>2341.8000000000002</v>
      </c>
      <c r="C114" s="210">
        <v>2403</v>
      </c>
      <c r="D114" s="54">
        <v>-2.8500000000000001E-2</v>
      </c>
      <c r="E114" s="210">
        <v>35003.1</v>
      </c>
      <c r="F114" s="210">
        <v>34969.1</v>
      </c>
      <c r="G114" s="54">
        <v>-6.1999999999999998E-3</v>
      </c>
    </row>
    <row r="115" spans="1:7" x14ac:dyDescent="0.25">
      <c r="A115" s="56">
        <v>45373</v>
      </c>
      <c r="B115" s="210">
        <v>2410.4499999999998</v>
      </c>
      <c r="C115" s="210">
        <v>2343.6</v>
      </c>
      <c r="D115" s="54">
        <v>2.2200000000000001E-2</v>
      </c>
      <c r="E115" s="210">
        <v>35256.6</v>
      </c>
      <c r="F115" s="210">
        <v>35188.400000000001</v>
      </c>
      <c r="G115" s="54">
        <v>-2.3300000000000001E-2</v>
      </c>
    </row>
    <row r="116" spans="1:7" x14ac:dyDescent="0.25">
      <c r="A116" s="56">
        <v>45372</v>
      </c>
      <c r="B116" s="210">
        <v>2358</v>
      </c>
      <c r="C116" s="210">
        <v>2360.1</v>
      </c>
      <c r="D116" s="54">
        <v>1E-3</v>
      </c>
      <c r="E116" s="210">
        <v>36039.199999999997</v>
      </c>
      <c r="F116" s="210">
        <v>36026.800000000003</v>
      </c>
      <c r="G116" s="54">
        <v>7.7999999999999996E-3</v>
      </c>
    </row>
    <row r="117" spans="1:7" x14ac:dyDescent="0.25">
      <c r="A117" s="56">
        <v>45371</v>
      </c>
      <c r="B117" s="210">
        <v>2355.65</v>
      </c>
      <c r="C117" s="210">
        <v>2335</v>
      </c>
      <c r="D117" s="54">
        <v>9.4000000000000004E-3</v>
      </c>
      <c r="E117" s="210">
        <v>35875.599999999999</v>
      </c>
      <c r="F117" s="210">
        <v>35748.9</v>
      </c>
      <c r="G117" s="54">
        <v>-1.8E-3</v>
      </c>
    </row>
    <row r="118" spans="1:7" x14ac:dyDescent="0.25">
      <c r="A118" s="56">
        <v>45370</v>
      </c>
      <c r="B118" s="210">
        <v>2333.6999999999998</v>
      </c>
      <c r="C118" s="210">
        <v>2501.9499999999998</v>
      </c>
      <c r="D118" s="54">
        <v>-5.1799999999999999E-2</v>
      </c>
      <c r="E118" s="210">
        <v>36562</v>
      </c>
      <c r="F118" s="210">
        <v>35814.65</v>
      </c>
      <c r="G118" s="54">
        <v>-2.9000000000000001E-2</v>
      </c>
    </row>
    <row r="119" spans="1:7" x14ac:dyDescent="0.25">
      <c r="A119" s="56">
        <v>45369</v>
      </c>
      <c r="B119" s="210">
        <v>2461.3000000000002</v>
      </c>
      <c r="C119" s="210">
        <v>2432</v>
      </c>
      <c r="D119" s="54">
        <v>1.46E-2</v>
      </c>
      <c r="E119" s="210">
        <v>37458.85</v>
      </c>
      <c r="F119" s="210">
        <v>36886.050000000003</v>
      </c>
      <c r="G119" s="54">
        <v>-1.6400000000000001E-2</v>
      </c>
    </row>
    <row r="120" spans="1:7" x14ac:dyDescent="0.25">
      <c r="A120" s="56">
        <v>45366</v>
      </c>
      <c r="B120" s="210">
        <v>2425.9499999999998</v>
      </c>
      <c r="C120" s="210">
        <v>2428.6</v>
      </c>
      <c r="D120" s="54">
        <v>-9.2999999999999992E-3</v>
      </c>
      <c r="E120" s="210">
        <v>37524.35</v>
      </c>
      <c r="F120" s="210">
        <v>37500.699999999997</v>
      </c>
      <c r="G120" s="54">
        <v>-4.7000000000000002E-3</v>
      </c>
    </row>
    <row r="121" spans="1:7" x14ac:dyDescent="0.25">
      <c r="A121" s="56">
        <v>45365</v>
      </c>
      <c r="B121" s="210">
        <v>2448.65</v>
      </c>
      <c r="C121" s="210">
        <v>2334.3000000000002</v>
      </c>
      <c r="D121" s="54">
        <v>4.9000000000000002E-2</v>
      </c>
      <c r="E121" s="210">
        <v>36901.9</v>
      </c>
      <c r="F121" s="210">
        <v>37679.599999999999</v>
      </c>
      <c r="G121" s="54">
        <v>1.9800000000000002E-2</v>
      </c>
    </row>
    <row r="122" spans="1:7" x14ac:dyDescent="0.25">
      <c r="A122" s="56">
        <v>45364</v>
      </c>
      <c r="B122" s="210">
        <v>2334.3000000000002</v>
      </c>
      <c r="C122" s="210">
        <v>2364.25</v>
      </c>
      <c r="D122" s="54">
        <v>-2.9100000000000001E-2</v>
      </c>
      <c r="E122" s="210">
        <v>37320.800000000003</v>
      </c>
      <c r="F122" s="210">
        <v>36946.449999999997</v>
      </c>
      <c r="G122" s="54">
        <v>-7.4999999999999997E-3</v>
      </c>
    </row>
    <row r="123" spans="1:7" x14ac:dyDescent="0.25">
      <c r="A123" s="56">
        <v>45363</v>
      </c>
      <c r="B123" s="210">
        <v>2404.15</v>
      </c>
      <c r="C123" s="210">
        <v>2411.9499999999998</v>
      </c>
      <c r="D123" s="54">
        <v>1.6999999999999999E-3</v>
      </c>
      <c r="E123" s="210">
        <v>36991.5</v>
      </c>
      <c r="F123" s="210">
        <v>37224.25</v>
      </c>
      <c r="G123" s="54">
        <v>6.4000000000000003E-3</v>
      </c>
    </row>
    <row r="124" spans="1:7" x14ac:dyDescent="0.25">
      <c r="A124" s="56">
        <v>45362</v>
      </c>
      <c r="B124" s="210">
        <v>2400.0500000000002</v>
      </c>
      <c r="C124" s="210">
        <v>2472.6</v>
      </c>
      <c r="D124" s="54">
        <v>-1.4E-2</v>
      </c>
      <c r="E124" s="210">
        <v>37082</v>
      </c>
      <c r="F124" s="210">
        <v>36988.300000000003</v>
      </c>
      <c r="G124" s="54">
        <v>-3.0000000000000001E-3</v>
      </c>
    </row>
    <row r="125" spans="1:7" x14ac:dyDescent="0.25">
      <c r="A125" s="56">
        <v>45358</v>
      </c>
      <c r="B125" s="210">
        <v>2434.15</v>
      </c>
      <c r="C125" s="210">
        <v>2435</v>
      </c>
      <c r="D125" s="54">
        <v>-5.9999999999999995E-4</v>
      </c>
      <c r="E125" s="210">
        <v>37057.949999999997</v>
      </c>
      <c r="F125" s="210">
        <v>37099.9</v>
      </c>
      <c r="G125" s="54">
        <v>2.7000000000000001E-3</v>
      </c>
    </row>
    <row r="126" spans="1:7" x14ac:dyDescent="0.25">
      <c r="A126" s="56">
        <v>45357</v>
      </c>
      <c r="B126" s="210">
        <v>2435.5500000000002</v>
      </c>
      <c r="C126" s="210">
        <v>2499.8000000000002</v>
      </c>
      <c r="D126" s="54">
        <v>-2.5000000000000001E-2</v>
      </c>
      <c r="E126" s="210">
        <v>36627.65</v>
      </c>
      <c r="F126" s="210">
        <v>37001.800000000003</v>
      </c>
      <c r="G126" s="54">
        <v>7.7000000000000002E-3</v>
      </c>
    </row>
    <row r="127" spans="1:7" x14ac:dyDescent="0.25">
      <c r="A127" s="56">
        <v>45356</v>
      </c>
      <c r="B127" s="210">
        <v>2498.1</v>
      </c>
      <c r="C127" s="210">
        <v>2496</v>
      </c>
      <c r="D127" s="54">
        <v>-6.9999999999999999E-4</v>
      </c>
      <c r="E127" s="210">
        <v>37180.050000000003</v>
      </c>
      <c r="F127" s="210">
        <v>36720.75</v>
      </c>
      <c r="G127" s="54">
        <v>-1.5900000000000001E-2</v>
      </c>
    </row>
    <row r="128" spans="1:7" x14ac:dyDescent="0.25">
      <c r="A128" s="56">
        <v>45355</v>
      </c>
      <c r="B128" s="210">
        <v>2499.8000000000002</v>
      </c>
      <c r="C128" s="210">
        <v>2491.1</v>
      </c>
      <c r="D128" s="54">
        <v>-7.4000000000000003E-3</v>
      </c>
      <c r="E128" s="210">
        <v>37634.25</v>
      </c>
      <c r="F128" s="210">
        <v>37314.800000000003</v>
      </c>
      <c r="G128" s="54">
        <v>-7.7000000000000002E-3</v>
      </c>
    </row>
    <row r="129" spans="1:7" x14ac:dyDescent="0.25">
      <c r="A129" s="56">
        <v>45353</v>
      </c>
      <c r="B129" s="210">
        <v>2518.5500000000002</v>
      </c>
      <c r="C129" s="210">
        <v>2472.0500000000002</v>
      </c>
      <c r="D129" s="54">
        <v>7.9000000000000008E-3</v>
      </c>
      <c r="E129" s="210">
        <v>37719.35</v>
      </c>
      <c r="F129" s="210">
        <v>37605.800000000003</v>
      </c>
      <c r="G129" s="54">
        <v>2.3999999999999998E-3</v>
      </c>
    </row>
    <row r="130" spans="1:7" x14ac:dyDescent="0.25">
      <c r="A130" s="56">
        <v>45352</v>
      </c>
      <c r="B130" s="210">
        <v>2498.9</v>
      </c>
      <c r="C130" s="210">
        <v>2512.5</v>
      </c>
      <c r="D130" s="54">
        <v>-9.1000000000000004E-3</v>
      </c>
      <c r="E130" s="210">
        <v>37823.699999999997</v>
      </c>
      <c r="F130" s="210">
        <v>37516.050000000003</v>
      </c>
      <c r="G130" s="54">
        <v>-5.4000000000000003E-3</v>
      </c>
    </row>
    <row r="131" spans="1:7" x14ac:dyDescent="0.25">
      <c r="A131" s="56">
        <v>45351</v>
      </c>
      <c r="B131" s="210">
        <v>2521.9</v>
      </c>
      <c r="C131" s="210">
        <v>2498.6999999999998</v>
      </c>
      <c r="D131" s="54">
        <v>1.3299999999999999E-2</v>
      </c>
      <c r="E131" s="210">
        <v>37616.199999999997</v>
      </c>
      <c r="F131" s="210">
        <v>37720.400000000001</v>
      </c>
      <c r="G131" s="54">
        <v>-5.9999999999999995E-4</v>
      </c>
    </row>
    <row r="132" spans="1:7" x14ac:dyDescent="0.25">
      <c r="A132" s="56">
        <v>45350</v>
      </c>
      <c r="B132" s="210">
        <v>2488.85</v>
      </c>
      <c r="C132" s="210">
        <v>2517.6999999999998</v>
      </c>
      <c r="D132" s="54">
        <v>8.0000000000000004E-4</v>
      </c>
      <c r="E132" s="210">
        <v>37926.65</v>
      </c>
      <c r="F132" s="210">
        <v>37741.75</v>
      </c>
      <c r="G132" s="54">
        <v>-3.3999999999999998E-3</v>
      </c>
    </row>
    <row r="133" spans="1:7" x14ac:dyDescent="0.25">
      <c r="A133" s="56">
        <v>45349</v>
      </c>
      <c r="B133" s="210">
        <v>2486.85</v>
      </c>
      <c r="C133" s="210">
        <v>2442.1999999999998</v>
      </c>
      <c r="D133" s="54">
        <v>1.83E-2</v>
      </c>
      <c r="E133" s="210">
        <v>37606.699999999997</v>
      </c>
      <c r="F133" s="210">
        <v>37870.25</v>
      </c>
      <c r="G133" s="54">
        <v>7.1999999999999998E-3</v>
      </c>
    </row>
    <row r="134" spans="1:7" x14ac:dyDescent="0.25">
      <c r="A134" s="56">
        <v>45348</v>
      </c>
      <c r="B134" s="210">
        <v>2442.1999999999998</v>
      </c>
      <c r="C134" s="210">
        <v>2499.5500000000002</v>
      </c>
      <c r="D134" s="54">
        <v>-2.1399999999999999E-2</v>
      </c>
      <c r="E134" s="210">
        <v>37991.9</v>
      </c>
      <c r="F134" s="210">
        <v>37598.65</v>
      </c>
      <c r="G134" s="54">
        <v>-1.17E-2</v>
      </c>
    </row>
    <row r="135" spans="1:7" x14ac:dyDescent="0.25">
      <c r="A135" s="56">
        <v>45345</v>
      </c>
      <c r="B135" s="210">
        <v>2495.5500000000002</v>
      </c>
      <c r="C135" s="210">
        <v>2480.0500000000002</v>
      </c>
      <c r="D135" s="54">
        <v>5.4000000000000003E-3</v>
      </c>
      <c r="E135" s="210">
        <v>38487.5</v>
      </c>
      <c r="F135" s="210">
        <v>38045.65</v>
      </c>
      <c r="G135" s="54">
        <v>-2.2000000000000001E-3</v>
      </c>
    </row>
    <row r="136" spans="1:7" x14ac:dyDescent="0.25">
      <c r="A136" s="56">
        <v>45344</v>
      </c>
      <c r="B136" s="210">
        <v>2482.0500000000002</v>
      </c>
      <c r="C136" s="210">
        <v>2456.35</v>
      </c>
      <c r="D136" s="54">
        <v>1.35E-2</v>
      </c>
      <c r="E136" s="210">
        <v>37535.75</v>
      </c>
      <c r="F136" s="210">
        <v>38130.15</v>
      </c>
      <c r="G136" s="54">
        <v>1.9400000000000001E-2</v>
      </c>
    </row>
    <row r="137" spans="1:7" x14ac:dyDescent="0.25">
      <c r="A137" s="56">
        <v>45343</v>
      </c>
      <c r="B137" s="210">
        <v>2449.0500000000002</v>
      </c>
      <c r="C137" s="210">
        <v>2391.0500000000002</v>
      </c>
      <c r="D137" s="54">
        <v>1.8700000000000001E-2</v>
      </c>
      <c r="E137" s="210">
        <v>37938.85</v>
      </c>
      <c r="F137" s="210">
        <v>37405.9</v>
      </c>
      <c r="G137" s="54">
        <v>-1.6400000000000001E-2</v>
      </c>
    </row>
    <row r="138" spans="1:7" x14ac:dyDescent="0.25">
      <c r="A138" s="56">
        <v>45342</v>
      </c>
      <c r="B138" s="210">
        <v>2404.15</v>
      </c>
      <c r="C138" s="210">
        <v>2329.3000000000002</v>
      </c>
      <c r="D138" s="54">
        <v>3.9699999999999999E-2</v>
      </c>
      <c r="E138" s="210">
        <v>38190.75</v>
      </c>
      <c r="F138" s="210">
        <v>38029.699999999997</v>
      </c>
      <c r="G138" s="54">
        <v>-8.6999999999999994E-3</v>
      </c>
    </row>
    <row r="139" spans="1:7" x14ac:dyDescent="0.25">
      <c r="A139" s="56">
        <v>45341</v>
      </c>
      <c r="B139" s="210">
        <v>2312.3000000000002</v>
      </c>
      <c r="C139" s="210">
        <v>2278.0500000000002</v>
      </c>
      <c r="D139" s="54">
        <v>-3.3999999999999998E-3</v>
      </c>
      <c r="E139" s="210">
        <v>38526.949999999997</v>
      </c>
      <c r="F139" s="210">
        <v>38363.199999999997</v>
      </c>
      <c r="G139" s="54">
        <v>-3.0000000000000001E-3</v>
      </c>
    </row>
    <row r="140" spans="1:7" x14ac:dyDescent="0.25">
      <c r="A140" s="56">
        <v>45338</v>
      </c>
      <c r="B140" s="210">
        <v>2320.15</v>
      </c>
      <c r="C140" s="210">
        <v>2350</v>
      </c>
      <c r="D140" s="54">
        <v>8.9999999999999998E-4</v>
      </c>
      <c r="E140" s="210">
        <v>38211.550000000003</v>
      </c>
      <c r="F140" s="210">
        <v>38477.050000000003</v>
      </c>
      <c r="G140" s="54">
        <v>1.26E-2</v>
      </c>
    </row>
    <row r="141" spans="1:7" x14ac:dyDescent="0.25">
      <c r="A141" s="56">
        <v>45337</v>
      </c>
      <c r="B141" s="210">
        <v>2318.0500000000002</v>
      </c>
      <c r="C141" s="210">
        <v>2376</v>
      </c>
      <c r="D141" s="54">
        <v>-1.9400000000000001E-2</v>
      </c>
      <c r="E141" s="210">
        <v>38053.300000000003</v>
      </c>
      <c r="F141" s="210">
        <v>37999.550000000003</v>
      </c>
      <c r="G141" s="54">
        <v>5.8999999999999999E-3</v>
      </c>
    </row>
    <row r="142" spans="1:7" x14ac:dyDescent="0.25">
      <c r="A142" s="56">
        <v>45336</v>
      </c>
      <c r="B142" s="210">
        <v>2363.85</v>
      </c>
      <c r="C142" s="210">
        <v>2363.3000000000002</v>
      </c>
      <c r="D142" s="54">
        <v>-1.3100000000000001E-2</v>
      </c>
      <c r="E142" s="210">
        <v>37724.75</v>
      </c>
      <c r="F142" s="210">
        <v>37775.4</v>
      </c>
      <c r="G142" s="54">
        <v>-1.12E-2</v>
      </c>
    </row>
    <row r="143" spans="1:7" x14ac:dyDescent="0.25">
      <c r="A143" s="56">
        <v>45335</v>
      </c>
      <c r="B143" s="210">
        <v>2395.1999999999998</v>
      </c>
      <c r="C143" s="210">
        <v>2383</v>
      </c>
      <c r="D143" s="54">
        <v>-1.8E-3</v>
      </c>
      <c r="E143" s="210">
        <v>38070.400000000001</v>
      </c>
      <c r="F143" s="210">
        <v>38204</v>
      </c>
      <c r="G143" s="54">
        <v>5.4000000000000003E-3</v>
      </c>
    </row>
    <row r="144" spans="1:7" x14ac:dyDescent="0.25">
      <c r="A144" s="56">
        <v>45334</v>
      </c>
      <c r="B144" s="210">
        <v>2399.5</v>
      </c>
      <c r="C144" s="210">
        <v>2477</v>
      </c>
      <c r="D144" s="54">
        <v>-3.1099999999999999E-2</v>
      </c>
      <c r="E144" s="210">
        <v>37770</v>
      </c>
      <c r="F144" s="210">
        <v>37998</v>
      </c>
      <c r="G144" s="54">
        <v>7.9000000000000008E-3</v>
      </c>
    </row>
    <row r="145" spans="1:7" x14ac:dyDescent="0.25">
      <c r="A145" s="56">
        <v>45331</v>
      </c>
      <c r="B145" s="210">
        <v>2476.4</v>
      </c>
      <c r="C145" s="210">
        <v>2548.65</v>
      </c>
      <c r="D145" s="54">
        <v>-2.35E-2</v>
      </c>
      <c r="E145" s="210">
        <v>37891.5</v>
      </c>
      <c r="F145" s="210">
        <v>37699.25</v>
      </c>
      <c r="G145" s="54">
        <v>-4.0000000000000001E-3</v>
      </c>
    </row>
    <row r="146" spans="1:7" x14ac:dyDescent="0.25">
      <c r="A146" s="56">
        <v>45330</v>
      </c>
      <c r="B146" s="210">
        <v>2535.9499999999998</v>
      </c>
      <c r="C146" s="210">
        <v>2635.9</v>
      </c>
      <c r="D146" s="54">
        <v>-3.7900000000000003E-2</v>
      </c>
      <c r="E146" s="210">
        <v>37893.449999999997</v>
      </c>
      <c r="F146" s="210">
        <v>37851.599999999999</v>
      </c>
      <c r="G146" s="54">
        <v>2.2000000000000001E-3</v>
      </c>
    </row>
    <row r="147" spans="1:7" x14ac:dyDescent="0.25">
      <c r="A147" s="56">
        <v>45329</v>
      </c>
      <c r="B147" s="210">
        <v>2635.85</v>
      </c>
      <c r="C147" s="210">
        <v>2696</v>
      </c>
      <c r="D147" s="54">
        <v>-1.2E-2</v>
      </c>
      <c r="E147" s="210">
        <v>38345.4</v>
      </c>
      <c r="F147" s="210">
        <v>37767.75</v>
      </c>
      <c r="G147" s="54">
        <v>-1.2500000000000001E-2</v>
      </c>
    </row>
    <row r="148" spans="1:7" x14ac:dyDescent="0.25">
      <c r="A148" s="56">
        <v>45328</v>
      </c>
      <c r="B148" s="210">
        <v>2667.95</v>
      </c>
      <c r="C148" s="210">
        <v>2635.1</v>
      </c>
      <c r="D148" s="54">
        <v>1.6500000000000001E-2</v>
      </c>
      <c r="E148" s="210">
        <v>37267.15</v>
      </c>
      <c r="F148" s="210">
        <v>38246.300000000003</v>
      </c>
      <c r="G148" s="54">
        <v>2.92E-2</v>
      </c>
    </row>
    <row r="149" spans="1:7" x14ac:dyDescent="0.25">
      <c r="A149" s="56">
        <v>45327</v>
      </c>
      <c r="B149" s="210">
        <v>2624.55</v>
      </c>
      <c r="C149" s="210">
        <v>2682</v>
      </c>
      <c r="D149" s="54">
        <v>-2.3300000000000001E-2</v>
      </c>
      <c r="E149" s="210">
        <v>37441</v>
      </c>
      <c r="F149" s="210">
        <v>37162.15</v>
      </c>
      <c r="G149" s="54">
        <v>-4.3E-3</v>
      </c>
    </row>
    <row r="150" spans="1:7" x14ac:dyDescent="0.25">
      <c r="A150" s="56">
        <v>45324</v>
      </c>
      <c r="B150" s="210">
        <v>2687.05</v>
      </c>
      <c r="C150" s="210">
        <v>2780.15</v>
      </c>
      <c r="D150" s="54">
        <v>-2.7199999999999998E-2</v>
      </c>
      <c r="E150" s="210">
        <v>36730.15</v>
      </c>
      <c r="F150" s="210">
        <v>37323.25</v>
      </c>
      <c r="G150" s="54">
        <v>2.1600000000000001E-2</v>
      </c>
    </row>
    <row r="151" spans="1:7" x14ac:dyDescent="0.25">
      <c r="A151" s="56">
        <v>45323</v>
      </c>
      <c r="B151" s="210">
        <v>2762.25</v>
      </c>
      <c r="C151" s="210">
        <v>2740</v>
      </c>
      <c r="D151" s="54">
        <v>1.29E-2</v>
      </c>
      <c r="E151" s="210">
        <v>36632.5</v>
      </c>
      <c r="F151" s="210">
        <v>36534.550000000003</v>
      </c>
      <c r="G151" s="54">
        <v>-2.8E-3</v>
      </c>
    </row>
    <row r="152" spans="1:7" x14ac:dyDescent="0.25">
      <c r="A152" s="56">
        <v>45322</v>
      </c>
      <c r="B152" s="210">
        <v>2727.15</v>
      </c>
      <c r="C152" s="210">
        <v>2671.9</v>
      </c>
      <c r="D152" s="54">
        <v>2.2599999999999999E-2</v>
      </c>
      <c r="E152" s="210">
        <v>36373.949999999997</v>
      </c>
      <c r="F152" s="210">
        <v>36638.400000000001</v>
      </c>
      <c r="G152" s="54">
        <v>7.0000000000000001E-3</v>
      </c>
    </row>
    <row r="153" spans="1:7" x14ac:dyDescent="0.25">
      <c r="A153" s="56">
        <v>45321</v>
      </c>
      <c r="B153" s="210">
        <v>2666.85</v>
      </c>
      <c r="C153" s="210">
        <v>2748.9</v>
      </c>
      <c r="D153" s="54">
        <v>-1.1299999999999999E-2</v>
      </c>
      <c r="E153" s="210">
        <v>36682.1</v>
      </c>
      <c r="F153" s="210">
        <v>36381.949999999997</v>
      </c>
      <c r="G153" s="54">
        <v>-4.1000000000000003E-3</v>
      </c>
    </row>
    <row r="154" spans="1:7" x14ac:dyDescent="0.25">
      <c r="A154" s="56">
        <v>45320</v>
      </c>
      <c r="B154" s="210">
        <v>2697.4</v>
      </c>
      <c r="C154" s="210">
        <v>2610.3000000000002</v>
      </c>
      <c r="D154" s="54">
        <v>3.3500000000000002E-2</v>
      </c>
      <c r="E154" s="210">
        <v>36553.800000000003</v>
      </c>
      <c r="F154" s="210">
        <v>36531.9</v>
      </c>
      <c r="G154" s="54">
        <v>1E-3</v>
      </c>
    </row>
    <row r="155" spans="1:7" x14ac:dyDescent="0.25">
      <c r="A155" s="56">
        <v>45316</v>
      </c>
      <c r="B155" s="210">
        <v>2609.85</v>
      </c>
      <c r="C155" s="210">
        <v>2660.7</v>
      </c>
      <c r="D155" s="54">
        <v>-1.72E-2</v>
      </c>
      <c r="E155" s="210">
        <v>36938.6</v>
      </c>
      <c r="F155" s="210">
        <v>36496.199999999997</v>
      </c>
      <c r="G155" s="54">
        <v>-1.6E-2</v>
      </c>
    </row>
    <row r="156" spans="1:7" x14ac:dyDescent="0.25">
      <c r="A156" s="56">
        <v>45315</v>
      </c>
      <c r="B156" s="210">
        <v>2655.65</v>
      </c>
      <c r="C156" s="210">
        <v>2593</v>
      </c>
      <c r="D156" s="54">
        <v>1.6E-2</v>
      </c>
      <c r="E156" s="210">
        <v>36761.599999999999</v>
      </c>
      <c r="F156" s="210">
        <v>37090.15</v>
      </c>
      <c r="G156" s="54">
        <v>1.5599999999999999E-2</v>
      </c>
    </row>
    <row r="157" spans="1:7" x14ac:dyDescent="0.25">
      <c r="A157" s="56">
        <v>45314</v>
      </c>
      <c r="B157" s="210">
        <v>2613.75</v>
      </c>
      <c r="C157" s="210">
        <v>2687</v>
      </c>
      <c r="D157" s="54">
        <v>-1.7399999999999999E-2</v>
      </c>
      <c r="E157" s="210">
        <v>36958.300000000003</v>
      </c>
      <c r="F157" s="210">
        <v>36521.35</v>
      </c>
      <c r="G157" s="54">
        <v>-5.0000000000000001E-3</v>
      </c>
    </row>
    <row r="158" spans="1:7" x14ac:dyDescent="0.25">
      <c r="A158" s="56">
        <v>45311</v>
      </c>
      <c r="B158" s="210">
        <v>2660.1</v>
      </c>
      <c r="C158" s="210">
        <v>2668.4</v>
      </c>
      <c r="D158" s="54">
        <v>-3.0999999999999999E-3</v>
      </c>
      <c r="E158" s="210">
        <v>37251.800000000003</v>
      </c>
      <c r="F158" s="210">
        <v>36706.699999999997</v>
      </c>
      <c r="G158" s="54">
        <v>-9.7999999999999997E-3</v>
      </c>
    </row>
    <row r="159" spans="1:7" x14ac:dyDescent="0.25">
      <c r="A159" s="56">
        <v>45310</v>
      </c>
      <c r="B159" s="210">
        <v>2668.4</v>
      </c>
      <c r="C159" s="210">
        <v>2657</v>
      </c>
      <c r="D159" s="54">
        <v>8.0999999999999996E-3</v>
      </c>
      <c r="E159" s="210">
        <v>37065</v>
      </c>
      <c r="F159" s="210">
        <v>37069.25</v>
      </c>
      <c r="G159" s="54">
        <v>9.1999999999999998E-3</v>
      </c>
    </row>
    <row r="160" spans="1:7" x14ac:dyDescent="0.25">
      <c r="A160" s="56">
        <v>45309</v>
      </c>
      <c r="B160" s="210">
        <v>2647.05</v>
      </c>
      <c r="C160" s="210">
        <v>2717.1</v>
      </c>
      <c r="D160" s="54">
        <v>-2.0899999999999998E-2</v>
      </c>
      <c r="E160" s="210">
        <v>36784.35</v>
      </c>
      <c r="F160" s="210">
        <v>36730.5</v>
      </c>
      <c r="G160" s="54">
        <v>-6.1999999999999998E-3</v>
      </c>
    </row>
    <row r="161" spans="1:7" x14ac:dyDescent="0.25">
      <c r="A161" s="56">
        <v>45308</v>
      </c>
      <c r="B161" s="210">
        <v>2703.55</v>
      </c>
      <c r="C161" s="210">
        <v>2749.55</v>
      </c>
      <c r="D161" s="54">
        <v>-1.67E-2</v>
      </c>
      <c r="E161" s="210">
        <v>36299.599999999999</v>
      </c>
      <c r="F161" s="210">
        <v>36960.400000000001</v>
      </c>
      <c r="G161" s="54">
        <v>6.4000000000000003E-3</v>
      </c>
    </row>
    <row r="162" spans="1:7" x14ac:dyDescent="0.25">
      <c r="A162" s="56">
        <v>45307</v>
      </c>
      <c r="B162" s="210">
        <v>2749.55</v>
      </c>
      <c r="C162" s="210">
        <v>2810</v>
      </c>
      <c r="D162" s="54">
        <v>-1.7299999999999999E-2</v>
      </c>
      <c r="E162" s="210">
        <v>37132.400000000001</v>
      </c>
      <c r="F162" s="210">
        <v>36727.1</v>
      </c>
      <c r="G162" s="54">
        <v>-1.2800000000000001E-2</v>
      </c>
    </row>
    <row r="163" spans="1:7" x14ac:dyDescent="0.25">
      <c r="A163" s="56">
        <v>45306</v>
      </c>
      <c r="B163" s="210">
        <v>2797.9</v>
      </c>
      <c r="C163" s="210">
        <v>2756</v>
      </c>
      <c r="D163" s="54">
        <v>3.2800000000000003E-2</v>
      </c>
      <c r="E163" s="210">
        <v>37538.449999999997</v>
      </c>
      <c r="F163" s="210">
        <v>37201.949999999997</v>
      </c>
      <c r="G163" s="54">
        <v>1.8599999999999998E-2</v>
      </c>
    </row>
    <row r="164" spans="1:7" x14ac:dyDescent="0.25">
      <c r="A164" s="56">
        <v>45303</v>
      </c>
      <c r="B164" s="210">
        <v>2709.05</v>
      </c>
      <c r="C164" s="210">
        <v>2682</v>
      </c>
      <c r="D164" s="54">
        <v>2.7799999999999998E-2</v>
      </c>
      <c r="E164" s="210">
        <v>35673</v>
      </c>
      <c r="F164" s="210">
        <v>36521.699999999997</v>
      </c>
      <c r="G164" s="54">
        <v>5.1400000000000001E-2</v>
      </c>
    </row>
    <row r="165" spans="1:7" x14ac:dyDescent="0.25">
      <c r="A165" s="56">
        <v>45302</v>
      </c>
      <c r="B165" s="210">
        <v>2635.9</v>
      </c>
      <c r="C165" s="210">
        <v>2584.15</v>
      </c>
      <c r="D165" s="54">
        <v>0.02</v>
      </c>
      <c r="E165" s="210">
        <v>34978.300000000003</v>
      </c>
      <c r="F165" s="210">
        <v>34735.25</v>
      </c>
      <c r="G165" s="54">
        <v>-2.8E-3</v>
      </c>
    </row>
    <row r="166" spans="1:7" x14ac:dyDescent="0.25">
      <c r="A166" s="56">
        <v>45301</v>
      </c>
      <c r="B166" s="210">
        <v>2584.15</v>
      </c>
      <c r="C166" s="210">
        <v>2609.75</v>
      </c>
      <c r="D166" s="54">
        <v>-3.7000000000000002E-3</v>
      </c>
      <c r="E166" s="210">
        <v>34693</v>
      </c>
      <c r="F166" s="210">
        <v>34834.35</v>
      </c>
      <c r="G166" s="54">
        <v>5.0000000000000001E-3</v>
      </c>
    </row>
    <row r="167" spans="1:7" x14ac:dyDescent="0.25">
      <c r="A167" s="56">
        <v>45300</v>
      </c>
      <c r="B167" s="210">
        <v>2593.65</v>
      </c>
      <c r="C167" s="210">
        <v>2553.1999999999998</v>
      </c>
      <c r="D167" s="54">
        <v>2.0899999999999998E-2</v>
      </c>
      <c r="E167" s="210">
        <v>34926.65</v>
      </c>
      <c r="F167" s="210">
        <v>34662.449999999997</v>
      </c>
      <c r="G167" s="54">
        <v>4.3E-3</v>
      </c>
    </row>
    <row r="168" spans="1:7" x14ac:dyDescent="0.25">
      <c r="A168" s="56">
        <v>45299</v>
      </c>
      <c r="B168" s="210">
        <v>2540.4499999999998</v>
      </c>
      <c r="C168" s="210">
        <v>2574.35</v>
      </c>
      <c r="D168" s="54">
        <v>-1.2500000000000001E-2</v>
      </c>
      <c r="E168" s="210">
        <v>34876.65</v>
      </c>
      <c r="F168" s="210">
        <v>34514.65</v>
      </c>
      <c r="G168" s="54">
        <v>-9.7000000000000003E-3</v>
      </c>
    </row>
    <row r="169" spans="1:7" x14ac:dyDescent="0.25">
      <c r="A169" s="56">
        <v>45296</v>
      </c>
      <c r="B169" s="210">
        <v>2572.5500000000002</v>
      </c>
      <c r="C169" s="210">
        <v>2564.75</v>
      </c>
      <c r="D169" s="54">
        <v>6.7999999999999996E-3</v>
      </c>
      <c r="E169" s="210">
        <v>34469.699999999997</v>
      </c>
      <c r="F169" s="210">
        <v>34851.75</v>
      </c>
      <c r="G169" s="54">
        <v>1.29E-2</v>
      </c>
    </row>
    <row r="170" spans="1:7" x14ac:dyDescent="0.25">
      <c r="A170" s="56">
        <v>45295</v>
      </c>
      <c r="B170" s="210">
        <v>2555.25</v>
      </c>
      <c r="C170" s="210">
        <v>2590</v>
      </c>
      <c r="D170" s="54">
        <v>-1.0800000000000001E-2</v>
      </c>
      <c r="E170" s="210">
        <v>34552.949999999997</v>
      </c>
      <c r="F170" s="210">
        <v>34409.4</v>
      </c>
      <c r="G170" s="54">
        <v>4.0000000000000002E-4</v>
      </c>
    </row>
    <row r="171" spans="1:7" x14ac:dyDescent="0.25">
      <c r="A171" s="56">
        <v>45294</v>
      </c>
      <c r="B171" s="210">
        <v>2583.0500000000002</v>
      </c>
      <c r="C171" s="210">
        <v>2518.9499999999998</v>
      </c>
      <c r="D171" s="54">
        <v>3.1E-2</v>
      </c>
      <c r="E171" s="210">
        <v>35039.050000000003</v>
      </c>
      <c r="F171" s="210">
        <v>34395.449999999997</v>
      </c>
      <c r="G171" s="54">
        <v>-2.52E-2</v>
      </c>
    </row>
    <row r="172" spans="1:7" x14ac:dyDescent="0.25">
      <c r="A172" s="56">
        <v>45293</v>
      </c>
      <c r="B172" s="210">
        <v>2505.3000000000002</v>
      </c>
      <c r="C172" s="210">
        <v>2565</v>
      </c>
      <c r="D172" s="54">
        <v>-1.9E-2</v>
      </c>
      <c r="E172" s="210">
        <v>35668.050000000003</v>
      </c>
      <c r="F172" s="210">
        <v>35283.1</v>
      </c>
      <c r="G172" s="54">
        <v>-1.1599999999999999E-2</v>
      </c>
    </row>
    <row r="173" spans="1:7" x14ac:dyDescent="0.25">
      <c r="A173" s="56">
        <v>45292</v>
      </c>
      <c r="B173" s="210">
        <v>2553.9499999999998</v>
      </c>
      <c r="C173" s="210">
        <v>2620.4499999999998</v>
      </c>
      <c r="D173" s="54">
        <v>-1.4500000000000001E-2</v>
      </c>
      <c r="E173" s="210">
        <v>35496.400000000001</v>
      </c>
      <c r="F173" s="210">
        <v>35695.9</v>
      </c>
      <c r="G173" s="54">
        <v>5.1000000000000004E-3</v>
      </c>
    </row>
    <row r="174" spans="1:7" x14ac:dyDescent="0.25">
      <c r="A174" s="56">
        <v>45289</v>
      </c>
      <c r="B174" s="210">
        <v>2591.6</v>
      </c>
      <c r="C174" s="210">
        <v>2646.65</v>
      </c>
      <c r="D174" s="54">
        <v>-1.6199999999999999E-2</v>
      </c>
      <c r="E174" s="210">
        <v>35559.4</v>
      </c>
      <c r="F174" s="210">
        <v>35515</v>
      </c>
      <c r="G174" s="54">
        <v>-4.8999999999999998E-3</v>
      </c>
    </row>
    <row r="175" spans="1:7" x14ac:dyDescent="0.25">
      <c r="A175" s="56">
        <v>45288</v>
      </c>
      <c r="B175" s="210">
        <v>2634.35</v>
      </c>
      <c r="C175" s="210">
        <v>2610</v>
      </c>
      <c r="D175" s="54">
        <v>1.4999999999999999E-2</v>
      </c>
      <c r="E175" s="210">
        <v>35812</v>
      </c>
      <c r="F175" s="210">
        <v>35691.65</v>
      </c>
      <c r="G175" s="54">
        <v>-1.4E-3</v>
      </c>
    </row>
    <row r="176" spans="1:7" x14ac:dyDescent="0.25">
      <c r="A176" s="56">
        <v>45287</v>
      </c>
      <c r="B176" s="210">
        <v>2595.5</v>
      </c>
      <c r="C176" s="210">
        <v>2621</v>
      </c>
      <c r="D176" s="54">
        <v>-7.7999999999999996E-3</v>
      </c>
      <c r="E176" s="210">
        <v>35557.300000000003</v>
      </c>
      <c r="F176" s="210">
        <v>35741</v>
      </c>
      <c r="G176" s="54">
        <v>7.0000000000000001E-3</v>
      </c>
    </row>
    <row r="177" spans="1:7" x14ac:dyDescent="0.25">
      <c r="A177" s="56">
        <v>45286</v>
      </c>
      <c r="B177" s="210">
        <v>2615.85</v>
      </c>
      <c r="C177" s="210">
        <v>2579.9499999999998</v>
      </c>
      <c r="D177" s="54">
        <v>1.3899999999999999E-2</v>
      </c>
      <c r="E177" s="210">
        <v>35421.15</v>
      </c>
      <c r="F177" s="210">
        <v>35493.449999999997</v>
      </c>
      <c r="G177" s="54">
        <v>-4.1000000000000003E-3</v>
      </c>
    </row>
    <row r="178" spans="1:7" x14ac:dyDescent="0.25">
      <c r="A178" s="56">
        <v>45282</v>
      </c>
      <c r="B178" s="210">
        <v>2580.1</v>
      </c>
      <c r="C178" s="210">
        <v>2532.3000000000002</v>
      </c>
      <c r="D178" s="54">
        <v>2.0299999999999999E-2</v>
      </c>
      <c r="E178" s="210">
        <v>34974.65</v>
      </c>
      <c r="F178" s="210">
        <v>35637.800000000003</v>
      </c>
      <c r="G178" s="54">
        <v>2.2700000000000001E-2</v>
      </c>
    </row>
    <row r="179" spans="1:7" x14ac:dyDescent="0.25">
      <c r="A179" s="56">
        <v>45281</v>
      </c>
      <c r="B179" s="210">
        <v>2528.65</v>
      </c>
      <c r="C179" s="210">
        <v>2539</v>
      </c>
      <c r="D179" s="54">
        <v>-6.3E-3</v>
      </c>
      <c r="E179" s="210">
        <v>34406.800000000003</v>
      </c>
      <c r="F179" s="210">
        <v>34846.050000000003</v>
      </c>
      <c r="G179" s="54">
        <v>3.0000000000000001E-3</v>
      </c>
    </row>
    <row r="180" spans="1:7" x14ac:dyDescent="0.25">
      <c r="A180" s="56">
        <v>45280</v>
      </c>
      <c r="B180" s="210">
        <v>2544.65</v>
      </c>
      <c r="C180" s="210">
        <v>2534.4499999999998</v>
      </c>
      <c r="D180" s="54">
        <v>4.0000000000000001E-3</v>
      </c>
      <c r="E180" s="210">
        <v>35492.800000000003</v>
      </c>
      <c r="F180" s="210">
        <v>34741.050000000003</v>
      </c>
      <c r="G180" s="54">
        <v>-1.7100000000000001E-2</v>
      </c>
    </row>
    <row r="181" spans="1:7" x14ac:dyDescent="0.25">
      <c r="A181" s="56">
        <v>45279</v>
      </c>
      <c r="B181" s="210">
        <v>2534.4499999999998</v>
      </c>
      <c r="C181" s="210">
        <v>2531</v>
      </c>
      <c r="D181" s="54">
        <v>8.6999999999999994E-3</v>
      </c>
      <c r="E181" s="210">
        <v>35728.400000000001</v>
      </c>
      <c r="F181" s="210">
        <v>35345</v>
      </c>
      <c r="G181" s="54">
        <v>-9.4999999999999998E-3</v>
      </c>
    </row>
    <row r="182" spans="1:7" x14ac:dyDescent="0.25">
      <c r="A182" s="56">
        <v>45278</v>
      </c>
      <c r="B182" s="210">
        <v>2512.6999999999998</v>
      </c>
      <c r="C182" s="210">
        <v>2549.8000000000002</v>
      </c>
      <c r="D182" s="54">
        <v>-1.18E-2</v>
      </c>
      <c r="E182" s="210">
        <v>35707.300000000003</v>
      </c>
      <c r="F182" s="210">
        <v>35685.550000000003</v>
      </c>
      <c r="G182" s="54">
        <v>-2.7000000000000001E-3</v>
      </c>
    </row>
    <row r="183" spans="1:7" x14ac:dyDescent="0.25">
      <c r="A183" s="56">
        <v>45275</v>
      </c>
      <c r="B183" s="210">
        <v>2542.6</v>
      </c>
      <c r="C183" s="210">
        <v>2535.5</v>
      </c>
      <c r="D183" s="54">
        <v>8.0999999999999996E-3</v>
      </c>
      <c r="E183" s="210">
        <v>34427.550000000003</v>
      </c>
      <c r="F183" s="210">
        <v>35782.449999999997</v>
      </c>
      <c r="G183" s="54">
        <v>4.5600000000000002E-2</v>
      </c>
    </row>
    <row r="184" spans="1:7" x14ac:dyDescent="0.25">
      <c r="A184" s="56">
        <v>45274</v>
      </c>
      <c r="B184" s="210">
        <v>2522.15</v>
      </c>
      <c r="C184" s="210">
        <v>2534.75</v>
      </c>
      <c r="D184" s="54">
        <v>0.01</v>
      </c>
      <c r="E184" s="210">
        <v>33451.949999999997</v>
      </c>
      <c r="F184" s="210">
        <v>34223.35</v>
      </c>
      <c r="G184" s="54">
        <v>3.5000000000000003E-2</v>
      </c>
    </row>
    <row r="185" spans="1:7" x14ac:dyDescent="0.25">
      <c r="A185" s="56">
        <v>45273</v>
      </c>
      <c r="B185" s="210">
        <v>2497.3000000000002</v>
      </c>
      <c r="C185" s="210">
        <v>2480.1999999999998</v>
      </c>
      <c r="D185" s="54">
        <v>7.9000000000000008E-3</v>
      </c>
      <c r="E185" s="210">
        <v>33466.300000000003</v>
      </c>
      <c r="F185" s="210">
        <v>33066.65</v>
      </c>
      <c r="G185" s="54">
        <v>-1.2800000000000001E-2</v>
      </c>
    </row>
    <row r="186" spans="1:7" x14ac:dyDescent="0.25">
      <c r="A186" s="56">
        <v>45272</v>
      </c>
      <c r="B186" s="210">
        <v>2477.6999999999998</v>
      </c>
      <c r="C186" s="210">
        <v>2600</v>
      </c>
      <c r="D186" s="54">
        <v>-3.73E-2</v>
      </c>
      <c r="E186" s="210">
        <v>33484.800000000003</v>
      </c>
      <c r="F186" s="210">
        <v>33493.9</v>
      </c>
      <c r="G186" s="54">
        <v>-5.9999999999999995E-4</v>
      </c>
    </row>
    <row r="187" spans="1:7" x14ac:dyDescent="0.25">
      <c r="A187" s="56">
        <v>45271</v>
      </c>
      <c r="B187" s="210">
        <v>2573.65</v>
      </c>
      <c r="C187" s="210">
        <v>2581.5500000000002</v>
      </c>
      <c r="D187" s="54">
        <v>1.1900000000000001E-2</v>
      </c>
      <c r="E187" s="210">
        <v>33424</v>
      </c>
      <c r="F187" s="210">
        <v>33514.25</v>
      </c>
      <c r="G187" s="54">
        <v>3.5999999999999999E-3</v>
      </c>
    </row>
    <row r="188" spans="1:7" x14ac:dyDescent="0.25">
      <c r="A188" s="56">
        <v>45268</v>
      </c>
      <c r="B188" s="210">
        <v>2543.4</v>
      </c>
      <c r="C188" s="210">
        <v>2630</v>
      </c>
      <c r="D188" s="54">
        <v>-2.64E-2</v>
      </c>
      <c r="E188" s="210">
        <v>33098.65</v>
      </c>
      <c r="F188" s="210">
        <v>33392.9</v>
      </c>
      <c r="G188" s="54">
        <v>1.3100000000000001E-2</v>
      </c>
    </row>
    <row r="189" spans="1:7" x14ac:dyDescent="0.25">
      <c r="A189" s="56">
        <v>45267</v>
      </c>
      <c r="B189" s="210">
        <v>2612.35</v>
      </c>
      <c r="C189" s="210">
        <v>2576</v>
      </c>
      <c r="D189" s="54">
        <v>2.0899999999999998E-2</v>
      </c>
      <c r="E189" s="210">
        <v>33053.65</v>
      </c>
      <c r="F189" s="210">
        <v>32961.599999999999</v>
      </c>
      <c r="G189" s="54">
        <v>-1.8E-3</v>
      </c>
    </row>
    <row r="190" spans="1:7" x14ac:dyDescent="0.25">
      <c r="A190" s="56">
        <v>45266</v>
      </c>
      <c r="B190" s="210">
        <v>2558.85</v>
      </c>
      <c r="C190" s="210">
        <v>2593.4</v>
      </c>
      <c r="D190" s="54">
        <v>-1.2999999999999999E-2</v>
      </c>
      <c r="E190" s="210">
        <v>32560.15</v>
      </c>
      <c r="F190" s="210">
        <v>33022.6</v>
      </c>
      <c r="G190" s="54">
        <v>1.67E-2</v>
      </c>
    </row>
    <row r="191" spans="1:7" x14ac:dyDescent="0.25">
      <c r="A191" s="56">
        <v>45265</v>
      </c>
      <c r="B191" s="210">
        <v>2592.5500000000002</v>
      </c>
      <c r="C191" s="210">
        <v>2630</v>
      </c>
      <c r="D191" s="54">
        <v>-1.35E-2</v>
      </c>
      <c r="E191" s="210">
        <v>32754</v>
      </c>
      <c r="F191" s="210">
        <v>32479.15</v>
      </c>
      <c r="G191" s="54">
        <v>-5.7000000000000002E-3</v>
      </c>
    </row>
    <row r="192" spans="1:7" x14ac:dyDescent="0.25">
      <c r="A192" s="56">
        <v>45264</v>
      </c>
      <c r="B192" s="210">
        <v>2628.15</v>
      </c>
      <c r="C192" s="210">
        <v>2750.65</v>
      </c>
      <c r="D192" s="54">
        <v>-1.8E-3</v>
      </c>
      <c r="E192" s="210">
        <v>32888.199999999997</v>
      </c>
      <c r="F192" s="210">
        <v>32665.55</v>
      </c>
      <c r="G192" s="54">
        <v>2.0999999999999999E-3</v>
      </c>
    </row>
    <row r="193" spans="1:7" x14ac:dyDescent="0.25">
      <c r="A193" s="56">
        <v>45261</v>
      </c>
      <c r="B193" s="210">
        <v>2632.95</v>
      </c>
      <c r="C193" s="210">
        <v>2710</v>
      </c>
      <c r="D193" s="54">
        <v>-1.6400000000000001E-2</v>
      </c>
      <c r="E193" s="210">
        <v>32729.8</v>
      </c>
      <c r="F193" s="210">
        <v>32598.7</v>
      </c>
      <c r="G193" s="54">
        <v>5.0000000000000001E-4</v>
      </c>
    </row>
    <row r="194" spans="1:7" x14ac:dyDescent="0.25">
      <c r="A194" s="56">
        <v>45260</v>
      </c>
      <c r="B194" s="210">
        <v>2676.9</v>
      </c>
      <c r="C194" s="210">
        <v>2600</v>
      </c>
      <c r="D194" s="54">
        <v>2.6200000000000001E-2</v>
      </c>
      <c r="E194" s="210">
        <v>32569.8</v>
      </c>
      <c r="F194" s="210">
        <v>32582.2</v>
      </c>
      <c r="G194" s="54">
        <v>-8.0000000000000004E-4</v>
      </c>
    </row>
    <row r="195" spans="1:7" x14ac:dyDescent="0.25">
      <c r="A195" s="56">
        <v>45259</v>
      </c>
      <c r="B195" s="210">
        <v>2608.6</v>
      </c>
      <c r="C195" s="210">
        <v>2513</v>
      </c>
      <c r="D195" s="54">
        <v>4.7199999999999999E-2</v>
      </c>
      <c r="E195" s="210">
        <v>32258.5</v>
      </c>
      <c r="F195" s="210">
        <v>32608.400000000001</v>
      </c>
      <c r="G195" s="54">
        <v>1.5299999999999999E-2</v>
      </c>
    </row>
    <row r="196" spans="1:7" x14ac:dyDescent="0.25">
      <c r="A196" s="56">
        <v>45258</v>
      </c>
      <c r="B196" s="210">
        <v>2491.0500000000002</v>
      </c>
      <c r="C196" s="210">
        <v>2599.65</v>
      </c>
      <c r="D196" s="54">
        <v>-3.7900000000000003E-2</v>
      </c>
      <c r="E196" s="210">
        <v>32115.85</v>
      </c>
      <c r="F196" s="210">
        <v>32118.5</v>
      </c>
      <c r="G196" s="54">
        <v>2E-3</v>
      </c>
    </row>
    <row r="197" spans="1:7" x14ac:dyDescent="0.25">
      <c r="A197" s="56">
        <v>45254</v>
      </c>
      <c r="B197" s="210">
        <v>2589.25</v>
      </c>
      <c r="C197" s="210">
        <v>2641.2</v>
      </c>
      <c r="D197" s="54">
        <v>-2.3099999999999999E-2</v>
      </c>
      <c r="E197" s="210">
        <v>32341</v>
      </c>
      <c r="F197" s="210">
        <v>32055.15</v>
      </c>
      <c r="G197" s="54">
        <v>-9.7000000000000003E-3</v>
      </c>
    </row>
    <row r="198" spans="1:7" x14ac:dyDescent="0.25">
      <c r="A198" s="56">
        <v>45253</v>
      </c>
      <c r="B198" s="210">
        <v>2650.35</v>
      </c>
      <c r="C198" s="210">
        <v>2582.0500000000002</v>
      </c>
      <c r="D198" s="54">
        <v>8.8000000000000005E-3</v>
      </c>
      <c r="E198" s="210">
        <v>32657.15</v>
      </c>
      <c r="F198" s="210">
        <v>32370.65</v>
      </c>
      <c r="G198" s="54">
        <v>-5.8999999999999999E-3</v>
      </c>
    </row>
    <row r="199" spans="1:7" x14ac:dyDescent="0.25">
      <c r="A199" s="56">
        <v>45252</v>
      </c>
      <c r="B199" s="210">
        <v>2627.2</v>
      </c>
      <c r="C199" s="210">
        <v>2345.9</v>
      </c>
      <c r="D199" s="54">
        <v>0.124</v>
      </c>
      <c r="E199" s="210">
        <v>32298</v>
      </c>
      <c r="F199" s="210">
        <v>32564.400000000001</v>
      </c>
      <c r="G199" s="54">
        <v>7.4000000000000003E-3</v>
      </c>
    </row>
    <row r="200" spans="1:7" x14ac:dyDescent="0.25">
      <c r="A200" s="56">
        <v>45251</v>
      </c>
      <c r="B200" s="210">
        <v>2337.4</v>
      </c>
      <c r="C200" s="210">
        <v>2385</v>
      </c>
      <c r="D200" s="54">
        <v>-2.4899999999999999E-2</v>
      </c>
      <c r="E200" s="210">
        <v>32507.75</v>
      </c>
      <c r="F200" s="210">
        <v>32325.7</v>
      </c>
      <c r="G200" s="54">
        <v>-1.8E-3</v>
      </c>
    </row>
    <row r="201" spans="1:7" x14ac:dyDescent="0.25">
      <c r="A201" s="56">
        <v>45250</v>
      </c>
      <c r="B201" s="210">
        <v>2397.1</v>
      </c>
      <c r="C201" s="210">
        <v>2420</v>
      </c>
      <c r="D201" s="54">
        <v>-7.3000000000000001E-3</v>
      </c>
      <c r="E201" s="210">
        <v>32202.3</v>
      </c>
      <c r="F201" s="210">
        <v>32383.200000000001</v>
      </c>
      <c r="G201" s="54">
        <v>6.0000000000000001E-3</v>
      </c>
    </row>
    <row r="202" spans="1:7" x14ac:dyDescent="0.25">
      <c r="A202" s="56">
        <v>45247</v>
      </c>
      <c r="B202" s="210">
        <v>2414.65</v>
      </c>
      <c r="C202" s="210">
        <v>2381.5</v>
      </c>
      <c r="D202" s="54">
        <v>1.9300000000000001E-2</v>
      </c>
      <c r="E202" s="210">
        <v>32288.9</v>
      </c>
      <c r="F202" s="210">
        <v>32191.35</v>
      </c>
      <c r="G202" s="54">
        <v>-2.5000000000000001E-3</v>
      </c>
    </row>
    <row r="203" spans="1:7" x14ac:dyDescent="0.25">
      <c r="A203" s="56">
        <v>45246</v>
      </c>
      <c r="B203" s="210">
        <v>2369</v>
      </c>
      <c r="C203" s="210">
        <v>2440</v>
      </c>
      <c r="D203" s="54">
        <v>-2.58E-2</v>
      </c>
      <c r="E203" s="210">
        <v>31555.1</v>
      </c>
      <c r="F203" s="210">
        <v>32273.35</v>
      </c>
      <c r="G203" s="54">
        <v>2.69E-2</v>
      </c>
    </row>
    <row r="204" spans="1:7" x14ac:dyDescent="0.25">
      <c r="A204" s="56">
        <v>45245</v>
      </c>
      <c r="B204" s="210">
        <v>2431.65</v>
      </c>
      <c r="C204" s="210">
        <v>2344</v>
      </c>
      <c r="D204" s="54">
        <v>4.87E-2</v>
      </c>
      <c r="E204" s="210">
        <v>31095.8</v>
      </c>
      <c r="F204" s="210">
        <v>31429.35</v>
      </c>
      <c r="G204" s="54">
        <v>2.5899999999999999E-2</v>
      </c>
    </row>
    <row r="205" spans="1:7" x14ac:dyDescent="0.25">
      <c r="A205" s="56">
        <v>45243</v>
      </c>
      <c r="B205" s="210">
        <v>2318.65</v>
      </c>
      <c r="C205" s="210">
        <v>2220</v>
      </c>
      <c r="D205" s="54">
        <v>5.2299999999999999E-2</v>
      </c>
      <c r="E205" s="210">
        <v>30793.65</v>
      </c>
      <c r="F205" s="210">
        <v>30635.85</v>
      </c>
      <c r="G205" s="54">
        <v>-7.3000000000000001E-3</v>
      </c>
    </row>
    <row r="206" spans="1:7" x14ac:dyDescent="0.25">
      <c r="A206" s="56">
        <v>45242</v>
      </c>
      <c r="B206" s="210">
        <v>2203.35</v>
      </c>
      <c r="C206" s="210">
        <v>2180</v>
      </c>
      <c r="D206" s="54">
        <v>2.3900000000000001E-2</v>
      </c>
      <c r="E206" s="210">
        <v>30852.15</v>
      </c>
      <c r="F206" s="210">
        <v>30861</v>
      </c>
      <c r="G206" s="54">
        <v>7.1999999999999998E-3</v>
      </c>
    </row>
    <row r="207" spans="1:7" x14ac:dyDescent="0.25">
      <c r="A207" s="56">
        <v>45240</v>
      </c>
      <c r="B207" s="210">
        <v>2151.9</v>
      </c>
      <c r="C207" s="210">
        <v>2167.9</v>
      </c>
      <c r="D207" s="54">
        <v>4.6600000000000003E-2</v>
      </c>
      <c r="E207" s="210">
        <v>30623.7</v>
      </c>
      <c r="F207" s="210">
        <v>30639.05</v>
      </c>
      <c r="G207" s="54">
        <v>-2.5999999999999999E-3</v>
      </c>
    </row>
    <row r="208" spans="1:7" x14ac:dyDescent="0.25">
      <c r="A208" s="56">
        <v>45239</v>
      </c>
      <c r="B208" s="210">
        <v>2056.15</v>
      </c>
      <c r="C208" s="210">
        <v>2099.8000000000002</v>
      </c>
      <c r="D208" s="54">
        <v>-1.5699999999999999E-2</v>
      </c>
      <c r="E208" s="210">
        <v>30982.65</v>
      </c>
      <c r="F208" s="210">
        <v>30717.7</v>
      </c>
      <c r="G208" s="54">
        <v>-6.4999999999999997E-3</v>
      </c>
    </row>
    <row r="209" spans="1:7" x14ac:dyDescent="0.25">
      <c r="A209" s="56">
        <v>45238</v>
      </c>
      <c r="B209" s="210">
        <v>2088.85</v>
      </c>
      <c r="C209" s="210">
        <v>2110</v>
      </c>
      <c r="D209" s="54">
        <v>-2.5999999999999999E-3</v>
      </c>
      <c r="E209" s="210">
        <v>31049.75</v>
      </c>
      <c r="F209" s="210">
        <v>30917.200000000001</v>
      </c>
      <c r="G209" s="54">
        <v>-2.0999999999999999E-3</v>
      </c>
    </row>
    <row r="210" spans="1:7" x14ac:dyDescent="0.25">
      <c r="A210" s="56">
        <v>45237</v>
      </c>
      <c r="B210" s="210">
        <v>2094.1999999999998</v>
      </c>
      <c r="C210" s="210">
        <v>2044.6</v>
      </c>
      <c r="D210" s="54">
        <v>2.5000000000000001E-2</v>
      </c>
      <c r="E210" s="210">
        <v>30949.95</v>
      </c>
      <c r="F210" s="210">
        <v>30981.599999999999</v>
      </c>
      <c r="G210" s="54">
        <v>2.9999999999999997E-4</v>
      </c>
    </row>
    <row r="211" spans="1:7" x14ac:dyDescent="0.25">
      <c r="A211" s="56">
        <v>45236</v>
      </c>
      <c r="B211" s="210">
        <v>2043.1</v>
      </c>
      <c r="C211" s="210">
        <v>1968</v>
      </c>
      <c r="D211" s="54">
        <v>3.8699999999999998E-2</v>
      </c>
      <c r="E211" s="210">
        <v>30955.35</v>
      </c>
      <c r="F211" s="210">
        <v>30972.95</v>
      </c>
      <c r="G211" s="54">
        <v>6.3E-3</v>
      </c>
    </row>
    <row r="212" spans="1:7" x14ac:dyDescent="0.25">
      <c r="A212" s="56">
        <v>45233</v>
      </c>
      <c r="B212" s="210">
        <v>1966.9</v>
      </c>
      <c r="C212" s="210">
        <v>1978.55</v>
      </c>
      <c r="D212" s="54">
        <v>-5.0000000000000001E-3</v>
      </c>
      <c r="E212" s="210">
        <v>30797.25</v>
      </c>
      <c r="F212" s="210">
        <v>30779.95</v>
      </c>
      <c r="G212" s="54">
        <v>6.4000000000000003E-3</v>
      </c>
    </row>
    <row r="213" spans="1:7" x14ac:dyDescent="0.25">
      <c r="A213" s="56">
        <v>45232</v>
      </c>
      <c r="B213" s="210">
        <v>1976.8</v>
      </c>
      <c r="C213" s="210">
        <v>1989</v>
      </c>
      <c r="D213" s="54">
        <v>-1.8E-3</v>
      </c>
      <c r="E213" s="210">
        <v>30575.8</v>
      </c>
      <c r="F213" s="210">
        <v>30582.75</v>
      </c>
      <c r="G213" s="54">
        <v>7.7999999999999996E-3</v>
      </c>
    </row>
    <row r="214" spans="1:7" x14ac:dyDescent="0.25">
      <c r="A214" s="56">
        <v>45231</v>
      </c>
      <c r="B214" s="210">
        <v>1980.4</v>
      </c>
      <c r="C214" s="210">
        <v>1961</v>
      </c>
      <c r="D214" s="54">
        <v>1.14E-2</v>
      </c>
      <c r="E214" s="210">
        <v>30609.45</v>
      </c>
      <c r="F214" s="210">
        <v>30344.85</v>
      </c>
      <c r="G214" s="54">
        <v>-7.7999999999999996E-3</v>
      </c>
    </row>
    <row r="215" spans="1:7" x14ac:dyDescent="0.25">
      <c r="A215" s="56">
        <v>45230</v>
      </c>
      <c r="B215" s="210">
        <v>1958</v>
      </c>
      <c r="C215" s="210">
        <v>1986.05</v>
      </c>
      <c r="D215" s="54">
        <v>-9.7999999999999997E-3</v>
      </c>
      <c r="E215" s="210">
        <v>30765.25</v>
      </c>
      <c r="F215" s="210">
        <v>30582.25</v>
      </c>
      <c r="G215" s="54">
        <v>-1.9E-3</v>
      </c>
    </row>
    <row r="216" spans="1:7" x14ac:dyDescent="0.25">
      <c r="A216" s="56">
        <v>45229</v>
      </c>
      <c r="B216" s="210">
        <v>1977.4</v>
      </c>
      <c r="C216" s="210">
        <v>1942</v>
      </c>
      <c r="D216" s="54">
        <v>1.43E-2</v>
      </c>
      <c r="E216" s="210">
        <v>30627.9</v>
      </c>
      <c r="F216" s="210">
        <v>30641</v>
      </c>
      <c r="G216" s="54">
        <v>1.2999999999999999E-3</v>
      </c>
    </row>
    <row r="217" spans="1:7" x14ac:dyDescent="0.25">
      <c r="A217" s="56">
        <v>45226</v>
      </c>
      <c r="B217" s="210">
        <v>1949.6</v>
      </c>
      <c r="C217" s="210">
        <v>1919.85</v>
      </c>
      <c r="D217" s="54">
        <v>2.6200000000000001E-2</v>
      </c>
      <c r="E217" s="210">
        <v>30328.25</v>
      </c>
      <c r="F217" s="210">
        <v>30599.7</v>
      </c>
      <c r="G217" s="54">
        <v>1.24E-2</v>
      </c>
    </row>
    <row r="218" spans="1:7" x14ac:dyDescent="0.25">
      <c r="A218" s="56">
        <v>45225</v>
      </c>
      <c r="B218" s="210">
        <v>1899.85</v>
      </c>
      <c r="C218" s="210">
        <v>1918.7</v>
      </c>
      <c r="D218" s="54">
        <v>-1.8800000000000001E-2</v>
      </c>
      <c r="E218" s="210">
        <v>30184</v>
      </c>
      <c r="F218" s="210">
        <v>30225.65</v>
      </c>
      <c r="G218" s="54">
        <v>-0.01</v>
      </c>
    </row>
    <row r="219" spans="1:7" x14ac:dyDescent="0.25">
      <c r="A219" s="56">
        <v>45224</v>
      </c>
      <c r="B219" s="210">
        <v>1936.35</v>
      </c>
      <c r="C219" s="210">
        <v>1970</v>
      </c>
      <c r="D219" s="54">
        <v>-2.9999999999999997E-4</v>
      </c>
      <c r="E219" s="210">
        <v>30790.35</v>
      </c>
      <c r="F219" s="210">
        <v>30530.5</v>
      </c>
      <c r="G219" s="54">
        <v>-1.03E-2</v>
      </c>
    </row>
    <row r="220" spans="1:7" x14ac:dyDescent="0.25">
      <c r="A220" s="56">
        <v>45222</v>
      </c>
      <c r="B220" s="210">
        <v>1936.85</v>
      </c>
      <c r="C220" s="210">
        <v>2022.95</v>
      </c>
      <c r="D220" s="54">
        <v>-3.9699999999999999E-2</v>
      </c>
      <c r="E220" s="210">
        <v>31358.45</v>
      </c>
      <c r="F220" s="210">
        <v>30848.400000000001</v>
      </c>
      <c r="G220" s="54">
        <v>-1.9699999999999999E-2</v>
      </c>
    </row>
    <row r="221" spans="1:7" x14ac:dyDescent="0.25">
      <c r="A221" s="56">
        <v>45219</v>
      </c>
      <c r="B221" s="210">
        <v>2017</v>
      </c>
      <c r="C221" s="210">
        <v>2053.25</v>
      </c>
      <c r="D221" s="54">
        <v>-1.77E-2</v>
      </c>
      <c r="E221" s="210">
        <v>31445.45</v>
      </c>
      <c r="F221" s="210">
        <v>31469.35</v>
      </c>
      <c r="G221" s="54">
        <v>-2.2000000000000001E-3</v>
      </c>
    </row>
    <row r="222" spans="1:7" x14ac:dyDescent="0.25">
      <c r="A222" s="56">
        <v>45218</v>
      </c>
      <c r="B222" s="210">
        <v>2053.25</v>
      </c>
      <c r="C222" s="210">
        <v>2043</v>
      </c>
      <c r="D222" s="54">
        <v>0</v>
      </c>
      <c r="E222" s="210">
        <v>31345.55</v>
      </c>
      <c r="F222" s="210">
        <v>31540.05</v>
      </c>
      <c r="G222" s="54">
        <v>-2.0999999999999999E-3</v>
      </c>
    </row>
    <row r="223" spans="1:7" x14ac:dyDescent="0.25">
      <c r="A223" s="56">
        <v>45217</v>
      </c>
      <c r="B223" s="210">
        <v>2053.3000000000002</v>
      </c>
      <c r="C223" s="210">
        <v>2085</v>
      </c>
      <c r="D223" s="54">
        <v>-9.7000000000000003E-3</v>
      </c>
      <c r="E223" s="210">
        <v>31778.55</v>
      </c>
      <c r="F223" s="210">
        <v>31606.65</v>
      </c>
      <c r="G223" s="54">
        <v>-5.8999999999999999E-3</v>
      </c>
    </row>
    <row r="224" spans="1:7" x14ac:dyDescent="0.25">
      <c r="A224" s="56">
        <v>45216</v>
      </c>
      <c r="B224" s="210">
        <v>2073.5</v>
      </c>
      <c r="C224" s="210">
        <v>2090</v>
      </c>
      <c r="D224" s="54">
        <v>-1E-4</v>
      </c>
      <c r="E224" s="210">
        <v>31884.25</v>
      </c>
      <c r="F224" s="210">
        <v>31794.9</v>
      </c>
      <c r="G224" s="54">
        <v>1.4E-3</v>
      </c>
    </row>
    <row r="225" spans="1:7" x14ac:dyDescent="0.25">
      <c r="A225" s="56">
        <v>45215</v>
      </c>
      <c r="B225" s="210">
        <v>2073.8000000000002</v>
      </c>
      <c r="C225" s="210">
        <v>2119.65</v>
      </c>
      <c r="D225" s="54">
        <v>-8.0999999999999996E-3</v>
      </c>
      <c r="E225" s="210">
        <v>31831.05</v>
      </c>
      <c r="F225" s="210">
        <v>31750.400000000001</v>
      </c>
      <c r="G225" s="54">
        <v>-1.8E-3</v>
      </c>
    </row>
    <row r="226" spans="1:7" x14ac:dyDescent="0.25">
      <c r="A226" s="56">
        <v>45212</v>
      </c>
      <c r="B226" s="210">
        <v>2090.65</v>
      </c>
      <c r="C226" s="210">
        <v>2145</v>
      </c>
      <c r="D226" s="54">
        <v>-2.9499999999999998E-2</v>
      </c>
      <c r="E226" s="210">
        <v>31457.5</v>
      </c>
      <c r="F226" s="210">
        <v>31807.95</v>
      </c>
      <c r="G226" s="54">
        <v>-6.1000000000000004E-3</v>
      </c>
    </row>
    <row r="227" spans="1:7" x14ac:dyDescent="0.25">
      <c r="A227" s="56">
        <v>45211</v>
      </c>
      <c r="B227" s="210">
        <v>2154.1</v>
      </c>
      <c r="C227" s="210">
        <v>2168</v>
      </c>
      <c r="D227" s="54">
        <v>-6.4000000000000003E-3</v>
      </c>
      <c r="E227" s="210">
        <v>32474.15</v>
      </c>
      <c r="F227" s="210">
        <v>32003.65</v>
      </c>
      <c r="G227" s="54">
        <v>-1.67E-2</v>
      </c>
    </row>
    <row r="228" spans="1:7" x14ac:dyDescent="0.25">
      <c r="A228" s="56">
        <v>45210</v>
      </c>
      <c r="B228" s="210">
        <v>2168</v>
      </c>
      <c r="C228" s="210">
        <v>2086.4</v>
      </c>
      <c r="D228" s="54">
        <v>3.9100000000000003E-2</v>
      </c>
      <c r="E228" s="210">
        <v>32688.7</v>
      </c>
      <c r="F228" s="210">
        <v>32548.05</v>
      </c>
      <c r="G228" s="54">
        <v>-6.9999999999999999E-4</v>
      </c>
    </row>
    <row r="229" spans="1:7" x14ac:dyDescent="0.25">
      <c r="A229" s="56">
        <v>45209</v>
      </c>
      <c r="B229" s="210">
        <v>2086.35</v>
      </c>
      <c r="C229" s="210">
        <v>2100</v>
      </c>
      <c r="D229" s="54">
        <v>-2.3E-3</v>
      </c>
      <c r="E229" s="210">
        <v>32423.95</v>
      </c>
      <c r="F229" s="210">
        <v>32569.45</v>
      </c>
      <c r="G229" s="54">
        <v>8.0999999999999996E-3</v>
      </c>
    </row>
    <row r="230" spans="1:7" x14ac:dyDescent="0.25">
      <c r="A230" s="56">
        <v>45208</v>
      </c>
      <c r="B230" s="210">
        <v>2091.15</v>
      </c>
      <c r="C230" s="210">
        <v>2150</v>
      </c>
      <c r="D230" s="54">
        <v>-2.64E-2</v>
      </c>
      <c r="E230" s="210">
        <v>32216.15</v>
      </c>
      <c r="F230" s="210">
        <v>32308.55</v>
      </c>
      <c r="G230" s="54">
        <v>-1E-3</v>
      </c>
    </row>
    <row r="231" spans="1:7" x14ac:dyDescent="0.25">
      <c r="A231" s="56">
        <v>45205</v>
      </c>
      <c r="B231" s="210">
        <v>2147.85</v>
      </c>
      <c r="C231" s="210">
        <v>2038</v>
      </c>
      <c r="D231" s="54">
        <v>6.2100000000000002E-2</v>
      </c>
      <c r="E231" s="210">
        <v>32251.45</v>
      </c>
      <c r="F231" s="210">
        <v>32341.7</v>
      </c>
      <c r="G231" s="54">
        <v>6.7000000000000002E-3</v>
      </c>
    </row>
    <row r="232" spans="1:7" x14ac:dyDescent="0.25">
      <c r="A232" s="56">
        <v>45204</v>
      </c>
      <c r="B232" s="210">
        <v>2022.25</v>
      </c>
      <c r="C232" s="210">
        <v>1848</v>
      </c>
      <c r="D232" s="54">
        <v>8.9099999999999999E-2</v>
      </c>
      <c r="E232" s="210">
        <v>31995</v>
      </c>
      <c r="F232" s="210">
        <v>32125.4</v>
      </c>
      <c r="G232" s="54">
        <v>9.9000000000000008E-3</v>
      </c>
    </row>
    <row r="233" spans="1:7" x14ac:dyDescent="0.25">
      <c r="A233" s="56">
        <v>45203</v>
      </c>
      <c r="B233" s="210">
        <v>1856.85</v>
      </c>
      <c r="C233" s="210">
        <v>1845</v>
      </c>
      <c r="D233" s="54">
        <v>-2.0999999999999999E-3</v>
      </c>
      <c r="E233" s="210">
        <v>31531.35</v>
      </c>
      <c r="F233" s="210">
        <v>31811.5</v>
      </c>
      <c r="G233" s="54">
        <v>3.0000000000000001E-3</v>
      </c>
    </row>
    <row r="234" spans="1:7" x14ac:dyDescent="0.25">
      <c r="A234" s="56">
        <v>45202</v>
      </c>
      <c r="B234" s="210">
        <v>1860.8</v>
      </c>
      <c r="C234" s="210">
        <v>1800</v>
      </c>
      <c r="D234" s="54">
        <v>3.2800000000000003E-2</v>
      </c>
      <c r="E234" s="210">
        <v>31772.75</v>
      </c>
      <c r="F234" s="210">
        <v>31717.25</v>
      </c>
      <c r="G234" s="54">
        <v>-2.0999999999999999E-3</v>
      </c>
    </row>
    <row r="235" spans="1:7" x14ac:dyDescent="0.25">
      <c r="A235" s="56">
        <v>45198</v>
      </c>
      <c r="B235" s="210">
        <v>1801.75</v>
      </c>
      <c r="C235" s="210">
        <v>1803.95</v>
      </c>
      <c r="D235" s="54">
        <v>2.7000000000000001E-3</v>
      </c>
      <c r="E235" s="210">
        <v>31814.65</v>
      </c>
      <c r="F235" s="210">
        <v>31784.400000000001</v>
      </c>
      <c r="G235" s="54">
        <v>-3.0000000000000001E-3</v>
      </c>
    </row>
    <row r="236" spans="1:7" x14ac:dyDescent="0.25">
      <c r="A236" s="56">
        <v>45197</v>
      </c>
      <c r="B236" s="210">
        <v>1796.9</v>
      </c>
      <c r="C236" s="210">
        <v>1813.95</v>
      </c>
      <c r="D236" s="54">
        <v>2E-3</v>
      </c>
      <c r="E236" s="210">
        <v>32616.05</v>
      </c>
      <c r="F236" s="210">
        <v>31879.599999999999</v>
      </c>
      <c r="G236" s="54">
        <v>-2.1899999999999999E-2</v>
      </c>
    </row>
    <row r="237" spans="1:7" x14ac:dyDescent="0.25">
      <c r="A237" s="56">
        <v>45196</v>
      </c>
      <c r="B237" s="210">
        <v>1793.4</v>
      </c>
      <c r="C237" s="210">
        <v>1799</v>
      </c>
      <c r="D237" s="54">
        <v>1.3899999999999999E-2</v>
      </c>
      <c r="E237" s="210">
        <v>32439.05</v>
      </c>
      <c r="F237" s="210">
        <v>32594.65</v>
      </c>
      <c r="G237" s="54">
        <v>3.8E-3</v>
      </c>
    </row>
    <row r="238" spans="1:7" x14ac:dyDescent="0.25">
      <c r="A238" s="56">
        <v>45195</v>
      </c>
      <c r="B238" s="210">
        <v>1768.9</v>
      </c>
      <c r="C238" s="210">
        <v>1800.85</v>
      </c>
      <c r="D238" s="54">
        <v>-1.77E-2</v>
      </c>
      <c r="E238" s="210">
        <v>32675.1</v>
      </c>
      <c r="F238" s="210">
        <v>32471</v>
      </c>
      <c r="G238" s="54">
        <v>-5.4000000000000003E-3</v>
      </c>
    </row>
    <row r="239" spans="1:7" x14ac:dyDescent="0.25">
      <c r="A239" s="56">
        <v>45194</v>
      </c>
      <c r="B239" s="210">
        <v>1800.85</v>
      </c>
      <c r="C239" s="210">
        <v>1793.75</v>
      </c>
      <c r="D239" s="54">
        <v>1.5299999999999999E-2</v>
      </c>
      <c r="E239" s="210">
        <v>32881.35</v>
      </c>
      <c r="F239" s="210">
        <v>32648.6</v>
      </c>
      <c r="G239" s="54">
        <v>-7.7999999999999996E-3</v>
      </c>
    </row>
    <row r="240" spans="1:7" x14ac:dyDescent="0.25">
      <c r="A240" s="56">
        <v>45191</v>
      </c>
      <c r="B240" s="210">
        <v>1773.75</v>
      </c>
      <c r="C240" s="210">
        <v>1810.2</v>
      </c>
      <c r="D240" s="54">
        <v>-3.2099999999999997E-2</v>
      </c>
      <c r="E240" s="210">
        <v>32799.050000000003</v>
      </c>
      <c r="F240" s="210">
        <v>32906.300000000003</v>
      </c>
      <c r="G240" s="54">
        <v>-4.0000000000000002E-4</v>
      </c>
    </row>
    <row r="241" spans="1:7" x14ac:dyDescent="0.25">
      <c r="A241" s="56">
        <v>45190</v>
      </c>
      <c r="B241" s="210">
        <v>1832.5</v>
      </c>
      <c r="C241" s="210">
        <v>1850</v>
      </c>
      <c r="D241" s="54">
        <v>-1.4200000000000001E-2</v>
      </c>
      <c r="E241" s="210">
        <v>32849.9</v>
      </c>
      <c r="F241" s="210">
        <v>32919.949999999997</v>
      </c>
      <c r="G241" s="54">
        <v>-8.9999999999999998E-4</v>
      </c>
    </row>
    <row r="242" spans="1:7" x14ac:dyDescent="0.25">
      <c r="A242" s="56">
        <v>45189</v>
      </c>
      <c r="B242" s="210">
        <v>1858.9</v>
      </c>
      <c r="C242" s="210">
        <v>1845</v>
      </c>
      <c r="D242" s="54">
        <v>6.4999999999999997E-3</v>
      </c>
      <c r="E242" s="210">
        <v>32860.9</v>
      </c>
      <c r="F242" s="210">
        <v>32949.199999999997</v>
      </c>
      <c r="G242" s="54">
        <v>-5.4000000000000003E-3</v>
      </c>
    </row>
    <row r="243" spans="1:7" x14ac:dyDescent="0.25">
      <c r="A243" s="56">
        <v>45187</v>
      </c>
      <c r="B243" s="210">
        <v>1846.85</v>
      </c>
      <c r="C243" s="210">
        <v>1854.45</v>
      </c>
      <c r="D243" s="54">
        <v>-2.2000000000000001E-3</v>
      </c>
      <c r="E243" s="210">
        <v>33255.1</v>
      </c>
      <c r="F243" s="210">
        <v>33129.5</v>
      </c>
      <c r="G243" s="54">
        <v>-6.7999999999999996E-3</v>
      </c>
    </row>
    <row r="244" spans="1:7" x14ac:dyDescent="0.25">
      <c r="A244" s="56">
        <v>45184</v>
      </c>
      <c r="B244" s="210">
        <v>1850.95</v>
      </c>
      <c r="C244" s="210">
        <v>1771.9</v>
      </c>
      <c r="D244" s="54">
        <v>4.6199999999999998E-2</v>
      </c>
      <c r="E244" s="210">
        <v>33216.9</v>
      </c>
      <c r="F244" s="210">
        <v>33355.050000000003</v>
      </c>
      <c r="G244" s="54">
        <v>9.4000000000000004E-3</v>
      </c>
    </row>
    <row r="245" spans="1:7" x14ac:dyDescent="0.25">
      <c r="A245" s="56">
        <v>45183</v>
      </c>
      <c r="B245" s="210">
        <v>1769.2</v>
      </c>
      <c r="C245" s="210">
        <v>1747.45</v>
      </c>
      <c r="D245" s="54">
        <v>2.2599999999999999E-2</v>
      </c>
      <c r="E245" s="210">
        <v>32991.449999999997</v>
      </c>
      <c r="F245" s="210">
        <v>33045.4</v>
      </c>
      <c r="G245" s="54">
        <v>4.7999999999999996E-3</v>
      </c>
    </row>
    <row r="246" spans="1:7" x14ac:dyDescent="0.25">
      <c r="A246" s="56">
        <v>45182</v>
      </c>
      <c r="B246" s="210">
        <v>1730.15</v>
      </c>
      <c r="C246" s="210">
        <v>1735.9</v>
      </c>
      <c r="D246" s="54">
        <v>-1.2E-2</v>
      </c>
      <c r="E246" s="210">
        <v>32943.15</v>
      </c>
      <c r="F246" s="210">
        <v>32886.699999999997</v>
      </c>
      <c r="G246" s="54">
        <v>-2.8E-3</v>
      </c>
    </row>
    <row r="247" spans="1:7" x14ac:dyDescent="0.25">
      <c r="A247" s="56">
        <v>45181</v>
      </c>
      <c r="B247" s="210">
        <v>1751.1</v>
      </c>
      <c r="C247" s="210">
        <v>1826.95</v>
      </c>
      <c r="D247" s="54">
        <v>-2.2200000000000001E-2</v>
      </c>
      <c r="E247" s="210">
        <v>32758.55</v>
      </c>
      <c r="F247" s="210">
        <v>32977.9</v>
      </c>
      <c r="G247" s="54">
        <v>1.03E-2</v>
      </c>
    </row>
    <row r="248" spans="1:7" x14ac:dyDescent="0.25">
      <c r="A248" s="56">
        <v>45180</v>
      </c>
      <c r="B248" s="210">
        <v>1790.9</v>
      </c>
      <c r="C248" s="210">
        <v>1719</v>
      </c>
      <c r="D248" s="54">
        <v>4.7600000000000003E-2</v>
      </c>
      <c r="E248" s="210">
        <v>32531</v>
      </c>
      <c r="F248" s="210">
        <v>32642.799999999999</v>
      </c>
      <c r="G248" s="54">
        <v>7.0000000000000001E-3</v>
      </c>
    </row>
    <row r="249" spans="1:7" x14ac:dyDescent="0.25">
      <c r="A249" s="56">
        <v>45177</v>
      </c>
      <c r="B249" s="210">
        <v>1709.5</v>
      </c>
      <c r="C249" s="210">
        <v>1688</v>
      </c>
      <c r="D249" s="54">
        <v>1.6899999999999998E-2</v>
      </c>
      <c r="E249" s="210">
        <v>32450.75</v>
      </c>
      <c r="F249" s="210">
        <v>32415.65</v>
      </c>
      <c r="G249" s="54">
        <v>-1E-3</v>
      </c>
    </row>
    <row r="250" spans="1:7" x14ac:dyDescent="0.25">
      <c r="A250" s="56">
        <v>45176</v>
      </c>
      <c r="B250" s="210">
        <v>1681.1</v>
      </c>
      <c r="C250" s="210">
        <v>1675.95</v>
      </c>
      <c r="D250" s="54">
        <v>4.1999999999999997E-3</v>
      </c>
      <c r="E250" s="210">
        <v>32264.5</v>
      </c>
      <c r="F250" s="210">
        <v>32448.35</v>
      </c>
      <c r="G250" s="54">
        <v>4.1999999999999997E-3</v>
      </c>
    </row>
    <row r="251" spans="1:7" x14ac:dyDescent="0.25">
      <c r="A251" s="56">
        <v>45175</v>
      </c>
      <c r="B251" s="210">
        <v>1674.1</v>
      </c>
      <c r="C251" s="210">
        <v>1712</v>
      </c>
      <c r="D251" s="54">
        <v>-1.09E-2</v>
      </c>
      <c r="E251" s="210">
        <v>32437.85</v>
      </c>
      <c r="F251" s="210">
        <v>32312.3</v>
      </c>
      <c r="G251" s="54">
        <v>-1.6000000000000001E-3</v>
      </c>
    </row>
    <row r="252" spans="1:7" x14ac:dyDescent="0.25">
      <c r="A252" s="56">
        <v>45174</v>
      </c>
      <c r="B252" s="210">
        <v>1692.6</v>
      </c>
      <c r="C252" s="210">
        <v>1669</v>
      </c>
      <c r="D252" s="54">
        <v>1.8499999999999999E-2</v>
      </c>
      <c r="E252" s="210">
        <v>32207.4</v>
      </c>
      <c r="F252" s="210">
        <v>32365.3</v>
      </c>
      <c r="G252" s="54">
        <v>6.3E-3</v>
      </c>
    </row>
    <row r="253" spans="1:7" x14ac:dyDescent="0.25">
      <c r="A253" s="56">
        <v>45173</v>
      </c>
      <c r="B253" s="210">
        <v>1661.9</v>
      </c>
      <c r="C253" s="210">
        <v>1643.8</v>
      </c>
      <c r="D253" s="54">
        <v>2.29E-2</v>
      </c>
      <c r="E253" s="210">
        <v>31552.5</v>
      </c>
      <c r="F253" s="210">
        <v>32163.95</v>
      </c>
      <c r="G253" s="54">
        <v>2.06E-2</v>
      </c>
    </row>
    <row r="254" spans="1:7" x14ac:dyDescent="0.25">
      <c r="A254" s="56">
        <v>45170</v>
      </c>
      <c r="B254" s="210">
        <v>1624.75</v>
      </c>
      <c r="C254" s="210">
        <v>1613.6</v>
      </c>
      <c r="D254" s="54">
        <v>4.0000000000000002E-4</v>
      </c>
      <c r="E254" s="210">
        <v>31166.6</v>
      </c>
      <c r="F254" s="210">
        <v>31514.35</v>
      </c>
      <c r="G254" s="54">
        <v>1.12E-2</v>
      </c>
    </row>
    <row r="255" spans="1:7" x14ac:dyDescent="0.25">
      <c r="A255" s="56">
        <v>45169</v>
      </c>
      <c r="B255" s="210">
        <v>1624.1</v>
      </c>
      <c r="C255" s="210">
        <v>1651.2</v>
      </c>
      <c r="D255" s="54">
        <v>-1.5100000000000001E-2</v>
      </c>
      <c r="E255" s="210">
        <v>31175.1</v>
      </c>
      <c r="F255" s="210">
        <v>31164.9</v>
      </c>
      <c r="G255" s="54">
        <v>2E-3</v>
      </c>
    </row>
    <row r="256" spans="1:7" x14ac:dyDescent="0.25">
      <c r="A256" s="56">
        <v>45168</v>
      </c>
      <c r="B256" s="210">
        <v>1649.05</v>
      </c>
      <c r="C256" s="210">
        <v>1639.45</v>
      </c>
      <c r="D256" s="54">
        <v>1.0800000000000001E-2</v>
      </c>
      <c r="E256" s="210">
        <v>31069.85</v>
      </c>
      <c r="F256" s="210">
        <v>31103.9</v>
      </c>
      <c r="G256" s="54">
        <v>7.7000000000000002E-3</v>
      </c>
    </row>
    <row r="257" spans="1:7" x14ac:dyDescent="0.25">
      <c r="A257" s="56">
        <v>45167</v>
      </c>
      <c r="B257" s="210">
        <v>1631.45</v>
      </c>
      <c r="C257" s="210">
        <v>1618.25</v>
      </c>
      <c r="D257" s="54">
        <v>8.2000000000000007E-3</v>
      </c>
      <c r="E257" s="210">
        <v>30899.95</v>
      </c>
      <c r="F257" s="210">
        <v>30866.05</v>
      </c>
      <c r="G257" s="54">
        <v>3.0000000000000001E-3</v>
      </c>
    </row>
    <row r="258" spans="1:7" x14ac:dyDescent="0.25">
      <c r="A258" s="56">
        <v>45166</v>
      </c>
      <c r="B258" s="210">
        <v>1618.2</v>
      </c>
      <c r="C258" s="210">
        <v>1625</v>
      </c>
      <c r="D258" s="54">
        <v>1.04E-2</v>
      </c>
      <c r="E258" s="210">
        <v>30975.35</v>
      </c>
      <c r="F258" s="210">
        <v>30773.599999999999</v>
      </c>
      <c r="G258" s="54">
        <v>-4.5999999999999999E-3</v>
      </c>
    </row>
    <row r="259" spans="1:7" x14ac:dyDescent="0.25">
      <c r="A259" s="56">
        <v>45163</v>
      </c>
      <c r="B259" s="210">
        <v>1601.5</v>
      </c>
      <c r="C259" s="210">
        <v>1582.6</v>
      </c>
      <c r="D259" s="54">
        <v>2.9999999999999997E-4</v>
      </c>
      <c r="E259" s="210">
        <v>30907.85</v>
      </c>
      <c r="F259" s="210">
        <v>30914.55</v>
      </c>
      <c r="G259" s="54">
        <v>-6.4000000000000003E-3</v>
      </c>
    </row>
    <row r="260" spans="1:7" x14ac:dyDescent="0.25">
      <c r="A260" s="56">
        <v>45162</v>
      </c>
      <c r="B260" s="210">
        <v>1600.95</v>
      </c>
      <c r="C260" s="210">
        <v>1609.15</v>
      </c>
      <c r="D260" s="54">
        <v>-5.1000000000000004E-3</v>
      </c>
      <c r="E260" s="210">
        <v>31084.55</v>
      </c>
      <c r="F260" s="210">
        <v>31112.15</v>
      </c>
      <c r="G260" s="54">
        <v>6.1000000000000004E-3</v>
      </c>
    </row>
    <row r="261" spans="1:7" x14ac:dyDescent="0.25">
      <c r="A261" s="56">
        <v>45161</v>
      </c>
      <c r="B261" s="210">
        <v>1609.15</v>
      </c>
      <c r="C261" s="210">
        <v>1624</v>
      </c>
      <c r="D261" s="54">
        <v>-4.8999999999999998E-3</v>
      </c>
      <c r="E261" s="210">
        <v>31036.95</v>
      </c>
      <c r="F261" s="210">
        <v>30924.1</v>
      </c>
      <c r="G261" s="54">
        <v>6.9999999999999999E-4</v>
      </c>
    </row>
    <row r="262" spans="1:7" x14ac:dyDescent="0.25">
      <c r="A262" s="56">
        <v>45160</v>
      </c>
      <c r="B262" s="210">
        <v>1617</v>
      </c>
      <c r="C262" s="210">
        <v>1648</v>
      </c>
      <c r="D262" s="54">
        <v>-6.7999999999999996E-3</v>
      </c>
      <c r="E262" s="210">
        <v>30973.9</v>
      </c>
      <c r="F262" s="210">
        <v>30902.400000000001</v>
      </c>
      <c r="G262" s="54">
        <v>-1.1000000000000001E-3</v>
      </c>
    </row>
    <row r="263" spans="1:7" x14ac:dyDescent="0.25">
      <c r="A263" s="56">
        <v>45159</v>
      </c>
      <c r="B263" s="210">
        <v>1628.15</v>
      </c>
      <c r="C263" s="210">
        <v>1647.65</v>
      </c>
      <c r="D263" s="54">
        <v>-1.18E-2</v>
      </c>
      <c r="E263" s="210">
        <v>30626.25</v>
      </c>
      <c r="F263" s="210">
        <v>30937.599999999999</v>
      </c>
      <c r="G263" s="54">
        <v>1.09E-2</v>
      </c>
    </row>
    <row r="264" spans="1:7" x14ac:dyDescent="0.25">
      <c r="A264" s="56">
        <v>45156</v>
      </c>
      <c r="B264" s="210">
        <v>1647.65</v>
      </c>
      <c r="C264" s="210">
        <v>1648.3</v>
      </c>
      <c r="D264" s="54">
        <v>-1.6000000000000001E-3</v>
      </c>
      <c r="E264" s="210">
        <v>30907.45</v>
      </c>
      <c r="F264" s="210">
        <v>30604.05</v>
      </c>
      <c r="G264" s="54">
        <v>-1.47E-2</v>
      </c>
    </row>
    <row r="265" spans="1:7" x14ac:dyDescent="0.25">
      <c r="A265" s="56">
        <v>45155</v>
      </c>
      <c r="B265" s="210">
        <v>1650.25</v>
      </c>
      <c r="C265" s="210">
        <v>1651.4</v>
      </c>
      <c r="D265" s="54">
        <v>4.4999999999999997E-3</v>
      </c>
      <c r="E265" s="210">
        <v>31205.3</v>
      </c>
      <c r="F265" s="210">
        <v>31060.2</v>
      </c>
      <c r="G265" s="54">
        <v>-4.8999999999999998E-3</v>
      </c>
    </row>
    <row r="266" spans="1:7" x14ac:dyDescent="0.25">
      <c r="A266" s="56">
        <v>45154</v>
      </c>
      <c r="B266" s="210">
        <v>1642.8</v>
      </c>
      <c r="C266" s="210">
        <v>1695</v>
      </c>
      <c r="D266" s="54">
        <v>-3.2899999999999999E-2</v>
      </c>
      <c r="E266" s="210">
        <v>31129.3</v>
      </c>
      <c r="F266" s="210">
        <v>31212.1</v>
      </c>
      <c r="G266" s="54">
        <v>5.8999999999999999E-3</v>
      </c>
    </row>
    <row r="267" spans="1:7" x14ac:dyDescent="0.25">
      <c r="A267" s="56">
        <v>45152</v>
      </c>
      <c r="B267" s="210">
        <v>1698.7</v>
      </c>
      <c r="C267" s="210">
        <v>1709.45</v>
      </c>
      <c r="D267" s="54">
        <v>-6.3E-3</v>
      </c>
      <c r="E267" s="210">
        <v>30755.8</v>
      </c>
      <c r="F267" s="210">
        <v>31028.9</v>
      </c>
      <c r="G267" s="54">
        <v>6.7999999999999996E-3</v>
      </c>
    </row>
    <row r="268" spans="1:7" x14ac:dyDescent="0.25">
      <c r="A268" s="56">
        <v>45149</v>
      </c>
      <c r="B268" s="210">
        <v>1709.45</v>
      </c>
      <c r="C268" s="210">
        <v>1730</v>
      </c>
      <c r="D268" s="54">
        <v>-1.9400000000000001E-2</v>
      </c>
      <c r="E268" s="210">
        <v>30950.3</v>
      </c>
      <c r="F268" s="210">
        <v>30819.15</v>
      </c>
      <c r="G268" s="54">
        <v>-1.6000000000000001E-3</v>
      </c>
    </row>
    <row r="269" spans="1:7" x14ac:dyDescent="0.25">
      <c r="A269" s="56">
        <v>45148</v>
      </c>
      <c r="B269" s="210">
        <v>1743.35</v>
      </c>
      <c r="C269" s="210">
        <v>1740</v>
      </c>
      <c r="D269" s="54">
        <v>-1.3599999999999999E-2</v>
      </c>
      <c r="E269" s="210">
        <v>30845.65</v>
      </c>
      <c r="F269" s="210">
        <v>30867</v>
      </c>
      <c r="G269" s="54">
        <v>-2.3999999999999998E-3</v>
      </c>
    </row>
    <row r="270" spans="1:7" x14ac:dyDescent="0.25">
      <c r="A270" s="56">
        <v>45147</v>
      </c>
      <c r="B270" s="210">
        <v>1767.4</v>
      </c>
      <c r="C270" s="210">
        <v>1770.6</v>
      </c>
      <c r="D270" s="54">
        <v>-1.8E-3</v>
      </c>
      <c r="E270" s="210">
        <v>30772.5</v>
      </c>
      <c r="F270" s="210">
        <v>30940.05</v>
      </c>
      <c r="G270" s="54">
        <v>3.7000000000000002E-3</v>
      </c>
    </row>
    <row r="271" spans="1:7" x14ac:dyDescent="0.25">
      <c r="A271" s="56">
        <v>45146</v>
      </c>
      <c r="B271" s="210">
        <v>1770.5</v>
      </c>
      <c r="C271" s="210">
        <v>1767</v>
      </c>
      <c r="D271" s="54">
        <v>5.3E-3</v>
      </c>
      <c r="E271" s="210">
        <v>30817.25</v>
      </c>
      <c r="F271" s="210">
        <v>30824.95</v>
      </c>
      <c r="G271" s="54">
        <v>1.5E-3</v>
      </c>
    </row>
    <row r="272" spans="1:7" x14ac:dyDescent="0.25">
      <c r="A272" s="56">
        <v>45145</v>
      </c>
      <c r="B272" s="210">
        <v>1761.15</v>
      </c>
      <c r="C272" s="210">
        <v>1705</v>
      </c>
      <c r="D272" s="54">
        <v>3.4799999999999998E-2</v>
      </c>
      <c r="E272" s="210">
        <v>30582.45</v>
      </c>
      <c r="F272" s="210">
        <v>30779.25</v>
      </c>
      <c r="G272" s="54">
        <v>1.1299999999999999E-2</v>
      </c>
    </row>
    <row r="273" spans="1:7" x14ac:dyDescent="0.25">
      <c r="A273" s="56">
        <v>45142</v>
      </c>
      <c r="B273" s="210">
        <v>1701.95</v>
      </c>
      <c r="C273" s="210">
        <v>1728.15</v>
      </c>
      <c r="D273" s="54">
        <v>-1.06E-2</v>
      </c>
      <c r="E273" s="210">
        <v>30082.55</v>
      </c>
      <c r="F273" s="210">
        <v>30436.1</v>
      </c>
      <c r="G273" s="54">
        <v>1.55E-2</v>
      </c>
    </row>
    <row r="274" spans="1:7" x14ac:dyDescent="0.25">
      <c r="A274" s="56">
        <v>45141</v>
      </c>
      <c r="B274" s="210">
        <v>1720.2</v>
      </c>
      <c r="C274" s="210">
        <v>1700</v>
      </c>
      <c r="D274" s="54">
        <v>9.7999999999999997E-3</v>
      </c>
      <c r="E274" s="210">
        <v>29913.65</v>
      </c>
      <c r="F274" s="210">
        <v>29971.15</v>
      </c>
      <c r="G274" s="54">
        <v>-2.3999999999999998E-3</v>
      </c>
    </row>
    <row r="275" spans="1:7" x14ac:dyDescent="0.25">
      <c r="A275" s="56">
        <v>45140</v>
      </c>
      <c r="B275" s="210">
        <v>1703.55</v>
      </c>
      <c r="C275" s="210">
        <v>1716.75</v>
      </c>
      <c r="D275" s="54">
        <v>-7.7000000000000002E-3</v>
      </c>
      <c r="E275" s="210">
        <v>30253.1</v>
      </c>
      <c r="F275" s="210">
        <v>30043.599999999999</v>
      </c>
      <c r="G275" s="54">
        <v>-8.0999999999999996E-3</v>
      </c>
    </row>
    <row r="276" spans="1:7" x14ac:dyDescent="0.25">
      <c r="A276" s="56">
        <v>45139</v>
      </c>
      <c r="B276" s="210">
        <v>1716.75</v>
      </c>
      <c r="C276" s="210">
        <v>1729.4</v>
      </c>
      <c r="D276" s="54">
        <v>-1.5E-3</v>
      </c>
      <c r="E276" s="210">
        <v>29998.15</v>
      </c>
      <c r="F276" s="210">
        <v>30288.65</v>
      </c>
      <c r="G276" s="54">
        <v>1.2E-2</v>
      </c>
    </row>
    <row r="277" spans="1:7" x14ac:dyDescent="0.25">
      <c r="A277" s="56">
        <v>45138</v>
      </c>
      <c r="B277" s="210">
        <v>1719.3</v>
      </c>
      <c r="C277" s="210">
        <v>1722.95</v>
      </c>
      <c r="D277" s="54">
        <v>3.8999999999999998E-3</v>
      </c>
      <c r="E277" s="210">
        <v>29605.5</v>
      </c>
      <c r="F277" s="210">
        <v>29928.45</v>
      </c>
      <c r="G277" s="54">
        <v>1.49E-2</v>
      </c>
    </row>
    <row r="278" spans="1:7" x14ac:dyDescent="0.25">
      <c r="A278" s="56">
        <v>45135</v>
      </c>
      <c r="B278" s="210">
        <v>1712.7</v>
      </c>
      <c r="C278" s="210">
        <v>1666.55</v>
      </c>
      <c r="D278" s="54">
        <v>3.7999999999999999E-2</v>
      </c>
      <c r="E278" s="210">
        <v>29741.15</v>
      </c>
      <c r="F278" s="210">
        <v>29490.25</v>
      </c>
      <c r="G278" s="54">
        <v>-8.6E-3</v>
      </c>
    </row>
    <row r="279" spans="1:7" x14ac:dyDescent="0.25">
      <c r="A279" s="56">
        <v>45134</v>
      </c>
      <c r="B279" s="210">
        <v>1650.05</v>
      </c>
      <c r="C279" s="210">
        <v>1703.1</v>
      </c>
      <c r="D279" s="54">
        <v>-2.76E-2</v>
      </c>
      <c r="E279" s="210">
        <v>29826</v>
      </c>
      <c r="F279" s="210">
        <v>29745</v>
      </c>
      <c r="G279" s="54">
        <v>-1.9E-3</v>
      </c>
    </row>
    <row r="280" spans="1:7" x14ac:dyDescent="0.25">
      <c r="A280" s="56">
        <v>45133</v>
      </c>
      <c r="B280" s="210">
        <v>1696.85</v>
      </c>
      <c r="C280" s="210">
        <v>1730</v>
      </c>
      <c r="D280" s="54">
        <v>-1.8599999999999998E-2</v>
      </c>
      <c r="E280" s="210">
        <v>29854.400000000001</v>
      </c>
      <c r="F280" s="210">
        <v>29800.400000000001</v>
      </c>
      <c r="G280" s="54">
        <v>1.2999999999999999E-3</v>
      </c>
    </row>
    <row r="281" spans="1:7" x14ac:dyDescent="0.25">
      <c r="A281" s="56">
        <v>45132</v>
      </c>
      <c r="B281" s="210">
        <v>1729</v>
      </c>
      <c r="C281" s="210">
        <v>1777.9</v>
      </c>
      <c r="D281" s="54">
        <v>-2.5999999999999999E-2</v>
      </c>
      <c r="E281" s="210">
        <v>29899</v>
      </c>
      <c r="F281" s="210">
        <v>29761.15</v>
      </c>
      <c r="G281" s="54">
        <v>-2.8E-3</v>
      </c>
    </row>
    <row r="282" spans="1:7" x14ac:dyDescent="0.25">
      <c r="A282" s="56">
        <v>45131</v>
      </c>
      <c r="B282" s="210">
        <v>1775.15</v>
      </c>
      <c r="C282" s="210">
        <v>1769</v>
      </c>
      <c r="D282" s="54">
        <v>3.5000000000000001E-3</v>
      </c>
      <c r="E282" s="210">
        <v>29993.85</v>
      </c>
      <c r="F282" s="210">
        <v>29843.45</v>
      </c>
      <c r="G282" s="54">
        <v>-8.9999999999999998E-4</v>
      </c>
    </row>
    <row r="283" spans="1:7" x14ac:dyDescent="0.25">
      <c r="A283" s="56">
        <v>45128</v>
      </c>
      <c r="B283" s="210">
        <v>1768.95</v>
      </c>
      <c r="C283" s="210">
        <v>1748.5</v>
      </c>
      <c r="D283" s="54">
        <v>2.5000000000000001E-3</v>
      </c>
      <c r="E283" s="210">
        <v>29854.25</v>
      </c>
      <c r="F283" s="210">
        <v>29871.05</v>
      </c>
      <c r="G283" s="54">
        <v>-4.0899999999999999E-2</v>
      </c>
    </row>
    <row r="284" spans="1:7" x14ac:dyDescent="0.25">
      <c r="A284" s="56">
        <v>45127</v>
      </c>
      <c r="B284" s="210">
        <v>1764.55</v>
      </c>
      <c r="C284" s="210">
        <v>1790.05</v>
      </c>
      <c r="D284" s="54">
        <v>-1.4999999999999999E-2</v>
      </c>
      <c r="E284" s="210">
        <v>31292.35</v>
      </c>
      <c r="F284" s="210">
        <v>31145.95</v>
      </c>
      <c r="G284" s="54">
        <v>-6.6E-3</v>
      </c>
    </row>
    <row r="285" spans="1:7" x14ac:dyDescent="0.25">
      <c r="A285" s="56">
        <v>45126</v>
      </c>
      <c r="B285" s="210">
        <v>1791.4</v>
      </c>
      <c r="C285" s="210">
        <v>1826.8</v>
      </c>
      <c r="D285" s="54">
        <v>-1.0200000000000001E-2</v>
      </c>
      <c r="E285" s="210">
        <v>31490.45</v>
      </c>
      <c r="F285" s="210">
        <v>31353.55</v>
      </c>
      <c r="G285" s="54">
        <v>-5.9999999999999995E-4</v>
      </c>
    </row>
    <row r="286" spans="1:7" x14ac:dyDescent="0.25">
      <c r="A286" s="56">
        <v>45125</v>
      </c>
      <c r="B286" s="210">
        <v>1809.85</v>
      </c>
      <c r="C286" s="210">
        <v>1829.95</v>
      </c>
      <c r="D286" s="54">
        <v>-9.7999999999999997E-3</v>
      </c>
      <c r="E286" s="210">
        <v>31089.9</v>
      </c>
      <c r="F286" s="210">
        <v>31371.15</v>
      </c>
      <c r="G286" s="54">
        <v>1.06E-2</v>
      </c>
    </row>
    <row r="287" spans="1:7" x14ac:dyDescent="0.25">
      <c r="A287" s="56">
        <v>45124</v>
      </c>
      <c r="B287" s="210">
        <v>1827.7</v>
      </c>
      <c r="C287" s="210">
        <v>1739</v>
      </c>
      <c r="D287" s="54">
        <v>5.5399999999999998E-2</v>
      </c>
      <c r="E287" s="210">
        <v>31007.599999999999</v>
      </c>
      <c r="F287" s="210">
        <v>31041.599999999999</v>
      </c>
      <c r="G287" s="54">
        <v>3.0999999999999999E-3</v>
      </c>
    </row>
    <row r="288" spans="1:7" x14ac:dyDescent="0.25">
      <c r="A288" s="56">
        <v>45121</v>
      </c>
      <c r="B288" s="210">
        <v>1731.7</v>
      </c>
      <c r="C288" s="210">
        <v>1714</v>
      </c>
      <c r="D288" s="54">
        <v>1.9800000000000002E-2</v>
      </c>
      <c r="E288" s="210">
        <v>29860.55</v>
      </c>
      <c r="F288" s="210">
        <v>30945.5</v>
      </c>
      <c r="G288" s="54">
        <v>4.4499999999999998E-2</v>
      </c>
    </row>
    <row r="289" spans="1:7" x14ac:dyDescent="0.25">
      <c r="A289" s="56">
        <v>45120</v>
      </c>
      <c r="B289" s="210">
        <v>1698.05</v>
      </c>
      <c r="C289" s="210">
        <v>1745.4</v>
      </c>
      <c r="D289" s="54">
        <v>-2.5600000000000001E-2</v>
      </c>
      <c r="E289" s="210">
        <v>29158.55</v>
      </c>
      <c r="F289" s="210">
        <v>29628.2</v>
      </c>
      <c r="G289" s="54">
        <v>1.7500000000000002E-2</v>
      </c>
    </row>
    <row r="290" spans="1:7" x14ac:dyDescent="0.25">
      <c r="A290" s="56">
        <v>45119</v>
      </c>
      <c r="B290" s="210">
        <v>1742.7</v>
      </c>
      <c r="C290" s="210">
        <v>1772.25</v>
      </c>
      <c r="D290" s="54">
        <v>-1.67E-2</v>
      </c>
      <c r="E290" s="210">
        <v>29412.5</v>
      </c>
      <c r="F290" s="210">
        <v>29118.05</v>
      </c>
      <c r="G290" s="54">
        <v>-7.1000000000000004E-3</v>
      </c>
    </row>
    <row r="291" spans="1:7" x14ac:dyDescent="0.25">
      <c r="A291" s="56">
        <v>45118</v>
      </c>
      <c r="B291" s="210">
        <v>1772.25</v>
      </c>
      <c r="C291" s="210">
        <v>1762</v>
      </c>
      <c r="D291" s="54">
        <v>1.0999999999999999E-2</v>
      </c>
      <c r="E291" s="210">
        <v>29299.3</v>
      </c>
      <c r="F291" s="210">
        <v>29324.799999999999</v>
      </c>
      <c r="G291" s="54">
        <v>4.4999999999999997E-3</v>
      </c>
    </row>
    <row r="292" spans="1:7" x14ac:dyDescent="0.25">
      <c r="A292" s="56">
        <v>45117</v>
      </c>
      <c r="B292" s="210">
        <v>1753</v>
      </c>
      <c r="C292" s="210">
        <v>1698.95</v>
      </c>
      <c r="D292" s="54">
        <v>3.5799999999999998E-2</v>
      </c>
      <c r="E292" s="210">
        <v>29609.85</v>
      </c>
      <c r="F292" s="210">
        <v>29194.75</v>
      </c>
      <c r="G292" s="54">
        <v>-1.24E-2</v>
      </c>
    </row>
    <row r="293" spans="1:7" x14ac:dyDescent="0.25">
      <c r="A293" s="56">
        <v>45114</v>
      </c>
      <c r="B293" s="210">
        <v>1692.45</v>
      </c>
      <c r="C293" s="210">
        <v>1684.05</v>
      </c>
      <c r="D293" s="54">
        <v>8.8999999999999999E-3</v>
      </c>
      <c r="E293" s="210">
        <v>29654.25</v>
      </c>
      <c r="F293" s="210">
        <v>29560.45</v>
      </c>
      <c r="G293" s="54">
        <v>-8.2000000000000007E-3</v>
      </c>
    </row>
    <row r="294" spans="1:7" x14ac:dyDescent="0.25">
      <c r="A294" s="56">
        <v>45113</v>
      </c>
      <c r="B294" s="210">
        <v>1677.45</v>
      </c>
      <c r="C294" s="210">
        <v>1617</v>
      </c>
      <c r="D294" s="54">
        <v>3.8600000000000002E-2</v>
      </c>
      <c r="E294" s="210">
        <v>29792.1</v>
      </c>
      <c r="F294" s="210">
        <v>29805.200000000001</v>
      </c>
      <c r="G294" s="54">
        <v>-1.1999999999999999E-3</v>
      </c>
    </row>
    <row r="295" spans="1:7" x14ac:dyDescent="0.25">
      <c r="A295" s="56">
        <v>45112</v>
      </c>
      <c r="B295" s="210">
        <v>1615.1</v>
      </c>
      <c r="C295" s="210">
        <v>1649</v>
      </c>
      <c r="D295" s="54">
        <v>-1.5900000000000001E-2</v>
      </c>
      <c r="E295" s="210">
        <v>29910</v>
      </c>
      <c r="F295" s="210">
        <v>29841.85</v>
      </c>
      <c r="G295" s="54">
        <v>3.8E-3</v>
      </c>
    </row>
    <row r="296" spans="1:7" x14ac:dyDescent="0.25">
      <c r="A296" s="56">
        <v>45111</v>
      </c>
      <c r="B296" s="210">
        <v>1641.2</v>
      </c>
      <c r="C296" s="210">
        <v>1660.05</v>
      </c>
      <c r="D296" s="54">
        <v>-1.6000000000000001E-3</v>
      </c>
      <c r="E296" s="210">
        <v>29557.55</v>
      </c>
      <c r="F296" s="210">
        <v>29729.85</v>
      </c>
      <c r="G296" s="54">
        <v>1.04E-2</v>
      </c>
    </row>
    <row r="297" spans="1:7" x14ac:dyDescent="0.25">
      <c r="A297" s="56">
        <v>45110</v>
      </c>
      <c r="B297" s="210">
        <v>1643.85</v>
      </c>
      <c r="C297" s="210">
        <v>1641.75</v>
      </c>
      <c r="D297" s="54">
        <v>1.1599999999999999E-2</v>
      </c>
      <c r="E297" s="210">
        <v>29648.400000000001</v>
      </c>
      <c r="F297" s="210">
        <v>29424.799999999999</v>
      </c>
      <c r="G297" s="54">
        <v>-4.7000000000000002E-3</v>
      </c>
    </row>
    <row r="298" spans="1:7" x14ac:dyDescent="0.25">
      <c r="A298" s="56">
        <v>45107</v>
      </c>
      <c r="B298" s="210">
        <v>1624.95</v>
      </c>
      <c r="C298" s="210">
        <v>1696.8</v>
      </c>
      <c r="D298" s="54">
        <v>-3.73E-2</v>
      </c>
      <c r="E298" s="210">
        <v>29013.15</v>
      </c>
      <c r="F298" s="210">
        <v>29563</v>
      </c>
      <c r="G298" s="54">
        <v>2.5000000000000001E-2</v>
      </c>
    </row>
    <row r="299" spans="1:7" x14ac:dyDescent="0.25">
      <c r="A299" s="56">
        <v>45105</v>
      </c>
      <c r="B299" s="210">
        <v>1687.9</v>
      </c>
      <c r="C299" s="210">
        <v>1709.75</v>
      </c>
      <c r="D299" s="54">
        <v>-3.0999999999999999E-3</v>
      </c>
      <c r="E299" s="210">
        <v>28945</v>
      </c>
      <c r="F299" s="210">
        <v>28843</v>
      </c>
      <c r="G299" s="54">
        <v>1.5E-3</v>
      </c>
    </row>
    <row r="300" spans="1:7" x14ac:dyDescent="0.25">
      <c r="A300" s="56">
        <v>45104</v>
      </c>
      <c r="B300" s="210">
        <v>1693.1</v>
      </c>
      <c r="C300" s="210">
        <v>1744.6</v>
      </c>
      <c r="D300" s="54">
        <v>-2.5100000000000001E-2</v>
      </c>
      <c r="E300" s="210">
        <v>28681.95</v>
      </c>
      <c r="F300" s="210">
        <v>28800.15</v>
      </c>
      <c r="G300" s="54">
        <v>7.3000000000000001E-3</v>
      </c>
    </row>
    <row r="301" spans="1:7" x14ac:dyDescent="0.25">
      <c r="A301" s="56">
        <v>45103</v>
      </c>
      <c r="B301" s="210">
        <v>1736.65</v>
      </c>
      <c r="C301" s="210">
        <v>1695</v>
      </c>
      <c r="D301" s="54">
        <v>2.52E-2</v>
      </c>
      <c r="E301" s="210">
        <v>28539.8</v>
      </c>
      <c r="F301" s="210">
        <v>28590.1</v>
      </c>
      <c r="G301" s="54">
        <v>1.2999999999999999E-3</v>
      </c>
    </row>
    <row r="302" spans="1:7" x14ac:dyDescent="0.25">
      <c r="A302" s="56">
        <v>45100</v>
      </c>
      <c r="B302" s="210">
        <v>1693.95</v>
      </c>
      <c r="C302" s="210">
        <v>1757</v>
      </c>
      <c r="D302" s="54">
        <v>-3.3300000000000003E-2</v>
      </c>
      <c r="E302" s="210">
        <v>28747.599999999999</v>
      </c>
      <c r="F302" s="210">
        <v>28554.3</v>
      </c>
      <c r="G302" s="54">
        <v>-8.8999999999999999E-3</v>
      </c>
    </row>
    <row r="303" spans="1:7" x14ac:dyDescent="0.25">
      <c r="A303" s="56">
        <v>45099</v>
      </c>
      <c r="B303" s="210">
        <v>1752.3</v>
      </c>
      <c r="C303" s="210">
        <v>1749.95</v>
      </c>
      <c r="D303" s="54">
        <v>1.09E-2</v>
      </c>
      <c r="E303" s="210">
        <v>28969.15</v>
      </c>
      <c r="F303" s="210">
        <v>28811.15</v>
      </c>
      <c r="G303" s="54">
        <v>-7.4000000000000003E-3</v>
      </c>
    </row>
    <row r="304" spans="1:7" x14ac:dyDescent="0.25">
      <c r="A304" s="56">
        <v>45098</v>
      </c>
      <c r="B304" s="210">
        <v>1733.45</v>
      </c>
      <c r="C304" s="210">
        <v>1769.4</v>
      </c>
      <c r="D304" s="54">
        <v>-1.6500000000000001E-2</v>
      </c>
      <c r="E304" s="210">
        <v>29022.7</v>
      </c>
      <c r="F304" s="210">
        <v>29025.7</v>
      </c>
      <c r="G304" s="54">
        <v>3.3E-3</v>
      </c>
    </row>
    <row r="305" spans="1:7" x14ac:dyDescent="0.25">
      <c r="A305" s="56">
        <v>45097</v>
      </c>
      <c r="B305" s="210">
        <v>1762.6</v>
      </c>
      <c r="C305" s="210">
        <v>1782</v>
      </c>
      <c r="D305" s="54">
        <v>-9.7999999999999997E-3</v>
      </c>
      <c r="E305" s="210">
        <v>28728.5</v>
      </c>
      <c r="F305" s="210">
        <v>28930.799999999999</v>
      </c>
      <c r="G305" s="54">
        <v>7.7999999999999996E-3</v>
      </c>
    </row>
    <row r="306" spans="1:7" x14ac:dyDescent="0.25">
      <c r="A306" s="56">
        <v>45096</v>
      </c>
      <c r="B306" s="210">
        <v>1780</v>
      </c>
      <c r="C306" s="210">
        <v>1670.05</v>
      </c>
      <c r="D306" s="54">
        <v>7.2800000000000004E-2</v>
      </c>
      <c r="E306" s="210">
        <v>28641.45</v>
      </c>
      <c r="F306" s="210">
        <v>28708.3</v>
      </c>
      <c r="G306" s="54">
        <v>4.1999999999999997E-3</v>
      </c>
    </row>
    <row r="307" spans="1:7" x14ac:dyDescent="0.25">
      <c r="A307" s="56">
        <v>45093</v>
      </c>
      <c r="B307" s="210">
        <v>1659.2</v>
      </c>
      <c r="C307" s="210">
        <v>1637.1</v>
      </c>
      <c r="D307" s="54">
        <v>1.6400000000000001E-2</v>
      </c>
      <c r="E307" s="210">
        <v>28671.1</v>
      </c>
      <c r="F307" s="210">
        <v>28588.799999999999</v>
      </c>
      <c r="G307" s="54">
        <v>-3.8E-3</v>
      </c>
    </row>
    <row r="308" spans="1:7" x14ac:dyDescent="0.25">
      <c r="A308" s="56">
        <v>45092</v>
      </c>
      <c r="B308" s="210">
        <v>1632.5</v>
      </c>
      <c r="C308" s="210">
        <v>1608.95</v>
      </c>
      <c r="D308" s="54">
        <v>2.1000000000000001E-2</v>
      </c>
      <c r="E308" s="210">
        <v>28824.6</v>
      </c>
      <c r="F308" s="210">
        <v>28699</v>
      </c>
      <c r="G308" s="54">
        <v>-5.4000000000000003E-3</v>
      </c>
    </row>
    <row r="309" spans="1:7" x14ac:dyDescent="0.25">
      <c r="A309" s="56">
        <v>45091</v>
      </c>
      <c r="B309" s="210">
        <v>1598.95</v>
      </c>
      <c r="C309" s="210">
        <v>1666</v>
      </c>
      <c r="D309" s="54">
        <v>-4.1700000000000001E-2</v>
      </c>
      <c r="E309" s="210">
        <v>28896.25</v>
      </c>
      <c r="F309" s="210">
        <v>28855.05</v>
      </c>
      <c r="G309" s="54">
        <v>-1.5E-3</v>
      </c>
    </row>
    <row r="310" spans="1:7" x14ac:dyDescent="0.25">
      <c r="A310" s="56">
        <v>45090</v>
      </c>
      <c r="B310" s="210">
        <v>1668.6</v>
      </c>
      <c r="C310" s="210">
        <v>1717.5</v>
      </c>
      <c r="D310" s="54">
        <v>-2.6599999999999999E-2</v>
      </c>
      <c r="E310" s="210">
        <v>28935.9</v>
      </c>
      <c r="F310" s="210">
        <v>28899.3</v>
      </c>
      <c r="G310" s="54">
        <v>4.0000000000000001E-3</v>
      </c>
    </row>
    <row r="311" spans="1:7" x14ac:dyDescent="0.25">
      <c r="A311" s="56">
        <v>45089</v>
      </c>
      <c r="B311" s="210">
        <v>1714.2</v>
      </c>
      <c r="C311" s="210">
        <v>1714</v>
      </c>
      <c r="D311" s="54">
        <v>8.0000000000000004E-4</v>
      </c>
      <c r="E311" s="210">
        <v>28457.45</v>
      </c>
      <c r="F311" s="210">
        <v>28784</v>
      </c>
      <c r="G311" s="54">
        <v>1.5100000000000001E-2</v>
      </c>
    </row>
    <row r="312" spans="1:7" x14ac:dyDescent="0.25">
      <c r="A312" s="56">
        <v>45086</v>
      </c>
      <c r="B312" s="210">
        <v>1712.9</v>
      </c>
      <c r="C312" s="210">
        <v>1717.5</v>
      </c>
      <c r="D312" s="54">
        <v>5.1000000000000004E-3</v>
      </c>
      <c r="E312" s="210">
        <v>28645.7</v>
      </c>
      <c r="F312" s="210">
        <v>28355.35</v>
      </c>
      <c r="G312" s="54">
        <v>-8.2000000000000007E-3</v>
      </c>
    </row>
    <row r="313" spans="1:7" x14ac:dyDescent="0.25">
      <c r="A313" s="56">
        <v>45085</v>
      </c>
      <c r="B313" s="210">
        <v>1704.25</v>
      </c>
      <c r="C313" s="210">
        <v>1684.9</v>
      </c>
      <c r="D313" s="54">
        <v>1.15E-2</v>
      </c>
      <c r="E313" s="210">
        <v>28892.65</v>
      </c>
      <c r="F313" s="210">
        <v>28591.1</v>
      </c>
      <c r="G313" s="54">
        <v>-1.12E-2</v>
      </c>
    </row>
    <row r="314" spans="1:7" x14ac:dyDescent="0.25">
      <c r="A314" s="56">
        <v>45084</v>
      </c>
      <c r="B314" s="210">
        <v>1684.9</v>
      </c>
      <c r="C314" s="210">
        <v>1725</v>
      </c>
      <c r="D314" s="54">
        <v>-1.49E-2</v>
      </c>
      <c r="E314" s="210">
        <v>28886.7</v>
      </c>
      <c r="F314" s="210">
        <v>28913.7</v>
      </c>
      <c r="G314" s="54">
        <v>7.7999999999999996E-3</v>
      </c>
    </row>
    <row r="315" spans="1:7" x14ac:dyDescent="0.25">
      <c r="A315" s="56">
        <v>45083</v>
      </c>
      <c r="B315" s="210">
        <v>1710.4</v>
      </c>
      <c r="C315" s="210">
        <v>1715</v>
      </c>
      <c r="D315" s="54">
        <v>-2.5999999999999999E-3</v>
      </c>
      <c r="E315" s="210">
        <v>29003.5</v>
      </c>
      <c r="F315" s="210">
        <v>28689.05</v>
      </c>
      <c r="G315" s="54">
        <v>-1.8800000000000001E-2</v>
      </c>
    </row>
    <row r="316" spans="1:7" x14ac:dyDescent="0.25">
      <c r="A316" s="56">
        <v>45082</v>
      </c>
      <c r="B316" s="210">
        <v>1714.8</v>
      </c>
      <c r="C316" s="210">
        <v>1624</v>
      </c>
      <c r="D316" s="54">
        <v>6.3200000000000006E-2</v>
      </c>
      <c r="E316" s="210">
        <v>29459.15</v>
      </c>
      <c r="F316" s="210">
        <v>29238.75</v>
      </c>
      <c r="G316" s="54">
        <v>-3.0000000000000001E-3</v>
      </c>
    </row>
    <row r="317" spans="1:7" x14ac:dyDescent="0.25">
      <c r="A317" s="56">
        <v>45079</v>
      </c>
      <c r="B317" s="210">
        <v>1612.8</v>
      </c>
      <c r="C317" s="210">
        <v>1615</v>
      </c>
      <c r="D317" s="54">
        <v>3.0000000000000001E-3</v>
      </c>
      <c r="E317" s="210">
        <v>29485.85</v>
      </c>
      <c r="F317" s="210">
        <v>29328.15</v>
      </c>
      <c r="G317" s="54">
        <v>-4.0000000000000001E-3</v>
      </c>
    </row>
    <row r="318" spans="1:7" x14ac:dyDescent="0.25">
      <c r="A318" s="56">
        <v>45078</v>
      </c>
      <c r="B318" s="210">
        <v>1607.9</v>
      </c>
      <c r="C318" s="210">
        <v>1634</v>
      </c>
      <c r="D318" s="54">
        <v>-1.34E-2</v>
      </c>
      <c r="E318" s="210">
        <v>29455.35</v>
      </c>
      <c r="F318" s="210">
        <v>29446.25</v>
      </c>
      <c r="G318" s="54">
        <v>4.3E-3</v>
      </c>
    </row>
    <row r="319" spans="1:7" x14ac:dyDescent="0.25">
      <c r="A319" s="56">
        <v>45077</v>
      </c>
      <c r="B319" s="210">
        <v>1629.7</v>
      </c>
      <c r="C319" s="210">
        <v>1613.5</v>
      </c>
      <c r="D319" s="54">
        <v>7.9000000000000008E-3</v>
      </c>
      <c r="E319" s="210">
        <v>29248.05</v>
      </c>
      <c r="F319" s="210">
        <v>29319.75</v>
      </c>
      <c r="G319" s="54">
        <v>8.0000000000000004E-4</v>
      </c>
    </row>
    <row r="320" spans="1:7" x14ac:dyDescent="0.25">
      <c r="A320" s="56">
        <v>45076</v>
      </c>
      <c r="B320" s="210">
        <v>1616.95</v>
      </c>
      <c r="C320" s="210">
        <v>1616</v>
      </c>
      <c r="D320" s="54">
        <v>2.7000000000000001E-3</v>
      </c>
      <c r="E320" s="210">
        <v>29253.5</v>
      </c>
      <c r="F320" s="210">
        <v>29297.65</v>
      </c>
      <c r="G320" s="54">
        <v>2E-3</v>
      </c>
    </row>
    <row r="321" spans="1:7" x14ac:dyDescent="0.25">
      <c r="A321" s="56">
        <v>45075</v>
      </c>
      <c r="B321" s="210">
        <v>1612.65</v>
      </c>
      <c r="C321" s="210">
        <v>1553</v>
      </c>
      <c r="D321" s="54">
        <v>4.8300000000000003E-2</v>
      </c>
      <c r="E321" s="210">
        <v>29629.75</v>
      </c>
      <c r="F321" s="210">
        <v>29240.2</v>
      </c>
      <c r="G321" s="54">
        <v>-3.8999999999999998E-3</v>
      </c>
    </row>
    <row r="322" spans="1:7" x14ac:dyDescent="0.25">
      <c r="A322" s="56">
        <v>45072</v>
      </c>
      <c r="B322" s="210">
        <v>1538.3</v>
      </c>
      <c r="C322" s="210">
        <v>1419.95</v>
      </c>
      <c r="D322" s="54">
        <v>9.01E-2</v>
      </c>
      <c r="E322" s="210">
        <v>28975.95</v>
      </c>
      <c r="F322" s="210">
        <v>29355.9</v>
      </c>
      <c r="G322" s="54">
        <v>1.4800000000000001E-2</v>
      </c>
    </row>
    <row r="323" spans="1:7" x14ac:dyDescent="0.25">
      <c r="A323" s="56">
        <v>45071</v>
      </c>
      <c r="B323" s="210">
        <v>1411.15</v>
      </c>
      <c r="C323" s="210">
        <v>1489</v>
      </c>
      <c r="D323" s="54">
        <v>-4.7100000000000003E-2</v>
      </c>
      <c r="E323" s="210">
        <v>28854.95</v>
      </c>
      <c r="F323" s="210">
        <v>28928.75</v>
      </c>
      <c r="G323" s="54">
        <v>1.2999999999999999E-3</v>
      </c>
    </row>
    <row r="324" spans="1:7" x14ac:dyDescent="0.25">
      <c r="A324" s="56">
        <v>45070</v>
      </c>
      <c r="B324" s="210">
        <v>1480.85</v>
      </c>
      <c r="C324" s="210">
        <v>1465</v>
      </c>
      <c r="D324" s="54">
        <v>1.7000000000000001E-2</v>
      </c>
      <c r="E324" s="210">
        <v>28721.15</v>
      </c>
      <c r="F324" s="210">
        <v>28890.799999999999</v>
      </c>
      <c r="G324" s="54">
        <v>5.9999999999999995E-4</v>
      </c>
    </row>
    <row r="325" spans="1:7" x14ac:dyDescent="0.25">
      <c r="A325" s="56">
        <v>45069</v>
      </c>
      <c r="B325" s="210">
        <v>1456.15</v>
      </c>
      <c r="C325" s="210">
        <v>1424.95</v>
      </c>
      <c r="D325" s="54">
        <v>1.9400000000000001E-2</v>
      </c>
      <c r="E325" s="210">
        <v>29076.5</v>
      </c>
      <c r="F325" s="210">
        <v>28873.7</v>
      </c>
      <c r="G325" s="54">
        <v>-4.5999999999999999E-3</v>
      </c>
    </row>
    <row r="326" spans="1:7" x14ac:dyDescent="0.25">
      <c r="A326" s="56">
        <v>45068</v>
      </c>
      <c r="B326" s="210">
        <v>1428.5</v>
      </c>
      <c r="C326" s="210">
        <v>1401.7</v>
      </c>
      <c r="D326" s="54">
        <v>2.4199999999999999E-2</v>
      </c>
      <c r="E326" s="210">
        <v>28357.599999999999</v>
      </c>
      <c r="F326" s="210">
        <v>29007.3</v>
      </c>
      <c r="G326" s="54">
        <v>2.4899999999999999E-2</v>
      </c>
    </row>
    <row r="327" spans="1:7" x14ac:dyDescent="0.25">
      <c r="A327" s="56">
        <v>45065</v>
      </c>
      <c r="B327" s="210">
        <v>1394.7</v>
      </c>
      <c r="C327" s="210">
        <v>1379</v>
      </c>
      <c r="D327" s="54">
        <v>1.26E-2</v>
      </c>
      <c r="E327" s="210">
        <v>28063.35</v>
      </c>
      <c r="F327" s="210">
        <v>28303.65</v>
      </c>
      <c r="G327" s="54">
        <v>1.47E-2</v>
      </c>
    </row>
    <row r="328" spans="1:7" x14ac:dyDescent="0.25">
      <c r="A328" s="56">
        <v>45064</v>
      </c>
      <c r="B328" s="210">
        <v>1377.3</v>
      </c>
      <c r="C328" s="210">
        <v>1354.75</v>
      </c>
      <c r="D328" s="54">
        <v>1.7600000000000001E-2</v>
      </c>
      <c r="E328" s="210">
        <v>28125.45</v>
      </c>
      <c r="F328" s="210">
        <v>27892.55</v>
      </c>
      <c r="G328" s="54">
        <v>-1.8E-3</v>
      </c>
    </row>
    <row r="329" spans="1:7" x14ac:dyDescent="0.25">
      <c r="A329" s="56">
        <v>45063</v>
      </c>
      <c r="B329" s="210">
        <v>1353.5</v>
      </c>
      <c r="C329" s="210">
        <v>1334.75</v>
      </c>
      <c r="D329" s="54">
        <v>1.41E-2</v>
      </c>
      <c r="E329" s="210">
        <v>28197.8</v>
      </c>
      <c r="F329" s="210">
        <v>27942.95</v>
      </c>
      <c r="G329" s="54">
        <v>-9.7000000000000003E-3</v>
      </c>
    </row>
    <row r="330" spans="1:7" x14ac:dyDescent="0.25">
      <c r="A330" s="56">
        <v>45062</v>
      </c>
      <c r="B330" s="210">
        <v>1334.65</v>
      </c>
      <c r="C330" s="210">
        <v>1326.5</v>
      </c>
      <c r="D330" s="54">
        <v>6.1000000000000004E-3</v>
      </c>
      <c r="E330" s="210">
        <v>28252.75</v>
      </c>
      <c r="F330" s="210">
        <v>28216</v>
      </c>
      <c r="G330" s="54">
        <v>1.8E-3</v>
      </c>
    </row>
    <row r="331" spans="1:7" x14ac:dyDescent="0.25">
      <c r="A331" s="56">
        <v>45061</v>
      </c>
      <c r="B331" s="210">
        <v>1326.5</v>
      </c>
      <c r="C331" s="210">
        <v>1319.9</v>
      </c>
      <c r="D331" s="54">
        <v>4.7999999999999996E-3</v>
      </c>
      <c r="E331" s="210">
        <v>28083.75</v>
      </c>
      <c r="F331" s="210">
        <v>28165.4</v>
      </c>
      <c r="G331" s="54">
        <v>4.8999999999999998E-3</v>
      </c>
    </row>
    <row r="332" spans="1:7" x14ac:dyDescent="0.25">
      <c r="A332" s="56">
        <v>45058</v>
      </c>
      <c r="B332" s="210">
        <v>1320.2</v>
      </c>
      <c r="C332" s="210">
        <v>1342.45</v>
      </c>
      <c r="D332" s="54">
        <v>-1.6400000000000001E-2</v>
      </c>
      <c r="E332" s="210">
        <v>28070.85</v>
      </c>
      <c r="F332" s="210">
        <v>28028.400000000001</v>
      </c>
      <c r="G332" s="54">
        <v>-2.5999999999999999E-3</v>
      </c>
    </row>
    <row r="333" spans="1:7" x14ac:dyDescent="0.25">
      <c r="A333" s="56">
        <v>45057</v>
      </c>
      <c r="B333" s="210">
        <v>1342.15</v>
      </c>
      <c r="C333" s="210">
        <v>1349.1</v>
      </c>
      <c r="D333" s="54">
        <v>-3.8999999999999998E-3</v>
      </c>
      <c r="E333" s="210">
        <v>28298.25</v>
      </c>
      <c r="F333" s="210">
        <v>28102</v>
      </c>
      <c r="G333" s="54">
        <v>4.0000000000000002E-4</v>
      </c>
    </row>
    <row r="334" spans="1:7" x14ac:dyDescent="0.25">
      <c r="A334" s="56">
        <v>45056</v>
      </c>
      <c r="B334" s="210">
        <v>1347.45</v>
      </c>
      <c r="C334" s="210">
        <v>1361.4</v>
      </c>
      <c r="D334" s="54">
        <v>-5.0000000000000001E-3</v>
      </c>
      <c r="E334" s="210">
        <v>28220.45</v>
      </c>
      <c r="F334" s="210">
        <v>28091.75</v>
      </c>
      <c r="G334" s="54">
        <v>-1.1999999999999999E-3</v>
      </c>
    </row>
    <row r="335" spans="1:7" x14ac:dyDescent="0.25">
      <c r="A335" s="56">
        <v>45055</v>
      </c>
      <c r="B335" s="210">
        <v>1354.25</v>
      </c>
      <c r="C335" s="210">
        <v>1392.75</v>
      </c>
      <c r="D335" s="54">
        <v>-2.75E-2</v>
      </c>
      <c r="E335" s="210">
        <v>27961</v>
      </c>
      <c r="F335" s="210">
        <v>28125.5</v>
      </c>
      <c r="G335" s="54">
        <v>7.3000000000000001E-3</v>
      </c>
    </row>
    <row r="336" spans="1:7" x14ac:dyDescent="0.25">
      <c r="A336" s="56">
        <v>45054</v>
      </c>
      <c r="B336" s="210">
        <v>1392.55</v>
      </c>
      <c r="C336" s="210">
        <v>1390.75</v>
      </c>
      <c r="D336" s="54">
        <v>1.2999999999999999E-3</v>
      </c>
      <c r="E336" s="210">
        <v>27837.3</v>
      </c>
      <c r="F336" s="210">
        <v>27920.95</v>
      </c>
      <c r="G336" s="54">
        <v>7.3000000000000001E-3</v>
      </c>
    </row>
    <row r="337" spans="1:7" x14ac:dyDescent="0.25">
      <c r="A337" s="56">
        <v>45051</v>
      </c>
      <c r="B337" s="210">
        <v>1390.75</v>
      </c>
      <c r="C337" s="210">
        <v>1400</v>
      </c>
      <c r="D337" s="54">
        <v>7.9000000000000008E-3</v>
      </c>
      <c r="E337" s="210">
        <v>27905.35</v>
      </c>
      <c r="F337" s="210">
        <v>27719.95</v>
      </c>
      <c r="G337" s="54">
        <v>-5.8999999999999999E-3</v>
      </c>
    </row>
    <row r="338" spans="1:7" x14ac:dyDescent="0.25">
      <c r="A338" s="56">
        <v>45050</v>
      </c>
      <c r="B338" s="210">
        <v>1379.85</v>
      </c>
      <c r="C338" s="210">
        <v>1370.1</v>
      </c>
      <c r="D338" s="54">
        <v>4.0000000000000001E-3</v>
      </c>
      <c r="E338" s="210">
        <v>27716.55</v>
      </c>
      <c r="F338" s="210">
        <v>27883.200000000001</v>
      </c>
      <c r="G338" s="54">
        <v>5.0000000000000001E-3</v>
      </c>
    </row>
    <row r="339" spans="1:7" x14ac:dyDescent="0.25">
      <c r="A339" s="56">
        <v>45049</v>
      </c>
      <c r="B339" s="210">
        <v>1374.35</v>
      </c>
      <c r="C339" s="210">
        <v>1377.05</v>
      </c>
      <c r="D339" s="54">
        <v>1E-4</v>
      </c>
      <c r="E339" s="210">
        <v>27872.400000000001</v>
      </c>
      <c r="F339" s="210">
        <v>27743.75</v>
      </c>
      <c r="G339" s="54">
        <v>-0.01</v>
      </c>
    </row>
    <row r="340" spans="1:7" x14ac:dyDescent="0.25">
      <c r="A340" s="56">
        <v>45048</v>
      </c>
      <c r="B340" s="210">
        <v>1374.25</v>
      </c>
      <c r="C340" s="210">
        <v>1364.65</v>
      </c>
      <c r="D340" s="54">
        <v>1.38E-2</v>
      </c>
      <c r="E340" s="210">
        <v>27792.7</v>
      </c>
      <c r="F340" s="210">
        <v>28025</v>
      </c>
      <c r="G340" s="54">
        <v>1.14E-2</v>
      </c>
    </row>
    <row r="341" spans="1:7" x14ac:dyDescent="0.25">
      <c r="A341" s="56">
        <v>45044</v>
      </c>
      <c r="B341" s="210">
        <v>1355.5</v>
      </c>
      <c r="C341" s="210">
        <v>1346.9</v>
      </c>
      <c r="D341" s="54">
        <v>1.11E-2</v>
      </c>
      <c r="E341" s="210">
        <v>27401.95</v>
      </c>
      <c r="F341" s="210">
        <v>27708.2</v>
      </c>
      <c r="G341" s="54">
        <v>1.29E-2</v>
      </c>
    </row>
    <row r="342" spans="1:7" x14ac:dyDescent="0.25">
      <c r="A342" s="56">
        <v>45043</v>
      </c>
      <c r="B342" s="210">
        <v>1340.65</v>
      </c>
      <c r="C342" s="210">
        <v>1359.85</v>
      </c>
      <c r="D342" s="54">
        <v>-4.3E-3</v>
      </c>
      <c r="E342" s="210">
        <v>27079</v>
      </c>
      <c r="F342" s="210">
        <v>27355.25</v>
      </c>
      <c r="G342" s="54">
        <v>1.0699999999999999E-2</v>
      </c>
    </row>
    <row r="343" spans="1:7" x14ac:dyDescent="0.25">
      <c r="A343" s="56">
        <v>45042</v>
      </c>
      <c r="B343" s="210">
        <v>1346.4</v>
      </c>
      <c r="C343" s="210">
        <v>1317.5</v>
      </c>
      <c r="D343" s="54">
        <v>3.0200000000000001E-2</v>
      </c>
      <c r="E343" s="210">
        <v>27007.55</v>
      </c>
      <c r="F343" s="210">
        <v>27065</v>
      </c>
      <c r="G343" s="54">
        <v>2.8999999999999998E-3</v>
      </c>
    </row>
    <row r="344" spans="1:7" x14ac:dyDescent="0.25">
      <c r="A344" s="56">
        <v>45041</v>
      </c>
      <c r="B344" s="210">
        <v>1306.9000000000001</v>
      </c>
      <c r="C344" s="210">
        <v>1329</v>
      </c>
      <c r="D344" s="54">
        <v>-1.66E-2</v>
      </c>
      <c r="E344" s="210">
        <v>27028.799999999999</v>
      </c>
      <c r="F344" s="210">
        <v>26985.8</v>
      </c>
      <c r="G344" s="54">
        <v>-1E-3</v>
      </c>
    </row>
    <row r="345" spans="1:7" x14ac:dyDescent="0.25">
      <c r="A345" s="56">
        <v>45040</v>
      </c>
      <c r="B345" s="210">
        <v>1329</v>
      </c>
      <c r="C345" s="210">
        <v>1310</v>
      </c>
      <c r="D345" s="54">
        <v>7.7999999999999996E-3</v>
      </c>
      <c r="E345" s="210">
        <v>26910.7</v>
      </c>
      <c r="F345" s="210">
        <v>27013.65</v>
      </c>
      <c r="G345" s="54">
        <v>7.1000000000000004E-3</v>
      </c>
    </row>
    <row r="346" spans="1:7" x14ac:dyDescent="0.25">
      <c r="A346" s="56">
        <v>45037</v>
      </c>
      <c r="B346" s="210">
        <v>1318.65</v>
      </c>
      <c r="C346" s="210">
        <v>1286.3</v>
      </c>
      <c r="D346" s="54">
        <v>3.2899999999999999E-2</v>
      </c>
      <c r="E346" s="210">
        <v>26701.7</v>
      </c>
      <c r="F346" s="210">
        <v>26822.1</v>
      </c>
      <c r="G346" s="54">
        <v>6.8999999999999999E-3</v>
      </c>
    </row>
    <row r="347" spans="1:7" x14ac:dyDescent="0.25">
      <c r="A347" s="56">
        <v>45036</v>
      </c>
      <c r="B347" s="210">
        <v>1276.5999999999999</v>
      </c>
      <c r="C347" s="210">
        <v>1289</v>
      </c>
      <c r="D347" s="54">
        <v>-8.9999999999999993E-3</v>
      </c>
      <c r="E347" s="210">
        <v>26694.1</v>
      </c>
      <c r="F347" s="210">
        <v>26637.15</v>
      </c>
      <c r="G347" s="54">
        <v>-1.9E-3</v>
      </c>
    </row>
    <row r="348" spans="1:7" x14ac:dyDescent="0.25">
      <c r="A348" s="56">
        <v>45035</v>
      </c>
      <c r="B348" s="210">
        <v>1288.25</v>
      </c>
      <c r="C348" s="210">
        <v>1298.7</v>
      </c>
      <c r="D348" s="54">
        <v>-2.9999999999999997E-4</v>
      </c>
      <c r="E348" s="210">
        <v>27174.6</v>
      </c>
      <c r="F348" s="210">
        <v>26687.45</v>
      </c>
      <c r="G348" s="54">
        <v>-1.77E-2</v>
      </c>
    </row>
    <row r="349" spans="1:7" x14ac:dyDescent="0.25">
      <c r="A349" s="56">
        <v>45034</v>
      </c>
      <c r="B349" s="210">
        <v>1288.5999999999999</v>
      </c>
      <c r="C349" s="210">
        <v>1314.25</v>
      </c>
      <c r="D349" s="54">
        <v>-1.9800000000000002E-2</v>
      </c>
      <c r="E349" s="210">
        <v>27189.4</v>
      </c>
      <c r="F349" s="210">
        <v>27166.95</v>
      </c>
      <c r="G349" s="54">
        <v>5.8999999999999999E-3</v>
      </c>
    </row>
    <row r="350" spans="1:7" x14ac:dyDescent="0.25">
      <c r="A350" s="56">
        <v>45033</v>
      </c>
      <c r="B350" s="210">
        <v>1314.6</v>
      </c>
      <c r="C350" s="210">
        <v>1321.8</v>
      </c>
      <c r="D350" s="54">
        <v>-1.7600000000000001E-2</v>
      </c>
      <c r="E350" s="210">
        <v>27059.15</v>
      </c>
      <c r="F350" s="210">
        <v>27008.2</v>
      </c>
      <c r="G350" s="54">
        <v>-4.7100000000000003E-2</v>
      </c>
    </row>
    <row r="351" spans="1:7" x14ac:dyDescent="0.25">
      <c r="A351" s="56">
        <v>45029</v>
      </c>
      <c r="B351" s="210">
        <v>1338.2</v>
      </c>
      <c r="C351" s="210">
        <v>1342.5</v>
      </c>
      <c r="D351" s="54">
        <v>-3.2000000000000002E-3</v>
      </c>
      <c r="E351" s="210">
        <v>28713.65</v>
      </c>
      <c r="F351" s="210">
        <v>28342.799999999999</v>
      </c>
      <c r="G351" s="54">
        <v>-2.1999999999999999E-2</v>
      </c>
    </row>
    <row r="352" spans="1:7" x14ac:dyDescent="0.25">
      <c r="A352" s="56">
        <v>45028</v>
      </c>
      <c r="B352" s="210">
        <v>1342.5</v>
      </c>
      <c r="C352" s="210">
        <v>1337.1</v>
      </c>
      <c r="D352" s="54">
        <v>-1.6000000000000001E-3</v>
      </c>
      <c r="E352" s="210">
        <v>28773.4</v>
      </c>
      <c r="F352" s="210">
        <v>28980.35</v>
      </c>
      <c r="G352" s="54">
        <v>1.06E-2</v>
      </c>
    </row>
    <row r="353" spans="1:7" x14ac:dyDescent="0.25">
      <c r="A353" s="56">
        <v>45027</v>
      </c>
      <c r="B353" s="210">
        <v>1344.7</v>
      </c>
      <c r="C353" s="210">
        <v>1350.75</v>
      </c>
      <c r="D353" s="54">
        <v>-2.5999999999999999E-3</v>
      </c>
      <c r="E353" s="210">
        <v>29051.75</v>
      </c>
      <c r="F353" s="210">
        <v>28675.75</v>
      </c>
      <c r="G353" s="54">
        <v>-1.26E-2</v>
      </c>
    </row>
    <row r="354" spans="1:7" x14ac:dyDescent="0.25">
      <c r="A354" s="56">
        <v>45026</v>
      </c>
      <c r="B354" s="210">
        <v>1348.15</v>
      </c>
      <c r="C354" s="210">
        <v>1342.05</v>
      </c>
      <c r="D354" s="54">
        <v>5.3E-3</v>
      </c>
      <c r="E354" s="210">
        <v>28810.85</v>
      </c>
      <c r="F354" s="210">
        <v>29041.599999999999</v>
      </c>
      <c r="G354" s="54">
        <v>9.5999999999999992E-3</v>
      </c>
    </row>
    <row r="355" spans="1:7" x14ac:dyDescent="0.25">
      <c r="A355" s="56">
        <v>45022</v>
      </c>
      <c r="B355" s="210">
        <v>1341</v>
      </c>
      <c r="C355" s="210">
        <v>1354.4</v>
      </c>
      <c r="D355" s="54">
        <v>-9.9000000000000008E-3</v>
      </c>
      <c r="E355" s="210">
        <v>28876.2</v>
      </c>
      <c r="F355" s="210">
        <v>28764.55</v>
      </c>
      <c r="G355" s="54">
        <v>-7.3000000000000001E-3</v>
      </c>
    </row>
    <row r="356" spans="1:7" x14ac:dyDescent="0.25">
      <c r="A356" s="56">
        <v>45021</v>
      </c>
      <c r="B356" s="210">
        <v>1354.4</v>
      </c>
      <c r="C356" s="210">
        <v>1304.8</v>
      </c>
      <c r="D356" s="54">
        <v>3.9E-2</v>
      </c>
      <c r="E356" s="210">
        <v>28520</v>
      </c>
      <c r="F356" s="210">
        <v>28977.200000000001</v>
      </c>
      <c r="G356" s="54">
        <v>1.2E-2</v>
      </c>
    </row>
    <row r="357" spans="1:7" x14ac:dyDescent="0.25">
      <c r="A357" s="56">
        <v>45019</v>
      </c>
      <c r="B357" s="210">
        <v>1303.5999999999999</v>
      </c>
      <c r="C357" s="210">
        <v>1290.4000000000001</v>
      </c>
      <c r="D357" s="54">
        <v>1.0200000000000001E-2</v>
      </c>
      <c r="E357" s="210">
        <v>28841.599999999999</v>
      </c>
      <c r="F357" s="210">
        <v>28633</v>
      </c>
      <c r="G357" s="54">
        <v>-2.3E-3</v>
      </c>
    </row>
    <row r="358" spans="1:7" x14ac:dyDescent="0.25">
      <c r="A358" s="56">
        <v>45016</v>
      </c>
      <c r="B358" s="210">
        <v>1290.4000000000001</v>
      </c>
      <c r="C358" s="210">
        <v>1319</v>
      </c>
      <c r="D358" s="54">
        <v>-6.4999999999999997E-3</v>
      </c>
      <c r="E358" s="210">
        <v>28379.75</v>
      </c>
      <c r="F358" s="210">
        <v>28698.6</v>
      </c>
      <c r="G358" s="54">
        <v>2.4500000000000001E-2</v>
      </c>
    </row>
    <row r="359" spans="1:7" x14ac:dyDescent="0.25">
      <c r="A359" s="56">
        <v>45014</v>
      </c>
      <c r="B359" s="210">
        <v>1298.8</v>
      </c>
      <c r="C359" s="210">
        <v>1296.3499999999999</v>
      </c>
      <c r="D359" s="54">
        <v>-8.0000000000000002E-3</v>
      </c>
      <c r="E359" s="210">
        <v>27777.95</v>
      </c>
      <c r="F359" s="210">
        <v>28011.3</v>
      </c>
      <c r="G359" s="54">
        <v>1.11E-2</v>
      </c>
    </row>
    <row r="360" spans="1:7" x14ac:dyDescent="0.25">
      <c r="A360" s="56">
        <v>45013</v>
      </c>
      <c r="B360" s="210">
        <v>1309.3</v>
      </c>
      <c r="C360" s="210">
        <v>1339</v>
      </c>
      <c r="D360" s="54">
        <v>-2.3400000000000001E-2</v>
      </c>
      <c r="E360" s="210">
        <v>27998.3</v>
      </c>
      <c r="F360" s="210">
        <v>27702.799999999999</v>
      </c>
      <c r="G360" s="54">
        <v>-8.8000000000000005E-3</v>
      </c>
    </row>
    <row r="361" spans="1:7" x14ac:dyDescent="0.25">
      <c r="A361" s="56">
        <v>45012</v>
      </c>
      <c r="B361" s="210">
        <v>1340.7</v>
      </c>
      <c r="C361" s="210">
        <v>1329.9</v>
      </c>
      <c r="D361" s="54">
        <v>1.46E-2</v>
      </c>
      <c r="E361" s="210">
        <v>27985.65</v>
      </c>
      <c r="F361" s="210">
        <v>27948.75</v>
      </c>
      <c r="G361" s="54">
        <v>5.0000000000000001E-4</v>
      </c>
    </row>
    <row r="362" spans="1:7" x14ac:dyDescent="0.25">
      <c r="A362" s="56">
        <v>45009</v>
      </c>
      <c r="B362" s="210">
        <v>1321.35</v>
      </c>
      <c r="C362" s="210">
        <v>1365</v>
      </c>
      <c r="D362" s="54">
        <v>-2.5000000000000001E-2</v>
      </c>
      <c r="E362" s="210">
        <v>28208.35</v>
      </c>
      <c r="F362" s="210">
        <v>27935.65</v>
      </c>
      <c r="G362" s="54">
        <v>-2.3E-3</v>
      </c>
    </row>
    <row r="363" spans="1:7" x14ac:dyDescent="0.25">
      <c r="A363" s="56">
        <v>45008</v>
      </c>
      <c r="B363" s="210">
        <v>1355.2</v>
      </c>
      <c r="C363" s="210">
        <v>1385.65</v>
      </c>
      <c r="D363" s="54">
        <v>-2.23E-2</v>
      </c>
      <c r="E363" s="210">
        <v>28065.8</v>
      </c>
      <c r="F363" s="210">
        <v>27999.25</v>
      </c>
      <c r="G363" s="54">
        <v>-7.7000000000000002E-3</v>
      </c>
    </row>
    <row r="364" spans="1:7" x14ac:dyDescent="0.25">
      <c r="A364" s="56">
        <v>45007</v>
      </c>
      <c r="B364" s="210">
        <v>1386.05</v>
      </c>
      <c r="C364" s="210">
        <v>1396</v>
      </c>
      <c r="D364" s="54">
        <v>-7.4999999999999997E-3</v>
      </c>
      <c r="E364" s="210">
        <v>28375.9</v>
      </c>
      <c r="F364" s="210">
        <v>28217.599999999999</v>
      </c>
      <c r="G364" s="54">
        <v>1.9E-3</v>
      </c>
    </row>
    <row r="365" spans="1:7" x14ac:dyDescent="0.25">
      <c r="A365" s="56">
        <v>45006</v>
      </c>
      <c r="B365" s="210">
        <v>1396.55</v>
      </c>
      <c r="C365" s="210">
        <v>1369</v>
      </c>
      <c r="D365" s="54">
        <v>2.81E-2</v>
      </c>
      <c r="E365" s="210">
        <v>28455.65</v>
      </c>
      <c r="F365" s="210">
        <v>28164.85</v>
      </c>
      <c r="G365" s="54">
        <v>-9.7999999999999997E-3</v>
      </c>
    </row>
    <row r="366" spans="1:7" x14ac:dyDescent="0.25">
      <c r="A366" s="56">
        <v>45005</v>
      </c>
      <c r="B366" s="210">
        <v>1358.35</v>
      </c>
      <c r="C366" s="210">
        <v>1380</v>
      </c>
      <c r="D366" s="54">
        <v>-1.4800000000000001E-2</v>
      </c>
      <c r="E366" s="210">
        <v>28732.85</v>
      </c>
      <c r="F366" s="210">
        <v>28442.95</v>
      </c>
      <c r="G366" s="54">
        <v>-1.43E-2</v>
      </c>
    </row>
    <row r="367" spans="1:7" x14ac:dyDescent="0.25">
      <c r="A367" s="56">
        <v>45002</v>
      </c>
      <c r="B367" s="210">
        <v>1378.75</v>
      </c>
      <c r="C367" s="210">
        <v>1399</v>
      </c>
      <c r="D367" s="54">
        <v>-6.7999999999999996E-3</v>
      </c>
      <c r="E367" s="210">
        <v>28737.7</v>
      </c>
      <c r="F367" s="210">
        <v>28854.45</v>
      </c>
      <c r="G367" s="54">
        <v>1.18E-2</v>
      </c>
    </row>
    <row r="368" spans="1:7" x14ac:dyDescent="0.25">
      <c r="A368" s="56">
        <v>45001</v>
      </c>
      <c r="B368" s="210">
        <v>1388.2</v>
      </c>
      <c r="C368" s="210">
        <v>1402</v>
      </c>
      <c r="D368" s="54">
        <v>-1.7000000000000001E-2</v>
      </c>
      <c r="E368" s="210">
        <v>28694.3</v>
      </c>
      <c r="F368" s="210">
        <v>28517.25</v>
      </c>
      <c r="G368" s="54">
        <v>-6.8999999999999999E-3</v>
      </c>
    </row>
    <row r="369" spans="1:7" x14ac:dyDescent="0.25">
      <c r="A369" s="56">
        <v>45000</v>
      </c>
      <c r="B369" s="210">
        <v>1412.15</v>
      </c>
      <c r="C369" s="210">
        <v>1415.05</v>
      </c>
      <c r="D369" s="54">
        <v>2E-3</v>
      </c>
      <c r="E369" s="210">
        <v>29080.35</v>
      </c>
      <c r="F369" s="210">
        <v>28716.5</v>
      </c>
      <c r="G369" s="54">
        <v>-2.3999999999999998E-3</v>
      </c>
    </row>
    <row r="370" spans="1:7" x14ac:dyDescent="0.25">
      <c r="A370" s="56">
        <v>44999</v>
      </c>
      <c r="B370" s="210">
        <v>1409.3</v>
      </c>
      <c r="C370" s="210">
        <v>1427.75</v>
      </c>
      <c r="D370" s="54">
        <v>-1.29E-2</v>
      </c>
      <c r="E370" s="210">
        <v>29281.25</v>
      </c>
      <c r="F370" s="210">
        <v>28784.7</v>
      </c>
      <c r="G370" s="54">
        <v>-1.6500000000000001E-2</v>
      </c>
    </row>
    <row r="371" spans="1:7" x14ac:dyDescent="0.25">
      <c r="A371" s="56">
        <v>44998</v>
      </c>
      <c r="B371" s="210">
        <v>1427.75</v>
      </c>
      <c r="C371" s="210">
        <v>1495</v>
      </c>
      <c r="D371" s="54">
        <v>-3.85E-2</v>
      </c>
      <c r="E371" s="210">
        <v>29695</v>
      </c>
      <c r="F371" s="210">
        <v>29267</v>
      </c>
      <c r="G371" s="54">
        <v>-9.4000000000000004E-3</v>
      </c>
    </row>
    <row r="372" spans="1:7" x14ac:dyDescent="0.25">
      <c r="A372" s="56">
        <v>44995</v>
      </c>
      <c r="B372" s="210">
        <v>1484.85</v>
      </c>
      <c r="C372" s="210">
        <v>1404.8</v>
      </c>
      <c r="D372" s="54">
        <v>6.2399999999999997E-2</v>
      </c>
      <c r="E372" s="210">
        <v>29418.6</v>
      </c>
      <c r="F372" s="210">
        <v>29545.5</v>
      </c>
      <c r="G372" s="54">
        <v>-6.6E-3</v>
      </c>
    </row>
    <row r="373" spans="1:7" x14ac:dyDescent="0.25">
      <c r="A373" s="56">
        <v>44994</v>
      </c>
      <c r="B373" s="210">
        <v>1397.65</v>
      </c>
      <c r="C373" s="210">
        <v>1430</v>
      </c>
      <c r="D373" s="54">
        <v>-3.0800000000000001E-2</v>
      </c>
      <c r="E373" s="210">
        <v>30090.25</v>
      </c>
      <c r="F373" s="210">
        <v>29742.35</v>
      </c>
      <c r="G373" s="54">
        <v>-1.0800000000000001E-2</v>
      </c>
    </row>
    <row r="374" spans="1:7" x14ac:dyDescent="0.25">
      <c r="A374" s="56">
        <v>44993</v>
      </c>
      <c r="B374" s="210">
        <v>1442.1</v>
      </c>
      <c r="C374" s="210">
        <v>1435</v>
      </c>
      <c r="D374" s="54">
        <v>5.1999999999999998E-3</v>
      </c>
      <c r="E374" s="210">
        <v>29944.2</v>
      </c>
      <c r="F374" s="210">
        <v>30065.75</v>
      </c>
      <c r="G374" s="54">
        <v>-3.8E-3</v>
      </c>
    </row>
    <row r="375" spans="1:7" x14ac:dyDescent="0.25">
      <c r="A375" s="56">
        <v>44991</v>
      </c>
      <c r="B375" s="210">
        <v>1434.65</v>
      </c>
      <c r="C375" s="210">
        <v>1445.85</v>
      </c>
      <c r="D375" s="54">
        <v>2.8E-3</v>
      </c>
      <c r="E375" s="210">
        <v>30048.7</v>
      </c>
      <c r="F375" s="210">
        <v>30179.75</v>
      </c>
      <c r="G375" s="54">
        <v>1.2200000000000001E-2</v>
      </c>
    </row>
    <row r="376" spans="1:7" x14ac:dyDescent="0.25">
      <c r="A376" s="56">
        <v>44988</v>
      </c>
      <c r="B376" s="210">
        <v>1430.65</v>
      </c>
      <c r="C376" s="210">
        <v>1469</v>
      </c>
      <c r="D376" s="54">
        <v>-1.09E-2</v>
      </c>
      <c r="E376" s="210">
        <v>29968.75</v>
      </c>
      <c r="F376" s="210">
        <v>29817.05</v>
      </c>
      <c r="G376" s="54">
        <v>3.3999999999999998E-3</v>
      </c>
    </row>
    <row r="377" spans="1:7" x14ac:dyDescent="0.25">
      <c r="A377" s="56">
        <v>44987</v>
      </c>
      <c r="B377" s="210">
        <v>1446.4</v>
      </c>
      <c r="C377" s="210">
        <v>1418.2</v>
      </c>
      <c r="D377" s="54">
        <v>2.52E-2</v>
      </c>
      <c r="E377" s="210">
        <v>29883.1</v>
      </c>
      <c r="F377" s="210">
        <v>29717.45</v>
      </c>
      <c r="G377" s="54">
        <v>-1.26E-2</v>
      </c>
    </row>
    <row r="378" spans="1:7" x14ac:dyDescent="0.25">
      <c r="A378" s="56">
        <v>44986</v>
      </c>
      <c r="B378" s="210">
        <v>1410.8</v>
      </c>
      <c r="C378" s="210">
        <v>1400.6</v>
      </c>
      <c r="D378" s="54">
        <v>1.15E-2</v>
      </c>
      <c r="E378" s="210">
        <v>29722.15</v>
      </c>
      <c r="F378" s="210">
        <v>30097.75</v>
      </c>
      <c r="G378" s="54">
        <v>1.46E-2</v>
      </c>
    </row>
    <row r="379" spans="1:7" x14ac:dyDescent="0.25">
      <c r="A379" s="56">
        <v>44985</v>
      </c>
      <c r="B379" s="210">
        <v>1394.8</v>
      </c>
      <c r="C379" s="210">
        <v>1430</v>
      </c>
      <c r="D379" s="54">
        <v>-2.0899999999999998E-2</v>
      </c>
      <c r="E379" s="210">
        <v>29986.2</v>
      </c>
      <c r="F379" s="210">
        <v>29663.95</v>
      </c>
      <c r="G379" s="54">
        <v>-8.5000000000000006E-3</v>
      </c>
    </row>
    <row r="380" spans="1:7" x14ac:dyDescent="0.25">
      <c r="A380" s="56">
        <v>44984</v>
      </c>
      <c r="B380" s="210">
        <v>1424.55</v>
      </c>
      <c r="C380" s="210">
        <v>1446.6</v>
      </c>
      <c r="D380" s="54">
        <v>-2.63E-2</v>
      </c>
      <c r="E380" s="210">
        <v>30338.7</v>
      </c>
      <c r="F380" s="210">
        <v>29919.200000000001</v>
      </c>
      <c r="G380" s="54">
        <v>-1.95E-2</v>
      </c>
    </row>
    <row r="381" spans="1:7" x14ac:dyDescent="0.25">
      <c r="A381" s="56">
        <v>44981</v>
      </c>
      <c r="B381" s="210">
        <v>1463</v>
      </c>
      <c r="C381" s="210">
        <v>1475.05</v>
      </c>
      <c r="D381" s="54">
        <v>-1.44E-2</v>
      </c>
      <c r="E381" s="210">
        <v>30732.45</v>
      </c>
      <c r="F381" s="210">
        <v>30514.9</v>
      </c>
      <c r="G381" s="54">
        <v>-2.7000000000000001E-3</v>
      </c>
    </row>
    <row r="382" spans="1:7" x14ac:dyDescent="0.25">
      <c r="A382" s="56">
        <v>44980</v>
      </c>
      <c r="B382" s="210">
        <v>1484.4</v>
      </c>
      <c r="C382" s="210">
        <v>1459</v>
      </c>
      <c r="D382" s="54">
        <v>1.72E-2</v>
      </c>
      <c r="E382" s="210">
        <v>30759.599999999999</v>
      </c>
      <c r="F382" s="210">
        <v>30598.400000000001</v>
      </c>
      <c r="G382" s="54">
        <v>-2.9999999999999997E-4</v>
      </c>
    </row>
    <row r="383" spans="1:7" x14ac:dyDescent="0.25">
      <c r="A383" s="56">
        <v>44979</v>
      </c>
      <c r="B383" s="210">
        <v>1459.35</v>
      </c>
      <c r="C383" s="210">
        <v>1449</v>
      </c>
      <c r="D383" s="54">
        <v>1.8E-3</v>
      </c>
      <c r="E383" s="210">
        <v>30621.1</v>
      </c>
      <c r="F383" s="210">
        <v>30608.2</v>
      </c>
      <c r="G383" s="54">
        <v>-1.0999999999999999E-2</v>
      </c>
    </row>
    <row r="384" spans="1:7" x14ac:dyDescent="0.25">
      <c r="A384" s="56">
        <v>44978</v>
      </c>
      <c r="B384" s="210">
        <v>1456.8</v>
      </c>
      <c r="C384" s="210">
        <v>1448.2</v>
      </c>
      <c r="D384" s="54">
        <v>1.4800000000000001E-2</v>
      </c>
      <c r="E384" s="210">
        <v>31318.35</v>
      </c>
      <c r="F384" s="210">
        <v>30947.25</v>
      </c>
      <c r="G384" s="54">
        <v>-8.8000000000000005E-3</v>
      </c>
    </row>
    <row r="385" spans="1:7" x14ac:dyDescent="0.25">
      <c r="A385" s="56">
        <v>44977</v>
      </c>
      <c r="B385" s="210">
        <v>1435.55</v>
      </c>
      <c r="C385" s="210">
        <v>1457</v>
      </c>
      <c r="D385" s="54">
        <v>-1.47E-2</v>
      </c>
      <c r="E385" s="210">
        <v>31056.05</v>
      </c>
      <c r="F385" s="210">
        <v>31222.35</v>
      </c>
      <c r="G385" s="54">
        <v>5.4000000000000003E-3</v>
      </c>
    </row>
    <row r="386" spans="1:7" x14ac:dyDescent="0.25">
      <c r="A386" s="56">
        <v>44974</v>
      </c>
      <c r="B386" s="210">
        <v>1457</v>
      </c>
      <c r="C386" s="210">
        <v>1475.95</v>
      </c>
      <c r="D386" s="54">
        <v>-9.9000000000000008E-3</v>
      </c>
      <c r="E386" s="210">
        <v>31147.1</v>
      </c>
      <c r="F386" s="210">
        <v>31054.85</v>
      </c>
      <c r="G386" s="54">
        <v>-1.21E-2</v>
      </c>
    </row>
    <row r="387" spans="1:7" x14ac:dyDescent="0.25">
      <c r="A387" s="56">
        <v>44973</v>
      </c>
      <c r="B387" s="210">
        <v>1471.6</v>
      </c>
      <c r="C387" s="210">
        <v>1417.8</v>
      </c>
      <c r="D387" s="54">
        <v>4.6699999999999998E-2</v>
      </c>
      <c r="E387" s="210">
        <v>31042.3</v>
      </c>
      <c r="F387" s="210">
        <v>31434.85</v>
      </c>
      <c r="G387" s="54">
        <v>1.6199999999999999E-2</v>
      </c>
    </row>
    <row r="388" spans="1:7" x14ac:dyDescent="0.25">
      <c r="A388" s="56">
        <v>44972</v>
      </c>
      <c r="B388" s="210">
        <v>1405.95</v>
      </c>
      <c r="C388" s="210">
        <v>1473.9</v>
      </c>
      <c r="D388" s="54">
        <v>-4.6300000000000001E-2</v>
      </c>
      <c r="E388" s="210">
        <v>30512</v>
      </c>
      <c r="F388" s="210">
        <v>30934.35</v>
      </c>
      <c r="G388" s="54">
        <v>1.1299999999999999E-2</v>
      </c>
    </row>
    <row r="389" spans="1:7" x14ac:dyDescent="0.25">
      <c r="A389" s="56">
        <v>44971</v>
      </c>
      <c r="B389" s="210">
        <v>1474.25</v>
      </c>
      <c r="C389" s="210">
        <v>1487.8</v>
      </c>
      <c r="D389" s="54">
        <v>-3.5000000000000001E-3</v>
      </c>
      <c r="E389" s="210">
        <v>30481.5</v>
      </c>
      <c r="F389" s="210">
        <v>30588.75</v>
      </c>
      <c r="G389" s="54">
        <v>9.9000000000000008E-3</v>
      </c>
    </row>
    <row r="390" spans="1:7" x14ac:dyDescent="0.25">
      <c r="A390" s="56">
        <v>44970</v>
      </c>
      <c r="B390" s="210">
        <v>1479.4</v>
      </c>
      <c r="C390" s="210">
        <v>1490.5</v>
      </c>
      <c r="D390" s="54">
        <v>2.8E-3</v>
      </c>
      <c r="E390" s="210">
        <v>30790.2</v>
      </c>
      <c r="F390" s="210">
        <v>30289.65</v>
      </c>
      <c r="G390" s="54">
        <v>-1.8800000000000001E-2</v>
      </c>
    </row>
    <row r="391" spans="1:7" x14ac:dyDescent="0.25">
      <c r="A391" s="56">
        <v>44967</v>
      </c>
      <c r="B391" s="210">
        <v>1475.2</v>
      </c>
      <c r="C391" s="210">
        <v>1461</v>
      </c>
      <c r="D391" s="54">
        <v>3.3999999999999998E-3</v>
      </c>
      <c r="E391" s="210">
        <v>30839.25</v>
      </c>
      <c r="F391" s="210">
        <v>30870.2</v>
      </c>
      <c r="G391" s="54">
        <v>-3.8999999999999998E-3</v>
      </c>
    </row>
    <row r="392" spans="1:7" x14ac:dyDescent="0.25">
      <c r="A392" s="56">
        <v>44966</v>
      </c>
      <c r="B392" s="210">
        <v>1470.15</v>
      </c>
      <c r="C392" s="210">
        <v>1474.9</v>
      </c>
      <c r="D392" s="54">
        <v>-1.23E-2</v>
      </c>
      <c r="E392" s="210">
        <v>30769.8</v>
      </c>
      <c r="F392" s="210">
        <v>30990.85</v>
      </c>
      <c r="G392" s="54">
        <v>7.0000000000000001E-3</v>
      </c>
    </row>
    <row r="393" spans="1:7" x14ac:dyDescent="0.25">
      <c r="A393" s="56">
        <v>44965</v>
      </c>
      <c r="B393" s="210">
        <v>1488.4</v>
      </c>
      <c r="C393" s="210">
        <v>1519.9</v>
      </c>
      <c r="D393" s="54">
        <v>-1.5900000000000001E-2</v>
      </c>
      <c r="E393" s="210">
        <v>30415.599999999999</v>
      </c>
      <c r="F393" s="210">
        <v>30774.05</v>
      </c>
      <c r="G393" s="54">
        <v>1.5299999999999999E-2</v>
      </c>
    </row>
    <row r="394" spans="1:7" x14ac:dyDescent="0.25">
      <c r="A394" s="56">
        <v>44964</v>
      </c>
      <c r="B394" s="210">
        <v>1512.45</v>
      </c>
      <c r="C394" s="210">
        <v>1505</v>
      </c>
      <c r="D394" s="54">
        <v>5.3E-3</v>
      </c>
      <c r="E394" s="210">
        <v>30429.75</v>
      </c>
      <c r="F394" s="210">
        <v>30310.7</v>
      </c>
      <c r="G394" s="54">
        <v>-3.3E-3</v>
      </c>
    </row>
    <row r="395" spans="1:7" x14ac:dyDescent="0.25">
      <c r="A395" s="56">
        <v>44963</v>
      </c>
      <c r="B395" s="210">
        <v>1504.45</v>
      </c>
      <c r="C395" s="210">
        <v>1505</v>
      </c>
      <c r="D395" s="54">
        <v>5.7000000000000002E-3</v>
      </c>
      <c r="E395" s="210">
        <v>30502.9</v>
      </c>
      <c r="F395" s="210">
        <v>30411.1</v>
      </c>
      <c r="G395" s="54">
        <v>-6.1000000000000004E-3</v>
      </c>
    </row>
    <row r="396" spans="1:7" x14ac:dyDescent="0.25">
      <c r="A396" s="56">
        <v>44960</v>
      </c>
      <c r="B396" s="210">
        <v>1495.9</v>
      </c>
      <c r="C396" s="210">
        <v>1480</v>
      </c>
      <c r="D396" s="54">
        <v>2.9700000000000001E-2</v>
      </c>
      <c r="E396" s="210">
        <v>30839.05</v>
      </c>
      <c r="F396" s="210">
        <v>30597.65</v>
      </c>
      <c r="G396" s="54">
        <v>1E-3</v>
      </c>
    </row>
    <row r="397" spans="1:7" x14ac:dyDescent="0.25">
      <c r="A397" s="56">
        <v>44959</v>
      </c>
      <c r="B397" s="210">
        <v>1452.75</v>
      </c>
      <c r="C397" s="210">
        <v>1464</v>
      </c>
      <c r="D397" s="54">
        <v>-8.6999999999999994E-3</v>
      </c>
      <c r="E397" s="210">
        <v>30124.9</v>
      </c>
      <c r="F397" s="210">
        <v>30566.75</v>
      </c>
      <c r="G397" s="54">
        <v>1.83E-2</v>
      </c>
    </row>
    <row r="398" spans="1:7" x14ac:dyDescent="0.25">
      <c r="A398" s="56">
        <v>44958</v>
      </c>
      <c r="B398" s="210">
        <v>1465.5</v>
      </c>
      <c r="C398" s="210">
        <v>1460</v>
      </c>
      <c r="D398" s="54">
        <v>8.8999999999999999E-3</v>
      </c>
      <c r="E398" s="210">
        <v>29885.95</v>
      </c>
      <c r="F398" s="210">
        <v>30018.25</v>
      </c>
      <c r="G398" s="54">
        <v>9.2999999999999992E-3</v>
      </c>
    </row>
    <row r="399" spans="1:7" x14ac:dyDescent="0.25">
      <c r="A399" s="56">
        <v>44957</v>
      </c>
      <c r="B399" s="210">
        <v>1452.6</v>
      </c>
      <c r="C399" s="210">
        <v>1416</v>
      </c>
      <c r="D399" s="54">
        <v>2.1100000000000001E-2</v>
      </c>
      <c r="E399" s="210">
        <v>30163.200000000001</v>
      </c>
      <c r="F399" s="210">
        <v>29740.35</v>
      </c>
      <c r="G399" s="54">
        <v>-1.18E-2</v>
      </c>
    </row>
    <row r="400" spans="1:7" x14ac:dyDescent="0.25">
      <c r="A400" s="56">
        <v>44956</v>
      </c>
      <c r="B400" s="210">
        <v>1422.6</v>
      </c>
      <c r="C400" s="210">
        <v>1409</v>
      </c>
      <c r="D400" s="54">
        <v>1.12E-2</v>
      </c>
      <c r="E400" s="210">
        <v>29842.7</v>
      </c>
      <c r="F400" s="210">
        <v>30094.85</v>
      </c>
      <c r="G400" s="54">
        <v>1.0999999999999999E-2</v>
      </c>
    </row>
    <row r="401" spans="1:7" x14ac:dyDescent="0.25">
      <c r="A401" s="56">
        <v>44953</v>
      </c>
      <c r="B401" s="210">
        <v>1406.85</v>
      </c>
      <c r="C401" s="210">
        <v>1438</v>
      </c>
      <c r="D401" s="54">
        <v>-1.7500000000000002E-2</v>
      </c>
      <c r="E401" s="210">
        <v>30052.7</v>
      </c>
      <c r="F401" s="210">
        <v>29766.45</v>
      </c>
      <c r="G401" s="54">
        <v>-9.1999999999999998E-3</v>
      </c>
    </row>
    <row r="402" spans="1:7" x14ac:dyDescent="0.25">
      <c r="A402" s="56">
        <v>44951</v>
      </c>
      <c r="B402" s="210">
        <v>1431.9</v>
      </c>
      <c r="C402" s="210">
        <v>1418.9</v>
      </c>
      <c r="D402" s="54">
        <v>1.24E-2</v>
      </c>
      <c r="E402" s="210">
        <v>30208.1</v>
      </c>
      <c r="F402" s="210">
        <v>30043.9</v>
      </c>
      <c r="G402" s="54">
        <v>-8.9999999999999993E-3</v>
      </c>
    </row>
    <row r="403" spans="1:7" x14ac:dyDescent="0.25">
      <c r="A403" s="56">
        <v>44950</v>
      </c>
      <c r="B403" s="210">
        <v>1414.3</v>
      </c>
      <c r="C403" s="210">
        <v>1393.7</v>
      </c>
      <c r="D403" s="54">
        <v>2.01E-2</v>
      </c>
      <c r="E403" s="210">
        <v>30220.5</v>
      </c>
      <c r="F403" s="210">
        <v>30316.9</v>
      </c>
      <c r="G403" s="54">
        <v>7.7000000000000002E-3</v>
      </c>
    </row>
    <row r="404" spans="1:7" x14ac:dyDescent="0.25">
      <c r="A404" s="56">
        <v>44949</v>
      </c>
      <c r="B404" s="210">
        <v>1386.45</v>
      </c>
      <c r="C404" s="210">
        <v>1395</v>
      </c>
      <c r="D404" s="54">
        <v>-8.8000000000000005E-3</v>
      </c>
      <c r="E404" s="210">
        <v>29620.25</v>
      </c>
      <c r="F404" s="210">
        <v>30086</v>
      </c>
      <c r="G404" s="54">
        <v>1.8800000000000001E-2</v>
      </c>
    </row>
    <row r="405" spans="1:7" x14ac:dyDescent="0.25">
      <c r="A405" s="56">
        <v>44946</v>
      </c>
      <c r="B405" s="210">
        <v>1398.7</v>
      </c>
      <c r="C405" s="210">
        <v>1436.6</v>
      </c>
      <c r="D405" s="54">
        <v>-2.1299999999999999E-2</v>
      </c>
      <c r="E405" s="210">
        <v>29574.45</v>
      </c>
      <c r="F405" s="210">
        <v>29529.65</v>
      </c>
      <c r="G405" s="54">
        <v>-3.5000000000000001E-3</v>
      </c>
    </row>
    <row r="406" spans="1:7" x14ac:dyDescent="0.25">
      <c r="A406" s="56">
        <v>44945</v>
      </c>
      <c r="B406" s="210">
        <v>1429.1</v>
      </c>
      <c r="C406" s="210">
        <v>1417.2</v>
      </c>
      <c r="D406" s="54">
        <v>4.1999999999999997E-3</v>
      </c>
      <c r="E406" s="210">
        <v>29487.5</v>
      </c>
      <c r="F406" s="210">
        <v>29632.35</v>
      </c>
      <c r="G406" s="54">
        <v>5.0000000000000001E-4</v>
      </c>
    </row>
    <row r="407" spans="1:7" x14ac:dyDescent="0.25">
      <c r="A407" s="56">
        <v>44944</v>
      </c>
      <c r="B407" s="210">
        <v>1423.15</v>
      </c>
      <c r="C407" s="210">
        <v>1402.05</v>
      </c>
      <c r="D407" s="54">
        <v>1.4999999999999999E-2</v>
      </c>
      <c r="E407" s="210">
        <v>29580.25</v>
      </c>
      <c r="F407" s="210">
        <v>29617.8</v>
      </c>
      <c r="G407" s="54">
        <v>4.1000000000000003E-3</v>
      </c>
    </row>
    <row r="408" spans="1:7" x14ac:dyDescent="0.25">
      <c r="A408" s="56">
        <v>44943</v>
      </c>
      <c r="B408" s="210">
        <v>1402.05</v>
      </c>
      <c r="C408" s="210">
        <v>1419.9</v>
      </c>
      <c r="D408" s="54">
        <v>-2.7000000000000001E-3</v>
      </c>
      <c r="E408" s="210">
        <v>29291.15</v>
      </c>
      <c r="F408" s="210">
        <v>29498</v>
      </c>
      <c r="G408" s="54">
        <v>8.0000000000000002E-3</v>
      </c>
    </row>
    <row r="409" spans="1:7" x14ac:dyDescent="0.25">
      <c r="A409" s="56">
        <v>44942</v>
      </c>
      <c r="B409" s="210">
        <v>1405.85</v>
      </c>
      <c r="C409" s="210">
        <v>1403.8</v>
      </c>
      <c r="D409" s="54">
        <v>1.4E-3</v>
      </c>
      <c r="E409" s="210">
        <v>29037.05</v>
      </c>
      <c r="F409" s="210">
        <v>29264.65</v>
      </c>
      <c r="G409" s="54">
        <v>1.14E-2</v>
      </c>
    </row>
    <row r="410" spans="1:7" x14ac:dyDescent="0.25">
      <c r="A410" s="56">
        <v>44939</v>
      </c>
      <c r="B410" s="210">
        <v>1403.85</v>
      </c>
      <c r="C410" s="210">
        <v>1397.5</v>
      </c>
      <c r="D410" s="54">
        <v>-3.5999999999999999E-3</v>
      </c>
      <c r="E410" s="210">
        <v>28717</v>
      </c>
      <c r="F410" s="210">
        <v>28933.75</v>
      </c>
      <c r="G410" s="54">
        <v>7.4000000000000003E-3</v>
      </c>
    </row>
    <row r="411" spans="1:7" x14ac:dyDescent="0.25">
      <c r="A411" s="56">
        <v>44938</v>
      </c>
      <c r="B411" s="210">
        <v>1408.9</v>
      </c>
      <c r="C411" s="210">
        <v>1399</v>
      </c>
      <c r="D411" s="54">
        <v>7.1000000000000004E-3</v>
      </c>
      <c r="E411" s="210">
        <v>28722.45</v>
      </c>
      <c r="F411" s="210">
        <v>28720.3</v>
      </c>
      <c r="G411" s="54">
        <v>4.3E-3</v>
      </c>
    </row>
    <row r="412" spans="1:7" x14ac:dyDescent="0.25">
      <c r="A412" s="56">
        <v>44937</v>
      </c>
      <c r="B412" s="210">
        <v>1399</v>
      </c>
      <c r="C412" s="210">
        <v>1336</v>
      </c>
      <c r="D412" s="54">
        <v>4.5400000000000003E-2</v>
      </c>
      <c r="E412" s="210">
        <v>28550.65</v>
      </c>
      <c r="F412" s="210">
        <v>28596.35</v>
      </c>
      <c r="G412" s="54">
        <v>3.3E-3</v>
      </c>
    </row>
    <row r="413" spans="1:7" x14ac:dyDescent="0.25">
      <c r="A413" s="56">
        <v>44936</v>
      </c>
      <c r="B413" s="210">
        <v>1338.2</v>
      </c>
      <c r="C413" s="210">
        <v>1290</v>
      </c>
      <c r="D413" s="54">
        <v>3.4500000000000003E-2</v>
      </c>
      <c r="E413" s="210">
        <v>28627.8</v>
      </c>
      <c r="F413" s="210">
        <v>28502.7</v>
      </c>
      <c r="G413" s="54">
        <v>-8.5000000000000006E-3</v>
      </c>
    </row>
    <row r="414" spans="1:7" x14ac:dyDescent="0.25">
      <c r="A414" s="56">
        <v>44935</v>
      </c>
      <c r="B414" s="210">
        <v>1293.5999999999999</v>
      </c>
      <c r="C414" s="210">
        <v>1275.2</v>
      </c>
      <c r="D414" s="54">
        <v>1.9699999999999999E-2</v>
      </c>
      <c r="E414" s="210">
        <v>28134.05</v>
      </c>
      <c r="F414" s="210">
        <v>28748.15</v>
      </c>
      <c r="G414" s="54">
        <v>2.8299999999999999E-2</v>
      </c>
    </row>
    <row r="415" spans="1:7" x14ac:dyDescent="0.25">
      <c r="A415" s="56">
        <v>44932</v>
      </c>
      <c r="B415" s="210">
        <v>1268.55</v>
      </c>
      <c r="C415" s="210">
        <v>1270</v>
      </c>
      <c r="D415" s="54">
        <v>-5.1000000000000004E-3</v>
      </c>
      <c r="E415" s="210">
        <v>28466.9</v>
      </c>
      <c r="F415" s="210">
        <v>27956.45</v>
      </c>
      <c r="G415" s="54">
        <v>-0.02</v>
      </c>
    </row>
    <row r="416" spans="1:7" x14ac:dyDescent="0.25">
      <c r="A416" s="56">
        <v>44931</v>
      </c>
      <c r="B416" s="210">
        <v>1275</v>
      </c>
      <c r="C416" s="210">
        <v>1285</v>
      </c>
      <c r="D416" s="54">
        <v>5.9999999999999995E-4</v>
      </c>
      <c r="E416" s="210">
        <v>28803.05</v>
      </c>
      <c r="F416" s="210">
        <v>28527.75</v>
      </c>
      <c r="G416" s="54">
        <v>-5.1999999999999998E-3</v>
      </c>
    </row>
    <row r="417" spans="1:7" x14ac:dyDescent="0.25">
      <c r="A417" s="56">
        <v>44930</v>
      </c>
      <c r="B417" s="210">
        <v>1274.25</v>
      </c>
      <c r="C417" s="210">
        <v>1278</v>
      </c>
      <c r="D417" s="54">
        <v>-3.3999999999999998E-3</v>
      </c>
      <c r="E417" s="210">
        <v>28912.6</v>
      </c>
      <c r="F417" s="210">
        <v>28677.8</v>
      </c>
      <c r="G417" s="54">
        <v>-9.7999999999999997E-3</v>
      </c>
    </row>
    <row r="418" spans="1:7" x14ac:dyDescent="0.25">
      <c r="A418" s="56">
        <v>44929</v>
      </c>
      <c r="B418" s="210">
        <v>1278.55</v>
      </c>
      <c r="C418" s="210">
        <v>1278</v>
      </c>
      <c r="D418" s="54">
        <v>1.5E-3</v>
      </c>
      <c r="E418" s="210">
        <v>28713.7</v>
      </c>
      <c r="F418" s="210">
        <v>28962.3</v>
      </c>
      <c r="G418" s="54">
        <v>7.7999999999999996E-3</v>
      </c>
    </row>
    <row r="419" spans="1:7" x14ac:dyDescent="0.25">
      <c r="A419" s="56">
        <v>44928</v>
      </c>
      <c r="B419" s="210">
        <v>1276.6500000000001</v>
      </c>
      <c r="C419" s="210">
        <v>1281</v>
      </c>
      <c r="D419" s="54">
        <v>-2.0999999999999999E-3</v>
      </c>
      <c r="E419" s="210">
        <v>28681.55</v>
      </c>
      <c r="F419" s="210">
        <v>28737.3</v>
      </c>
      <c r="G419" s="54">
        <v>4.0000000000000001E-3</v>
      </c>
    </row>
    <row r="420" spans="1:7" x14ac:dyDescent="0.25">
      <c r="A420" s="56">
        <v>44925</v>
      </c>
      <c r="B420" s="210">
        <v>1279.3499999999999</v>
      </c>
      <c r="C420" s="210">
        <v>1283</v>
      </c>
      <c r="D420" s="54">
        <v>1.4E-3</v>
      </c>
      <c r="E420" s="210">
        <v>28887.8</v>
      </c>
      <c r="F420" s="210">
        <v>28621.7</v>
      </c>
      <c r="G420" s="54">
        <v>-2.3E-3</v>
      </c>
    </row>
    <row r="421" spans="1:7" x14ac:dyDescent="0.25">
      <c r="A421" s="56">
        <v>44924</v>
      </c>
      <c r="B421" s="210">
        <v>1277.5</v>
      </c>
      <c r="C421" s="210">
        <v>1297</v>
      </c>
      <c r="D421" s="54">
        <v>-1.55E-2</v>
      </c>
      <c r="E421" s="210">
        <v>28408.3</v>
      </c>
      <c r="F421" s="210">
        <v>28687.200000000001</v>
      </c>
      <c r="G421" s="54">
        <v>3.5999999999999999E-3</v>
      </c>
    </row>
    <row r="422" spans="1:7" x14ac:dyDescent="0.25">
      <c r="A422" s="56">
        <v>44923</v>
      </c>
      <c r="B422" s="210">
        <v>1297.55</v>
      </c>
      <c r="C422" s="210">
        <v>1304.0999999999999</v>
      </c>
      <c r="D422" s="54">
        <v>-1.3599999999999999E-2</v>
      </c>
      <c r="E422" s="210">
        <v>28495.75</v>
      </c>
      <c r="F422" s="210">
        <v>28583.45</v>
      </c>
      <c r="G422" s="54">
        <v>-1.8E-3</v>
      </c>
    </row>
    <row r="423" spans="1:7" x14ac:dyDescent="0.25">
      <c r="A423" s="56">
        <v>44922</v>
      </c>
      <c r="B423" s="210">
        <v>1315.5</v>
      </c>
      <c r="C423" s="210">
        <v>1329</v>
      </c>
      <c r="D423" s="54">
        <v>-1.12E-2</v>
      </c>
      <c r="E423" s="210">
        <v>28551.75</v>
      </c>
      <c r="F423" s="210">
        <v>28636.25</v>
      </c>
      <c r="G423" s="54">
        <v>8.8000000000000005E-3</v>
      </c>
    </row>
    <row r="424" spans="1:7" x14ac:dyDescent="0.25">
      <c r="A424" s="56">
        <v>44921</v>
      </c>
      <c r="B424" s="210">
        <v>1330.45</v>
      </c>
      <c r="C424" s="210">
        <v>1305.9000000000001</v>
      </c>
      <c r="D424" s="54">
        <v>-2.75E-2</v>
      </c>
      <c r="E424" s="210">
        <v>28268.25</v>
      </c>
      <c r="F424" s="210">
        <v>28385.7</v>
      </c>
      <c r="G424" s="54">
        <v>5.3E-3</v>
      </c>
    </row>
    <row r="425" spans="1:7" x14ac:dyDescent="0.25">
      <c r="A425" s="56">
        <v>44918</v>
      </c>
      <c r="B425" s="210">
        <v>1368.1</v>
      </c>
      <c r="C425" s="210">
        <v>1383</v>
      </c>
      <c r="D425" s="54">
        <v>-1.24E-2</v>
      </c>
      <c r="E425" s="210">
        <v>28442.799999999999</v>
      </c>
      <c r="F425" s="210">
        <v>28237.05</v>
      </c>
      <c r="G425" s="54">
        <v>-1.83E-2</v>
      </c>
    </row>
    <row r="426" spans="1:7" x14ac:dyDescent="0.25">
      <c r="A426" s="56">
        <v>44917</v>
      </c>
      <c r="B426" s="210">
        <v>1385.3</v>
      </c>
      <c r="C426" s="210">
        <v>1361</v>
      </c>
      <c r="D426" s="54">
        <v>2.3599999999999999E-2</v>
      </c>
      <c r="E426" s="210">
        <v>28973.35</v>
      </c>
      <c r="F426" s="210">
        <v>28763.9</v>
      </c>
      <c r="G426" s="54">
        <v>0</v>
      </c>
    </row>
    <row r="427" spans="1:7" x14ac:dyDescent="0.25">
      <c r="A427" s="56">
        <v>44916</v>
      </c>
      <c r="B427" s="210">
        <v>1353.4</v>
      </c>
      <c r="C427" s="210">
        <v>1345</v>
      </c>
      <c r="D427" s="54">
        <v>1.01E-2</v>
      </c>
      <c r="E427" s="210">
        <v>28742.3</v>
      </c>
      <c r="F427" s="210">
        <v>28764.25</v>
      </c>
      <c r="G427" s="54">
        <v>5.3E-3</v>
      </c>
    </row>
    <row r="428" spans="1:7" x14ac:dyDescent="0.25">
      <c r="A428" s="56">
        <v>44915</v>
      </c>
      <c r="B428" s="210">
        <v>1339.9</v>
      </c>
      <c r="C428" s="210">
        <v>1364.9</v>
      </c>
      <c r="D428" s="54">
        <v>-1.49E-2</v>
      </c>
      <c r="E428" s="210">
        <v>28464.85</v>
      </c>
      <c r="F428" s="210">
        <v>28612.5</v>
      </c>
      <c r="G428" s="54">
        <v>2E-3</v>
      </c>
    </row>
    <row r="429" spans="1:7" x14ac:dyDescent="0.25">
      <c r="A429" s="56">
        <v>44914</v>
      </c>
      <c r="B429" s="210">
        <v>1360.15</v>
      </c>
      <c r="C429" s="210">
        <v>1386.6</v>
      </c>
      <c r="D429" s="54">
        <v>-1.3599999999999999E-2</v>
      </c>
      <c r="E429" s="210">
        <v>28567.7</v>
      </c>
      <c r="F429" s="210">
        <v>28556.45</v>
      </c>
      <c r="G429" s="54">
        <v>-5.1000000000000004E-3</v>
      </c>
    </row>
    <row r="430" spans="1:7" x14ac:dyDescent="0.25">
      <c r="A430" s="56">
        <v>44911</v>
      </c>
      <c r="B430" s="210">
        <v>1378.9</v>
      </c>
      <c r="C430" s="210">
        <v>1381</v>
      </c>
      <c r="D430" s="54">
        <v>1E-4</v>
      </c>
      <c r="E430" s="210">
        <v>28805.95</v>
      </c>
      <c r="F430" s="210">
        <v>28702.2</v>
      </c>
      <c r="G430" s="54">
        <v>-1.3299999999999999E-2</v>
      </c>
    </row>
    <row r="431" spans="1:7" x14ac:dyDescent="0.25">
      <c r="A431" s="56">
        <v>44910</v>
      </c>
      <c r="B431" s="210">
        <v>1378.7</v>
      </c>
      <c r="C431" s="210">
        <v>1414.9</v>
      </c>
      <c r="D431" s="54">
        <v>-1.3599999999999999E-2</v>
      </c>
      <c r="E431" s="210">
        <v>29609.599999999999</v>
      </c>
      <c r="F431" s="210">
        <v>29087.95</v>
      </c>
      <c r="G431" s="54">
        <v>-2.1100000000000001E-2</v>
      </c>
    </row>
    <row r="432" spans="1:7" x14ac:dyDescent="0.25">
      <c r="A432" s="56">
        <v>44909</v>
      </c>
      <c r="B432" s="210">
        <v>1397.65</v>
      </c>
      <c r="C432" s="210">
        <v>1388.65</v>
      </c>
      <c r="D432" s="54">
        <v>1.18E-2</v>
      </c>
      <c r="E432" s="210">
        <v>29546.95</v>
      </c>
      <c r="F432" s="210">
        <v>29713.9</v>
      </c>
      <c r="G432" s="54">
        <v>1.15E-2</v>
      </c>
    </row>
    <row r="433" spans="1:7" x14ac:dyDescent="0.25">
      <c r="A433" s="56">
        <v>44908</v>
      </c>
      <c r="B433" s="210">
        <v>1381.4</v>
      </c>
      <c r="C433" s="210">
        <v>1421.85</v>
      </c>
      <c r="D433" s="54">
        <v>-0.01</v>
      </c>
      <c r="E433" s="210">
        <v>29103.5</v>
      </c>
      <c r="F433" s="210">
        <v>29376.55</v>
      </c>
      <c r="G433" s="54">
        <v>1.12E-2</v>
      </c>
    </row>
    <row r="434" spans="1:7" x14ac:dyDescent="0.25">
      <c r="A434" s="56">
        <v>44907</v>
      </c>
      <c r="B434" s="210">
        <v>1395.4</v>
      </c>
      <c r="C434" s="210">
        <v>1391</v>
      </c>
      <c r="D434" s="54">
        <v>1.8E-3</v>
      </c>
      <c r="E434" s="210">
        <v>28940.95</v>
      </c>
      <c r="F434" s="210">
        <v>29050.5</v>
      </c>
      <c r="G434" s="54">
        <v>-4.0000000000000001E-3</v>
      </c>
    </row>
    <row r="435" spans="1:7" x14ac:dyDescent="0.25">
      <c r="A435" s="56">
        <v>44904</v>
      </c>
      <c r="B435" s="210">
        <v>1392.95</v>
      </c>
      <c r="C435" s="210">
        <v>1410.1</v>
      </c>
      <c r="D435" s="54">
        <v>-1.2E-2</v>
      </c>
      <c r="E435" s="210">
        <v>30196.25</v>
      </c>
      <c r="F435" s="210">
        <v>29168.45</v>
      </c>
      <c r="G435" s="54">
        <v>-3.1399999999999997E-2</v>
      </c>
    </row>
    <row r="436" spans="1:7" x14ac:dyDescent="0.25">
      <c r="A436" s="56">
        <v>44903</v>
      </c>
      <c r="B436" s="210">
        <v>1409.85</v>
      </c>
      <c r="C436" s="210">
        <v>1410</v>
      </c>
      <c r="D436" s="54">
        <v>8.0000000000000004E-4</v>
      </c>
      <c r="E436" s="210">
        <v>30175.85</v>
      </c>
      <c r="F436" s="210">
        <v>30115</v>
      </c>
      <c r="G436" s="54">
        <v>-2.3999999999999998E-3</v>
      </c>
    </row>
    <row r="437" spans="1:7" x14ac:dyDescent="0.25">
      <c r="A437" s="56">
        <v>44902</v>
      </c>
      <c r="B437" s="210">
        <v>1408.7</v>
      </c>
      <c r="C437" s="210">
        <v>1425.4</v>
      </c>
      <c r="D437" s="54">
        <v>-6.4999999999999997E-3</v>
      </c>
      <c r="E437" s="210">
        <v>30319.25</v>
      </c>
      <c r="F437" s="210">
        <v>30187.05</v>
      </c>
      <c r="G437" s="54">
        <v>-8.3999999999999995E-3</v>
      </c>
    </row>
    <row r="438" spans="1:7" x14ac:dyDescent="0.25">
      <c r="A438" s="56">
        <v>44901</v>
      </c>
      <c r="B438" s="210">
        <v>1417.95</v>
      </c>
      <c r="C438" s="210">
        <v>1440</v>
      </c>
      <c r="D438" s="54">
        <v>-1.49E-2</v>
      </c>
      <c r="E438" s="210">
        <v>30656.2</v>
      </c>
      <c r="F438" s="210">
        <v>30443</v>
      </c>
      <c r="G438" s="54">
        <v>-1.4500000000000001E-2</v>
      </c>
    </row>
    <row r="439" spans="1:7" x14ac:dyDescent="0.25">
      <c r="A439" s="56">
        <v>44900</v>
      </c>
      <c r="B439" s="210">
        <v>1439.45</v>
      </c>
      <c r="C439" s="210">
        <v>1464</v>
      </c>
      <c r="D439" s="54">
        <v>-7.3000000000000001E-3</v>
      </c>
      <c r="E439" s="210">
        <v>31052</v>
      </c>
      <c r="F439" s="210">
        <v>30891.5</v>
      </c>
      <c r="G439" s="54">
        <v>-5.1999999999999998E-3</v>
      </c>
    </row>
    <row r="440" spans="1:7" x14ac:dyDescent="0.25">
      <c r="A440" s="56">
        <v>44897</v>
      </c>
      <c r="B440" s="210">
        <v>1450.05</v>
      </c>
      <c r="C440" s="210">
        <v>1454</v>
      </c>
      <c r="D440" s="54">
        <v>1.8E-3</v>
      </c>
      <c r="E440" s="210">
        <v>31097.55</v>
      </c>
      <c r="F440" s="210">
        <v>31052.1</v>
      </c>
      <c r="G440" s="54">
        <v>-2.2000000000000001E-3</v>
      </c>
    </row>
    <row r="441" spans="1:7" x14ac:dyDescent="0.25">
      <c r="A441" s="56">
        <v>44896</v>
      </c>
      <c r="B441" s="210">
        <v>1447.45</v>
      </c>
      <c r="C441" s="210">
        <v>1457.9</v>
      </c>
      <c r="D441" s="54">
        <v>-5.9999999999999995E-4</v>
      </c>
      <c r="E441" s="210">
        <v>30749.45</v>
      </c>
      <c r="F441" s="210">
        <v>31120.5</v>
      </c>
      <c r="G441" s="54">
        <v>2.4E-2</v>
      </c>
    </row>
    <row r="442" spans="1:7" x14ac:dyDescent="0.25">
      <c r="A442" s="56">
        <v>44895</v>
      </c>
      <c r="B442" s="210">
        <v>1448.35</v>
      </c>
      <c r="C442" s="210">
        <v>1433.8</v>
      </c>
      <c r="D442" s="54">
        <v>1.55E-2</v>
      </c>
      <c r="E442" s="210">
        <v>30274.5</v>
      </c>
      <c r="F442" s="210">
        <v>30391.7</v>
      </c>
      <c r="G442" s="54">
        <v>1.5E-3</v>
      </c>
    </row>
    <row r="443" spans="1:7" x14ac:dyDescent="0.25">
      <c r="A443" s="56">
        <v>44894</v>
      </c>
      <c r="B443" s="210">
        <v>1426.3</v>
      </c>
      <c r="C443" s="210">
        <v>1464.85</v>
      </c>
      <c r="D443" s="54">
        <v>-2.1399999999999999E-2</v>
      </c>
      <c r="E443" s="210">
        <v>30242.400000000001</v>
      </c>
      <c r="F443" s="210">
        <v>30345.65</v>
      </c>
      <c r="G443" s="54">
        <v>1.1999999999999999E-3</v>
      </c>
    </row>
    <row r="444" spans="1:7" x14ac:dyDescent="0.25">
      <c r="A444" s="56">
        <v>44893</v>
      </c>
      <c r="B444" s="210">
        <v>1457.55</v>
      </c>
      <c r="C444" s="210">
        <v>1436.5</v>
      </c>
      <c r="D444" s="54">
        <v>0.02</v>
      </c>
      <c r="E444" s="210">
        <v>30207.75</v>
      </c>
      <c r="F444" s="210">
        <v>30309.65</v>
      </c>
      <c r="G444" s="54">
        <v>-8.0000000000000004E-4</v>
      </c>
    </row>
    <row r="445" spans="1:7" x14ac:dyDescent="0.25">
      <c r="A445" s="56">
        <v>44890</v>
      </c>
      <c r="B445" s="210">
        <v>1429</v>
      </c>
      <c r="C445" s="210">
        <v>1435</v>
      </c>
      <c r="D445" s="54">
        <v>-2E-3</v>
      </c>
      <c r="E445" s="210">
        <v>30233.9</v>
      </c>
      <c r="F445" s="210">
        <v>30334.6</v>
      </c>
      <c r="G445" s="54">
        <v>5.1999999999999998E-3</v>
      </c>
    </row>
    <row r="446" spans="1:7" x14ac:dyDescent="0.25">
      <c r="A446" s="56">
        <v>44889</v>
      </c>
      <c r="B446" s="210">
        <v>1431.9</v>
      </c>
      <c r="C446" s="210">
        <v>1414.9</v>
      </c>
      <c r="D446" s="54">
        <v>1.4500000000000001E-2</v>
      </c>
      <c r="E446" s="210">
        <v>29507.55</v>
      </c>
      <c r="F446" s="210">
        <v>30178.65</v>
      </c>
      <c r="G446" s="54">
        <v>2.63E-2</v>
      </c>
    </row>
    <row r="447" spans="1:7" x14ac:dyDescent="0.25">
      <c r="A447" s="56">
        <v>44888</v>
      </c>
      <c r="B447" s="210">
        <v>1411.45</v>
      </c>
      <c r="C447" s="210">
        <v>1405.1</v>
      </c>
      <c r="D447" s="54">
        <v>7.6E-3</v>
      </c>
      <c r="E447" s="210">
        <v>29574.65</v>
      </c>
      <c r="F447" s="210">
        <v>29405.65</v>
      </c>
      <c r="G447" s="54">
        <v>-1.4E-3</v>
      </c>
    </row>
    <row r="448" spans="1:7" x14ac:dyDescent="0.25">
      <c r="A448" s="56">
        <v>44887</v>
      </c>
      <c r="B448" s="210">
        <v>1400.85</v>
      </c>
      <c r="C448" s="210">
        <v>1404.6</v>
      </c>
      <c r="D448" s="54">
        <v>1E-3</v>
      </c>
      <c r="E448" s="210">
        <v>29195.7</v>
      </c>
      <c r="F448" s="210">
        <v>29446.9</v>
      </c>
      <c r="G448" s="54">
        <v>8.0999999999999996E-3</v>
      </c>
    </row>
    <row r="449" spans="1:7" x14ac:dyDescent="0.25">
      <c r="A449" s="56">
        <v>44886</v>
      </c>
      <c r="B449" s="210">
        <v>1399.4</v>
      </c>
      <c r="C449" s="210">
        <v>1406.05</v>
      </c>
      <c r="D449" s="54">
        <v>2.0000000000000001E-4</v>
      </c>
      <c r="E449" s="210">
        <v>29520.15</v>
      </c>
      <c r="F449" s="210">
        <v>29209.55</v>
      </c>
      <c r="G449" s="54">
        <v>-1.55E-2</v>
      </c>
    </row>
    <row r="450" spans="1:7" x14ac:dyDescent="0.25">
      <c r="A450" s="56">
        <v>44883</v>
      </c>
      <c r="B450" s="210">
        <v>1399.1</v>
      </c>
      <c r="C450" s="210">
        <v>1424</v>
      </c>
      <c r="D450" s="54">
        <v>-1.78E-2</v>
      </c>
      <c r="E450" s="210">
        <v>29739.200000000001</v>
      </c>
      <c r="F450" s="210">
        <v>29669.25</v>
      </c>
      <c r="G450" s="54">
        <v>-4.0000000000000002E-4</v>
      </c>
    </row>
    <row r="451" spans="1:7" x14ac:dyDescent="0.25">
      <c r="A451" s="56">
        <v>44882</v>
      </c>
      <c r="B451" s="210">
        <v>1424.45</v>
      </c>
      <c r="C451" s="210">
        <v>1435</v>
      </c>
      <c r="D451" s="54">
        <v>-9.7000000000000003E-3</v>
      </c>
      <c r="E451" s="210">
        <v>29810.45</v>
      </c>
      <c r="F451" s="210">
        <v>29681.4</v>
      </c>
      <c r="G451" s="54">
        <v>-8.9999999999999993E-3</v>
      </c>
    </row>
    <row r="452" spans="1:7" x14ac:dyDescent="0.25">
      <c r="A452" s="56">
        <v>44881</v>
      </c>
      <c r="B452" s="210">
        <v>1438.35</v>
      </c>
      <c r="C452" s="210">
        <v>1445</v>
      </c>
      <c r="D452" s="54">
        <v>1.1599999999999999E-2</v>
      </c>
      <c r="E452" s="210">
        <v>29920.65</v>
      </c>
      <c r="F452" s="210">
        <v>29951.5</v>
      </c>
      <c r="G452" s="54">
        <v>2.8999999999999998E-3</v>
      </c>
    </row>
    <row r="453" spans="1:7" x14ac:dyDescent="0.25">
      <c r="A453" s="56">
        <v>44880</v>
      </c>
      <c r="B453" s="210">
        <v>1421.8</v>
      </c>
      <c r="C453" s="210">
        <v>1409</v>
      </c>
      <c r="D453" s="54">
        <v>8.9999999999999998E-4</v>
      </c>
      <c r="E453" s="210">
        <v>29789.85</v>
      </c>
      <c r="F453" s="210">
        <v>29865.3</v>
      </c>
      <c r="G453" s="54">
        <v>5.0000000000000001E-4</v>
      </c>
    </row>
    <row r="454" spans="1:7" x14ac:dyDescent="0.25">
      <c r="A454" s="56">
        <v>44879</v>
      </c>
      <c r="B454" s="210">
        <v>1420.5</v>
      </c>
      <c r="C454" s="210">
        <v>1409</v>
      </c>
      <c r="D454" s="54">
        <v>1.2699999999999999E-2</v>
      </c>
      <c r="E454" s="210">
        <v>29709.75</v>
      </c>
      <c r="F454" s="210">
        <v>29849.3</v>
      </c>
      <c r="G454" s="54">
        <v>8.6999999999999994E-3</v>
      </c>
    </row>
    <row r="455" spans="1:7" x14ac:dyDescent="0.25">
      <c r="A455" s="56">
        <v>44876</v>
      </c>
      <c r="B455" s="210">
        <v>1402.65</v>
      </c>
      <c r="C455" s="210">
        <v>1429.9</v>
      </c>
      <c r="D455" s="54">
        <v>2.06E-2</v>
      </c>
      <c r="E455" s="210">
        <v>29182.35</v>
      </c>
      <c r="F455" s="210">
        <v>29591.95</v>
      </c>
      <c r="G455" s="54">
        <v>3.8100000000000002E-2</v>
      </c>
    </row>
    <row r="456" spans="1:7" x14ac:dyDescent="0.25">
      <c r="A456" s="56">
        <v>44875</v>
      </c>
      <c r="B456" s="210">
        <v>1374.35</v>
      </c>
      <c r="C456" s="210">
        <v>1364.9</v>
      </c>
      <c r="D456" s="54">
        <v>7.6E-3</v>
      </c>
      <c r="E456" s="210">
        <v>28287.85</v>
      </c>
      <c r="F456" s="210">
        <v>28505.75</v>
      </c>
      <c r="G456" s="54">
        <v>-4.1999999999999997E-3</v>
      </c>
    </row>
    <row r="457" spans="1:7" x14ac:dyDescent="0.25">
      <c r="A457" s="56">
        <v>44874</v>
      </c>
      <c r="B457" s="210">
        <v>1363.95</v>
      </c>
      <c r="C457" s="210">
        <v>1359.9</v>
      </c>
      <c r="D457" s="54">
        <v>1.77E-2</v>
      </c>
      <c r="E457" s="210">
        <v>28940.400000000001</v>
      </c>
      <c r="F457" s="210">
        <v>28626.799999999999</v>
      </c>
      <c r="G457" s="54">
        <v>-4.0000000000000001E-3</v>
      </c>
    </row>
    <row r="458" spans="1:7" x14ac:dyDescent="0.25">
      <c r="A458" s="56">
        <v>44872</v>
      </c>
      <c r="B458" s="210">
        <v>1340.25</v>
      </c>
      <c r="C458" s="210">
        <v>1360</v>
      </c>
      <c r="D458" s="54">
        <v>-6.7000000000000002E-3</v>
      </c>
      <c r="E458" s="210">
        <v>28815.95</v>
      </c>
      <c r="F458" s="210">
        <v>28741.3</v>
      </c>
      <c r="G458" s="54">
        <v>1.6999999999999999E-3</v>
      </c>
    </row>
    <row r="459" spans="1:7" x14ac:dyDescent="0.25">
      <c r="A459" s="56">
        <v>44869</v>
      </c>
      <c r="B459" s="210">
        <v>1349.25</v>
      </c>
      <c r="C459" s="210">
        <v>1365</v>
      </c>
      <c r="D459" s="54">
        <v>2.1299999999999999E-2</v>
      </c>
      <c r="E459" s="210">
        <v>28756.75</v>
      </c>
      <c r="F459" s="210">
        <v>28693.05</v>
      </c>
      <c r="G459" s="54">
        <v>-3.5999999999999999E-3</v>
      </c>
    </row>
    <row r="460" spans="1:7" x14ac:dyDescent="0.25">
      <c r="A460" s="56">
        <v>44868</v>
      </c>
      <c r="B460" s="210">
        <v>1321.05</v>
      </c>
      <c r="C460" s="210">
        <v>1293</v>
      </c>
      <c r="D460" s="54">
        <v>7.3000000000000001E-3</v>
      </c>
      <c r="E460" s="210">
        <v>28866.35</v>
      </c>
      <c r="F460" s="210">
        <v>28795.75</v>
      </c>
      <c r="G460" s="54">
        <v>-1.18E-2</v>
      </c>
    </row>
    <row r="461" spans="1:7" x14ac:dyDescent="0.25">
      <c r="A461" s="56">
        <v>44867</v>
      </c>
      <c r="B461" s="210">
        <v>1311.5</v>
      </c>
      <c r="C461" s="210">
        <v>1330</v>
      </c>
      <c r="D461" s="54">
        <v>-1.46E-2</v>
      </c>
      <c r="E461" s="210">
        <v>29299.4</v>
      </c>
      <c r="F461" s="210">
        <v>29138.65</v>
      </c>
      <c r="G461" s="54">
        <v>-4.4999999999999997E-3</v>
      </c>
    </row>
    <row r="462" spans="1:7" x14ac:dyDescent="0.25">
      <c r="A462" s="56">
        <v>44866</v>
      </c>
      <c r="B462" s="210">
        <v>1330.95</v>
      </c>
      <c r="C462" s="210">
        <v>1326.3</v>
      </c>
      <c r="D462" s="54">
        <v>8.5000000000000006E-3</v>
      </c>
      <c r="E462" s="210">
        <v>28924.25</v>
      </c>
      <c r="F462" s="210">
        <v>29270.65</v>
      </c>
      <c r="G462" s="54">
        <v>1.89E-2</v>
      </c>
    </row>
    <row r="463" spans="1:7" x14ac:dyDescent="0.25">
      <c r="A463" s="56">
        <v>44865</v>
      </c>
      <c r="B463" s="210">
        <v>1319.7</v>
      </c>
      <c r="C463" s="210">
        <v>1275</v>
      </c>
      <c r="D463" s="54">
        <v>3.73E-2</v>
      </c>
      <c r="E463" s="210">
        <v>28588.7</v>
      </c>
      <c r="F463" s="210">
        <v>28727.599999999999</v>
      </c>
      <c r="G463" s="54">
        <v>1.4500000000000001E-2</v>
      </c>
    </row>
    <row r="464" spans="1:7" x14ac:dyDescent="0.25">
      <c r="A464" s="56">
        <v>44862</v>
      </c>
      <c r="B464" s="210">
        <v>1272.3</v>
      </c>
      <c r="C464" s="210">
        <v>1271</v>
      </c>
      <c r="D464" s="54">
        <v>-0.01</v>
      </c>
      <c r="E464" s="210">
        <v>28567.65</v>
      </c>
      <c r="F464" s="210">
        <v>28318.35</v>
      </c>
      <c r="G464" s="54">
        <v>-8.8999999999999999E-3</v>
      </c>
    </row>
    <row r="465" spans="1:7" x14ac:dyDescent="0.25">
      <c r="A465" s="56">
        <v>44861</v>
      </c>
      <c r="B465" s="210">
        <v>1285.1500000000001</v>
      </c>
      <c r="C465" s="210">
        <v>1301</v>
      </c>
      <c r="D465" s="54">
        <v>-1.1299999999999999E-2</v>
      </c>
      <c r="E465" s="210">
        <v>28787.1</v>
      </c>
      <c r="F465" s="210">
        <v>28572.2</v>
      </c>
      <c r="G465" s="54">
        <v>-5.1999999999999998E-3</v>
      </c>
    </row>
    <row r="466" spans="1:7" x14ac:dyDescent="0.25">
      <c r="A466" s="56">
        <v>44859</v>
      </c>
      <c r="B466" s="210">
        <v>1299.9000000000001</v>
      </c>
      <c r="C466" s="210">
        <v>1303.45</v>
      </c>
      <c r="D466" s="54">
        <v>2.3E-3</v>
      </c>
      <c r="E466" s="210">
        <v>28687.9</v>
      </c>
      <c r="F466" s="210">
        <v>28722.85</v>
      </c>
      <c r="G466" s="54">
        <v>6.6E-3</v>
      </c>
    </row>
    <row r="467" spans="1:7" x14ac:dyDescent="0.25">
      <c r="A467" s="56">
        <v>44858</v>
      </c>
      <c r="B467" s="210">
        <v>1296.95</v>
      </c>
      <c r="C467" s="210">
        <v>1278</v>
      </c>
      <c r="D467" s="54">
        <v>7.7999999999999996E-3</v>
      </c>
      <c r="E467" s="210">
        <v>28632.85</v>
      </c>
      <c r="F467" s="210">
        <v>28534.3</v>
      </c>
      <c r="G467" s="54">
        <v>7.0000000000000001E-3</v>
      </c>
    </row>
    <row r="468" spans="1:7" x14ac:dyDescent="0.25">
      <c r="A468" s="56">
        <v>44855</v>
      </c>
      <c r="B468" s="210">
        <v>1286.9000000000001</v>
      </c>
      <c r="C468" s="210">
        <v>1285.3499999999999</v>
      </c>
      <c r="D468" s="54">
        <v>6.1999999999999998E-3</v>
      </c>
      <c r="E468" s="210">
        <v>28428.400000000001</v>
      </c>
      <c r="F468" s="210">
        <v>28336.95</v>
      </c>
      <c r="G468" s="54">
        <v>-3.3999999999999998E-3</v>
      </c>
    </row>
    <row r="469" spans="1:7" x14ac:dyDescent="0.25">
      <c r="A469" s="56">
        <v>44854</v>
      </c>
      <c r="B469" s="210">
        <v>1278.95</v>
      </c>
      <c r="C469" s="210">
        <v>1293.8</v>
      </c>
      <c r="D469" s="54">
        <v>-1.2E-2</v>
      </c>
      <c r="E469" s="210">
        <v>27905.599999999999</v>
      </c>
      <c r="F469" s="210">
        <v>28432.2</v>
      </c>
      <c r="G469" s="54">
        <v>1.3299999999999999E-2</v>
      </c>
    </row>
    <row r="470" spans="1:7" x14ac:dyDescent="0.25">
      <c r="A470" s="56">
        <v>44853</v>
      </c>
      <c r="B470" s="210">
        <v>1294.45</v>
      </c>
      <c r="C470" s="210">
        <v>1312.4</v>
      </c>
      <c r="D470" s="54">
        <v>-1.37E-2</v>
      </c>
      <c r="E470" s="210">
        <v>28370.5</v>
      </c>
      <c r="F470" s="210">
        <v>28060.35</v>
      </c>
      <c r="G470" s="54">
        <v>-8.9999999999999993E-3</v>
      </c>
    </row>
    <row r="471" spans="1:7" x14ac:dyDescent="0.25">
      <c r="A471" s="56">
        <v>44852</v>
      </c>
      <c r="B471" s="210">
        <v>1312.4</v>
      </c>
      <c r="C471" s="210">
        <v>1313</v>
      </c>
      <c r="D471" s="54">
        <v>1.4E-3</v>
      </c>
      <c r="E471" s="210">
        <v>28342.5</v>
      </c>
      <c r="F471" s="210">
        <v>28315.200000000001</v>
      </c>
      <c r="G471" s="54">
        <v>1.06E-2</v>
      </c>
    </row>
    <row r="472" spans="1:7" x14ac:dyDescent="0.25">
      <c r="A472" s="56">
        <v>44851</v>
      </c>
      <c r="B472" s="210">
        <v>1310.55</v>
      </c>
      <c r="C472" s="210">
        <v>1310</v>
      </c>
      <c r="D472" s="54">
        <v>1E-4</v>
      </c>
      <c r="E472" s="210">
        <v>27903.35</v>
      </c>
      <c r="F472" s="210">
        <v>28019.15</v>
      </c>
      <c r="G472" s="54">
        <v>2.3E-3</v>
      </c>
    </row>
    <row r="473" spans="1:7" x14ac:dyDescent="0.25">
      <c r="A473" s="56">
        <v>44848</v>
      </c>
      <c r="B473" s="210">
        <v>1310.45</v>
      </c>
      <c r="C473" s="210">
        <v>1324.95</v>
      </c>
      <c r="D473" s="54">
        <v>-5.1999999999999998E-3</v>
      </c>
      <c r="E473" s="210">
        <v>28221.05</v>
      </c>
      <c r="F473" s="210">
        <v>27954.05</v>
      </c>
      <c r="G473" s="54">
        <v>1.6299999999999999E-2</v>
      </c>
    </row>
    <row r="474" spans="1:7" x14ac:dyDescent="0.25">
      <c r="A474" s="56">
        <v>44847</v>
      </c>
      <c r="B474" s="210">
        <v>1317.3</v>
      </c>
      <c r="C474" s="210">
        <v>1349.9</v>
      </c>
      <c r="D474" s="54">
        <v>-2.3699999999999999E-2</v>
      </c>
      <c r="E474" s="210">
        <v>27625.75</v>
      </c>
      <c r="F474" s="210">
        <v>27506.2</v>
      </c>
      <c r="G474" s="54">
        <v>-6.7999999999999996E-3</v>
      </c>
    </row>
    <row r="475" spans="1:7" x14ac:dyDescent="0.25">
      <c r="A475" s="56">
        <v>44846</v>
      </c>
      <c r="B475" s="210">
        <v>1349.3</v>
      </c>
      <c r="C475" s="210">
        <v>1368.35</v>
      </c>
      <c r="D475" s="54">
        <v>-8.9999999999999993E-3</v>
      </c>
      <c r="E475" s="210">
        <v>27609.65</v>
      </c>
      <c r="F475" s="210">
        <v>27694.65</v>
      </c>
      <c r="G475" s="54">
        <v>8.2000000000000007E-3</v>
      </c>
    </row>
    <row r="476" spans="1:7" x14ac:dyDescent="0.25">
      <c r="A476" s="56">
        <v>44845</v>
      </c>
      <c r="B476" s="210">
        <v>1361.5</v>
      </c>
      <c r="C476" s="210">
        <v>1435</v>
      </c>
      <c r="D476" s="54">
        <v>-4.6899999999999997E-2</v>
      </c>
      <c r="E476" s="210">
        <v>28065.15</v>
      </c>
      <c r="F476" s="210">
        <v>27469.5</v>
      </c>
      <c r="G476" s="54">
        <v>-1.9900000000000001E-2</v>
      </c>
    </row>
    <row r="477" spans="1:7" x14ac:dyDescent="0.25">
      <c r="A477" s="56">
        <v>44844</v>
      </c>
      <c r="B477" s="210">
        <v>1428.45</v>
      </c>
      <c r="C477" s="210">
        <v>1445</v>
      </c>
      <c r="D477" s="54">
        <v>-2.1999999999999999E-2</v>
      </c>
      <c r="E477" s="210">
        <v>27259.4</v>
      </c>
      <c r="F477" s="210">
        <v>28027.599999999999</v>
      </c>
      <c r="G477" s="54">
        <v>1.06E-2</v>
      </c>
    </row>
    <row r="478" spans="1:7" x14ac:dyDescent="0.25">
      <c r="A478" s="56">
        <v>44841</v>
      </c>
      <c r="B478" s="210">
        <v>1460.65</v>
      </c>
      <c r="C478" s="210">
        <v>1421</v>
      </c>
      <c r="D478" s="54">
        <v>2.5899999999999999E-2</v>
      </c>
      <c r="E478" s="210">
        <v>27874.85</v>
      </c>
      <c r="F478" s="210">
        <v>27733.599999999999</v>
      </c>
      <c r="G478" s="54">
        <v>-7.0000000000000001E-3</v>
      </c>
    </row>
    <row r="479" spans="1:7" x14ac:dyDescent="0.25">
      <c r="A479" s="56">
        <v>44840</v>
      </c>
      <c r="B479" s="210">
        <v>1423.75</v>
      </c>
      <c r="C479" s="210">
        <v>1399</v>
      </c>
      <c r="D479" s="54">
        <v>2.2200000000000001E-2</v>
      </c>
      <c r="E479" s="210">
        <v>27734.85</v>
      </c>
      <c r="F479" s="210">
        <v>27928.75</v>
      </c>
      <c r="G479" s="54">
        <v>1.5699999999999999E-2</v>
      </c>
    </row>
    <row r="480" spans="1:7" x14ac:dyDescent="0.25">
      <c r="A480" s="56">
        <v>44838</v>
      </c>
      <c r="B480" s="210">
        <v>1392.8</v>
      </c>
      <c r="C480" s="210">
        <v>1402</v>
      </c>
      <c r="D480" s="54">
        <v>2.0000000000000001E-4</v>
      </c>
      <c r="E480" s="210">
        <v>27163.35</v>
      </c>
      <c r="F480" s="210">
        <v>27496.95</v>
      </c>
      <c r="G480" s="54">
        <v>2.87E-2</v>
      </c>
    </row>
    <row r="481" spans="1:7" x14ac:dyDescent="0.25">
      <c r="A481" s="56">
        <v>44837</v>
      </c>
      <c r="B481" s="210">
        <v>1392.55</v>
      </c>
      <c r="C481" s="210">
        <v>1424</v>
      </c>
      <c r="D481" s="54">
        <v>-2.2599999999999999E-2</v>
      </c>
      <c r="E481" s="210">
        <v>26950.05</v>
      </c>
      <c r="F481" s="210">
        <v>26729.1</v>
      </c>
      <c r="G481" s="54">
        <v>-9.2999999999999992E-3</v>
      </c>
    </row>
    <row r="482" spans="1:7" x14ac:dyDescent="0.25">
      <c r="A482" s="56">
        <v>44834</v>
      </c>
      <c r="B482" s="210">
        <v>1424.75</v>
      </c>
      <c r="C482" s="210">
        <v>1450</v>
      </c>
      <c r="D482" s="54">
        <v>-2.01E-2</v>
      </c>
      <c r="E482" s="210">
        <v>26713.05</v>
      </c>
      <c r="F482" s="210">
        <v>26981.15</v>
      </c>
      <c r="G482" s="54">
        <v>6.0000000000000001E-3</v>
      </c>
    </row>
    <row r="483" spans="1:7" x14ac:dyDescent="0.25">
      <c r="A483" s="56">
        <v>44833</v>
      </c>
      <c r="B483" s="210">
        <v>1453.95</v>
      </c>
      <c r="C483" s="210">
        <v>1469</v>
      </c>
      <c r="D483" s="54">
        <v>-1.2999999999999999E-3</v>
      </c>
      <c r="E483" s="210">
        <v>27273.9</v>
      </c>
      <c r="F483" s="210">
        <v>26819.05</v>
      </c>
      <c r="G483" s="54">
        <v>-9.1999999999999998E-3</v>
      </c>
    </row>
    <row r="484" spans="1:7" x14ac:dyDescent="0.25">
      <c r="A484" s="56">
        <v>44832</v>
      </c>
      <c r="B484" s="210">
        <v>1455.9</v>
      </c>
      <c r="C484" s="210">
        <v>1490</v>
      </c>
      <c r="D484" s="54">
        <v>-2.3800000000000002E-2</v>
      </c>
      <c r="E484" s="210">
        <v>26778.85</v>
      </c>
      <c r="F484" s="210">
        <v>27067.65</v>
      </c>
      <c r="G484" s="54">
        <v>2.3999999999999998E-3</v>
      </c>
    </row>
    <row r="485" spans="1:7" x14ac:dyDescent="0.25">
      <c r="A485" s="56">
        <v>44831</v>
      </c>
      <c r="B485" s="210">
        <v>1491.45</v>
      </c>
      <c r="C485" s="210">
        <v>1489</v>
      </c>
      <c r="D485" s="54">
        <v>1.52E-2</v>
      </c>
      <c r="E485" s="210">
        <v>26922.5</v>
      </c>
      <c r="F485" s="210">
        <v>27004.15</v>
      </c>
      <c r="G485" s="54">
        <v>9.7000000000000003E-3</v>
      </c>
    </row>
    <row r="486" spans="1:7" x14ac:dyDescent="0.25">
      <c r="A486" s="56">
        <v>44830</v>
      </c>
      <c r="B486" s="210">
        <v>1469.05</v>
      </c>
      <c r="C486" s="210">
        <v>1474</v>
      </c>
      <c r="D486" s="54">
        <v>-2.5999999999999999E-3</v>
      </c>
      <c r="E486" s="210">
        <v>26431.9</v>
      </c>
      <c r="F486" s="210">
        <v>26743.65</v>
      </c>
      <c r="G486" s="54">
        <v>5.7000000000000002E-3</v>
      </c>
    </row>
    <row r="487" spans="1:7" x14ac:dyDescent="0.25">
      <c r="A487" s="56">
        <v>44827</v>
      </c>
      <c r="B487" s="210">
        <v>1472.95</v>
      </c>
      <c r="C487" s="210">
        <v>1492.8</v>
      </c>
      <c r="D487" s="54">
        <v>-1.3299999999999999E-2</v>
      </c>
      <c r="E487" s="210">
        <v>26715.65</v>
      </c>
      <c r="F487" s="210">
        <v>26592.35</v>
      </c>
      <c r="G487" s="54">
        <v>-7.1000000000000004E-3</v>
      </c>
    </row>
    <row r="488" spans="1:7" x14ac:dyDescent="0.25">
      <c r="A488" s="56">
        <v>44826</v>
      </c>
      <c r="B488" s="210">
        <v>1492.8</v>
      </c>
      <c r="C488" s="210">
        <v>1519</v>
      </c>
      <c r="D488" s="54">
        <v>-1.9900000000000001E-2</v>
      </c>
      <c r="E488" s="210">
        <v>26659.05</v>
      </c>
      <c r="F488" s="210">
        <v>26782.65</v>
      </c>
      <c r="G488" s="54">
        <v>-2.3E-3</v>
      </c>
    </row>
    <row r="489" spans="1:7" x14ac:dyDescent="0.25">
      <c r="A489" s="56">
        <v>44825</v>
      </c>
      <c r="B489" s="210">
        <v>1523.1</v>
      </c>
      <c r="C489" s="210">
        <v>1529</v>
      </c>
      <c r="D489" s="54">
        <v>5.1200000000000002E-2</v>
      </c>
      <c r="E489" s="210">
        <v>26896.799999999999</v>
      </c>
      <c r="F489" s="210">
        <v>26843.25</v>
      </c>
      <c r="G489" s="54">
        <v>-6.6E-3</v>
      </c>
    </row>
    <row r="490" spans="1:7" x14ac:dyDescent="0.25">
      <c r="A490" s="56">
        <v>44824</v>
      </c>
      <c r="B490" s="210">
        <v>1448.97</v>
      </c>
      <c r="C490" s="210">
        <v>1446</v>
      </c>
      <c r="D490" s="54">
        <v>1.1599999999999999E-2</v>
      </c>
      <c r="E490" s="210">
        <v>27079.15</v>
      </c>
      <c r="F490" s="210">
        <v>27020.6</v>
      </c>
      <c r="G490" s="54">
        <v>7.7999999999999996E-3</v>
      </c>
    </row>
    <row r="491" spans="1:7" x14ac:dyDescent="0.25">
      <c r="A491" s="56">
        <v>44823</v>
      </c>
      <c r="B491" s="210">
        <v>1432.4</v>
      </c>
      <c r="C491" s="210">
        <v>1492.67</v>
      </c>
      <c r="D491" s="54">
        <v>-4.1099999999999998E-2</v>
      </c>
      <c r="E491" s="210">
        <v>26882.65</v>
      </c>
      <c r="F491" s="210">
        <v>26810.15</v>
      </c>
      <c r="G491" s="54">
        <v>3.8999999999999998E-3</v>
      </c>
    </row>
    <row r="492" spans="1:7" x14ac:dyDescent="0.25">
      <c r="A492" s="56">
        <v>44820</v>
      </c>
      <c r="B492" s="210">
        <v>1493.77</v>
      </c>
      <c r="C492" s="210">
        <v>1542.67</v>
      </c>
      <c r="D492" s="54">
        <v>-2.7199999999999998E-2</v>
      </c>
      <c r="E492" s="210">
        <v>27530.6</v>
      </c>
      <c r="F492" s="210">
        <v>26706.45</v>
      </c>
      <c r="G492" s="54">
        <v>-3.7100000000000001E-2</v>
      </c>
    </row>
    <row r="493" spans="1:7" x14ac:dyDescent="0.25">
      <c r="A493" s="56">
        <v>44819</v>
      </c>
      <c r="B493" s="210">
        <v>1535.6</v>
      </c>
      <c r="C493" s="210">
        <v>1543.33</v>
      </c>
      <c r="D493" s="54">
        <v>-2.5999999999999999E-3</v>
      </c>
      <c r="E493" s="210">
        <v>28232.85</v>
      </c>
      <c r="F493" s="210">
        <v>27734.35</v>
      </c>
      <c r="G493" s="54">
        <v>-1.43E-2</v>
      </c>
    </row>
    <row r="494" spans="1:7" x14ac:dyDescent="0.25">
      <c r="A494" s="56">
        <v>44818</v>
      </c>
      <c r="B494" s="210">
        <v>1539.6</v>
      </c>
      <c r="C494" s="210">
        <v>1520</v>
      </c>
      <c r="D494" s="54">
        <v>-4.0000000000000002E-4</v>
      </c>
      <c r="E494" s="210">
        <v>28215.75</v>
      </c>
      <c r="F494" s="210">
        <v>28137.65</v>
      </c>
      <c r="G494" s="54">
        <v>-3.3599999999999998E-2</v>
      </c>
    </row>
    <row r="495" spans="1:7" x14ac:dyDescent="0.25">
      <c r="A495" s="56">
        <v>44817</v>
      </c>
      <c r="B495" s="210">
        <v>1540.17</v>
      </c>
      <c r="C495" s="210">
        <v>1523.2</v>
      </c>
      <c r="D495" s="54">
        <v>3.5499999999999997E-2</v>
      </c>
      <c r="E495" s="210">
        <v>29334.05</v>
      </c>
      <c r="F495" s="210">
        <v>29116.85</v>
      </c>
      <c r="G495" s="54">
        <v>-5.0000000000000001E-4</v>
      </c>
    </row>
    <row r="496" spans="1:7" x14ac:dyDescent="0.25">
      <c r="A496" s="56">
        <v>44816</v>
      </c>
      <c r="B496" s="210">
        <v>1487.37</v>
      </c>
      <c r="C496" s="210">
        <v>1487.33</v>
      </c>
      <c r="D496" s="54">
        <v>1.6999999999999999E-3</v>
      </c>
      <c r="E496" s="210">
        <v>28975.9</v>
      </c>
      <c r="F496" s="210">
        <v>29131.200000000001</v>
      </c>
      <c r="G496" s="54">
        <v>1.4200000000000001E-2</v>
      </c>
    </row>
    <row r="497" spans="1:7" x14ac:dyDescent="0.25">
      <c r="A497" s="56">
        <v>44813</v>
      </c>
      <c r="B497" s="210">
        <v>1484.83</v>
      </c>
      <c r="C497" s="210">
        <v>1486.67</v>
      </c>
      <c r="D497" s="54">
        <v>5.3E-3</v>
      </c>
      <c r="E497" s="210">
        <v>28343.8</v>
      </c>
      <c r="F497" s="210">
        <v>28724.05</v>
      </c>
      <c r="G497" s="54">
        <v>2.2100000000000002E-2</v>
      </c>
    </row>
    <row r="498" spans="1:7" x14ac:dyDescent="0.25">
      <c r="A498" s="56">
        <v>44812</v>
      </c>
      <c r="B498" s="210">
        <v>1476.93</v>
      </c>
      <c r="C498" s="210">
        <v>1450.67</v>
      </c>
      <c r="D498" s="54">
        <v>1.8499999999999999E-2</v>
      </c>
      <c r="E498" s="210">
        <v>28109.7</v>
      </c>
      <c r="F498" s="210">
        <v>28102.400000000001</v>
      </c>
      <c r="G498" s="54">
        <v>9.7000000000000003E-3</v>
      </c>
    </row>
    <row r="499" spans="1:7" x14ac:dyDescent="0.25">
      <c r="A499" s="56">
        <v>44811</v>
      </c>
      <c r="B499" s="210">
        <v>1450.13</v>
      </c>
      <c r="C499" s="210">
        <v>1421.33</v>
      </c>
      <c r="D499" s="54">
        <v>1.3100000000000001E-2</v>
      </c>
      <c r="E499" s="210">
        <v>27500.5</v>
      </c>
      <c r="F499" s="210">
        <v>27832.400000000001</v>
      </c>
      <c r="G499" s="54">
        <v>3.2000000000000002E-3</v>
      </c>
    </row>
    <row r="500" spans="1:7" x14ac:dyDescent="0.25">
      <c r="A500" s="56">
        <v>44810</v>
      </c>
      <c r="B500" s="210">
        <v>1431.37</v>
      </c>
      <c r="C500" s="210">
        <v>1445.33</v>
      </c>
      <c r="D500" s="54">
        <v>-5.5999999999999999E-3</v>
      </c>
      <c r="E500" s="210">
        <v>27884.85</v>
      </c>
      <c r="F500" s="210">
        <v>27742.799999999999</v>
      </c>
      <c r="G500" s="54">
        <v>-3.3999999999999998E-3</v>
      </c>
    </row>
    <row r="501" spans="1:7" x14ac:dyDescent="0.25">
      <c r="A501" s="56"/>
      <c r="D501" s="67"/>
    </row>
    <row r="502" spans="1:7" x14ac:dyDescent="0.25">
      <c r="A502" s="56"/>
      <c r="D502" s="67"/>
    </row>
    <row r="503" spans="1:7" x14ac:dyDescent="0.25">
      <c r="A503" s="56"/>
      <c r="D503" s="67"/>
    </row>
    <row r="504" spans="1:7" x14ac:dyDescent="0.25">
      <c r="A504" s="56"/>
      <c r="D504" s="67"/>
    </row>
    <row r="505" spans="1:7" x14ac:dyDescent="0.25">
      <c r="A505" s="56"/>
      <c r="D505" s="67"/>
    </row>
    <row r="506" spans="1:7" x14ac:dyDescent="0.25">
      <c r="A506" s="56"/>
      <c r="D506" s="67"/>
    </row>
    <row r="507" spans="1:7" x14ac:dyDescent="0.25">
      <c r="A507" s="56"/>
      <c r="D507" s="67"/>
    </row>
    <row r="508" spans="1:7" x14ac:dyDescent="0.25">
      <c r="A508" s="56"/>
      <c r="D508" s="67"/>
    </row>
    <row r="509" spans="1:7" x14ac:dyDescent="0.25">
      <c r="D509" s="67"/>
    </row>
    <row r="510" spans="1:7" x14ac:dyDescent="0.25">
      <c r="D510" s="67"/>
    </row>
    <row r="511" spans="1:7" x14ac:dyDescent="0.25">
      <c r="D511" s="67"/>
    </row>
    <row r="512" spans="1:7" x14ac:dyDescent="0.25">
      <c r="D512" s="67"/>
    </row>
    <row r="513" spans="4:4" x14ac:dyDescent="0.25">
      <c r="D513" s="67"/>
    </row>
    <row r="514" spans="4:4" x14ac:dyDescent="0.25">
      <c r="D514" s="67"/>
    </row>
    <row r="515" spans="4:4" x14ac:dyDescent="0.25">
      <c r="D515" s="67"/>
    </row>
    <row r="516" spans="4:4" x14ac:dyDescent="0.25">
      <c r="D516" s="67"/>
    </row>
    <row r="517" spans="4:4" x14ac:dyDescent="0.25">
      <c r="D517" s="67"/>
    </row>
    <row r="518" spans="4:4" x14ac:dyDescent="0.25">
      <c r="D518" s="67"/>
    </row>
    <row r="519" spans="4:4" x14ac:dyDescent="0.25">
      <c r="D519" s="67"/>
    </row>
    <row r="520" spans="4:4" x14ac:dyDescent="0.25">
      <c r="D520" s="67"/>
    </row>
    <row r="521" spans="4:4" x14ac:dyDescent="0.25">
      <c r="D521" s="67"/>
    </row>
    <row r="522" spans="4:4" x14ac:dyDescent="0.25">
      <c r="D522" s="67"/>
    </row>
    <row r="523" spans="4:4" x14ac:dyDescent="0.25">
      <c r="D523" s="67"/>
    </row>
    <row r="524" spans="4:4" x14ac:dyDescent="0.25">
      <c r="D524" s="67"/>
    </row>
    <row r="525" spans="4:4" x14ac:dyDescent="0.25">
      <c r="D525" s="67"/>
    </row>
    <row r="526" spans="4:4" x14ac:dyDescent="0.25">
      <c r="D526" s="67"/>
    </row>
    <row r="527" spans="4:4" x14ac:dyDescent="0.25">
      <c r="D527" s="67"/>
    </row>
    <row r="528" spans="4:4" x14ac:dyDescent="0.25">
      <c r="D528" s="67"/>
    </row>
    <row r="529" spans="1:4" x14ac:dyDescent="0.25">
      <c r="D529" s="67"/>
    </row>
    <row r="530" spans="1:4" x14ac:dyDescent="0.25">
      <c r="D530" s="67"/>
    </row>
    <row r="531" spans="1:4" x14ac:dyDescent="0.25">
      <c r="D531" s="67"/>
    </row>
    <row r="532" spans="1:4" x14ac:dyDescent="0.25">
      <c r="D532" s="67"/>
    </row>
    <row r="533" spans="1:4" x14ac:dyDescent="0.25">
      <c r="D533" s="67"/>
    </row>
    <row r="534" spans="1:4" x14ac:dyDescent="0.25">
      <c r="D534" s="67"/>
    </row>
    <row r="535" spans="1:4" x14ac:dyDescent="0.25">
      <c r="D535" s="67"/>
    </row>
    <row r="536" spans="1:4" x14ac:dyDescent="0.25">
      <c r="D536" s="67"/>
    </row>
    <row r="537" spans="1:4" x14ac:dyDescent="0.25">
      <c r="A537" s="56"/>
      <c r="D537" s="67"/>
    </row>
    <row r="538" spans="1:4" x14ac:dyDescent="0.25">
      <c r="A538" s="56"/>
      <c r="D538" s="67"/>
    </row>
    <row r="539" spans="1:4" x14ac:dyDescent="0.25">
      <c r="A539" s="56"/>
      <c r="D539" s="67"/>
    </row>
    <row r="540" spans="1:4" x14ac:dyDescent="0.25">
      <c r="A540" s="56"/>
      <c r="D540" s="67"/>
    </row>
    <row r="541" spans="1:4" x14ac:dyDescent="0.25">
      <c r="A541" s="56"/>
      <c r="D541" s="67"/>
    </row>
    <row r="542" spans="1:4" x14ac:dyDescent="0.25">
      <c r="A542" s="56"/>
      <c r="D542" s="67"/>
    </row>
    <row r="543" spans="1:4" x14ac:dyDescent="0.25">
      <c r="A543" s="56"/>
      <c r="D543" s="67"/>
    </row>
    <row r="544" spans="1:4" x14ac:dyDescent="0.25">
      <c r="A544" s="56"/>
      <c r="D544" s="67"/>
    </row>
    <row r="545" spans="1:4" x14ac:dyDescent="0.25">
      <c r="A545" s="56"/>
      <c r="D545" s="67"/>
    </row>
    <row r="546" spans="1:4" x14ac:dyDescent="0.25">
      <c r="A546" s="56"/>
      <c r="D546" s="67"/>
    </row>
    <row r="547" spans="1:4" x14ac:dyDescent="0.25">
      <c r="A547" s="56"/>
      <c r="D547" s="67"/>
    </row>
    <row r="548" spans="1:4" x14ac:dyDescent="0.25">
      <c r="A548" s="56"/>
      <c r="D548" s="67"/>
    </row>
    <row r="549" spans="1:4" x14ac:dyDescent="0.25">
      <c r="A549" s="56"/>
      <c r="D549" s="67"/>
    </row>
    <row r="550" spans="1:4" x14ac:dyDescent="0.25">
      <c r="A550" s="56"/>
      <c r="D550" s="67"/>
    </row>
    <row r="551" spans="1:4" x14ac:dyDescent="0.25">
      <c r="A551" s="56"/>
      <c r="D551" s="67"/>
    </row>
    <row r="552" spans="1:4" x14ac:dyDescent="0.25">
      <c r="A552" s="56"/>
      <c r="D552" s="67"/>
    </row>
    <row r="553" spans="1:4" x14ac:dyDescent="0.25">
      <c r="A553" s="56"/>
      <c r="D553" s="67"/>
    </row>
    <row r="554" spans="1:4" x14ac:dyDescent="0.25">
      <c r="A554" s="56"/>
      <c r="D554" s="67"/>
    </row>
    <row r="555" spans="1:4" x14ac:dyDescent="0.25">
      <c r="A555" s="56"/>
      <c r="D555" s="67"/>
    </row>
    <row r="556" spans="1:4" x14ac:dyDescent="0.25">
      <c r="A556" s="56"/>
      <c r="D556" s="67"/>
    </row>
    <row r="557" spans="1:4" x14ac:dyDescent="0.25">
      <c r="A557" s="56"/>
      <c r="D557" s="67"/>
    </row>
    <row r="558" spans="1:4" x14ac:dyDescent="0.25">
      <c r="A558" s="56"/>
      <c r="D558" s="67"/>
    </row>
    <row r="559" spans="1:4" x14ac:dyDescent="0.25">
      <c r="A559" s="56"/>
      <c r="D559" s="67"/>
    </row>
    <row r="560" spans="1:4" x14ac:dyDescent="0.25">
      <c r="A560" s="56"/>
      <c r="D560" s="67"/>
    </row>
    <row r="561" spans="1:4" x14ac:dyDescent="0.25">
      <c r="A561" s="56"/>
      <c r="D561" s="67"/>
    </row>
    <row r="562" spans="1:4" x14ac:dyDescent="0.25">
      <c r="A562" s="56"/>
      <c r="D562" s="67"/>
    </row>
    <row r="563" spans="1:4" x14ac:dyDescent="0.25">
      <c r="A563" s="56"/>
      <c r="D563" s="67"/>
    </row>
    <row r="564" spans="1:4" x14ac:dyDescent="0.25">
      <c r="A564" s="56"/>
      <c r="D564" s="67"/>
    </row>
    <row r="565" spans="1:4" x14ac:dyDescent="0.25">
      <c r="A565" s="56"/>
      <c r="D565" s="67"/>
    </row>
    <row r="566" spans="1:4" x14ac:dyDescent="0.25">
      <c r="A566" s="56"/>
      <c r="D566" s="67"/>
    </row>
    <row r="567" spans="1:4" x14ac:dyDescent="0.25">
      <c r="A567" s="56"/>
      <c r="D567" s="67"/>
    </row>
    <row r="568" spans="1:4" x14ac:dyDescent="0.25">
      <c r="A568" s="56"/>
      <c r="D568" s="67"/>
    </row>
    <row r="569" spans="1:4" x14ac:dyDescent="0.25">
      <c r="A569" s="56"/>
      <c r="D569" s="67"/>
    </row>
    <row r="570" spans="1:4" x14ac:dyDescent="0.25">
      <c r="A570" s="56"/>
      <c r="D570" s="67"/>
    </row>
    <row r="571" spans="1:4" x14ac:dyDescent="0.25">
      <c r="A571" s="56"/>
      <c r="D571" s="67"/>
    </row>
    <row r="572" spans="1:4" x14ac:dyDescent="0.25">
      <c r="A572" s="56"/>
      <c r="D572" s="67"/>
    </row>
    <row r="573" spans="1:4" x14ac:dyDescent="0.25">
      <c r="A573" s="56"/>
      <c r="D573" s="67"/>
    </row>
    <row r="574" spans="1:4" x14ac:dyDescent="0.25">
      <c r="A574" s="56"/>
      <c r="D574" s="67"/>
    </row>
    <row r="575" spans="1:4" x14ac:dyDescent="0.25">
      <c r="A575" s="56"/>
      <c r="D575" s="67"/>
    </row>
    <row r="576" spans="1:4" x14ac:dyDescent="0.25">
      <c r="A576" s="56"/>
      <c r="D576" s="67"/>
    </row>
    <row r="577" spans="1:4" x14ac:dyDescent="0.25">
      <c r="A577" s="56"/>
      <c r="D577" s="67"/>
    </row>
    <row r="578" spans="1:4" x14ac:dyDescent="0.25">
      <c r="A578" s="56"/>
      <c r="D578" s="67"/>
    </row>
    <row r="579" spans="1:4" x14ac:dyDescent="0.25">
      <c r="A579" s="56"/>
      <c r="D579" s="67"/>
    </row>
    <row r="580" spans="1:4" x14ac:dyDescent="0.25">
      <c r="A580" s="56"/>
      <c r="D580" s="67"/>
    </row>
    <row r="581" spans="1:4" x14ac:dyDescent="0.25">
      <c r="A581" s="56"/>
      <c r="D581" s="67"/>
    </row>
    <row r="582" spans="1:4" x14ac:dyDescent="0.25">
      <c r="A582" s="56"/>
      <c r="D582" s="67"/>
    </row>
    <row r="583" spans="1:4" x14ac:dyDescent="0.25">
      <c r="A583" s="56"/>
      <c r="D583" s="67"/>
    </row>
    <row r="584" spans="1:4" x14ac:dyDescent="0.25">
      <c r="A584" s="56"/>
      <c r="D584" s="67"/>
    </row>
    <row r="585" spans="1:4" x14ac:dyDescent="0.25">
      <c r="A585" s="56"/>
      <c r="D585" s="67"/>
    </row>
    <row r="586" spans="1:4" x14ac:dyDescent="0.25">
      <c r="A586" s="56"/>
      <c r="D586" s="67"/>
    </row>
    <row r="587" spans="1:4" x14ac:dyDescent="0.25">
      <c r="A587" s="56"/>
      <c r="D587" s="67"/>
    </row>
    <row r="588" spans="1:4" x14ac:dyDescent="0.25">
      <c r="A588" s="56"/>
      <c r="D588" s="67"/>
    </row>
    <row r="589" spans="1:4" x14ac:dyDescent="0.25">
      <c r="A589" s="56"/>
      <c r="D589" s="67"/>
    </row>
    <row r="590" spans="1:4" x14ac:dyDescent="0.25">
      <c r="A590" s="56"/>
      <c r="D590" s="67"/>
    </row>
    <row r="591" spans="1:4" x14ac:dyDescent="0.25">
      <c r="A591" s="56"/>
      <c r="D591" s="67"/>
    </row>
    <row r="592" spans="1:4" x14ac:dyDescent="0.25">
      <c r="A592" s="56"/>
      <c r="D592" s="67"/>
    </row>
    <row r="593" spans="1:4" x14ac:dyDescent="0.25">
      <c r="A593" s="56"/>
      <c r="D593" s="67"/>
    </row>
    <row r="594" spans="1:4" x14ac:dyDescent="0.25">
      <c r="A594" s="56"/>
      <c r="D594" s="67"/>
    </row>
    <row r="595" spans="1:4" x14ac:dyDescent="0.25">
      <c r="A595" s="56"/>
      <c r="D595" s="67"/>
    </row>
    <row r="596" spans="1:4" x14ac:dyDescent="0.25">
      <c r="A596" s="56"/>
      <c r="D596" s="67"/>
    </row>
    <row r="597" spans="1:4" x14ac:dyDescent="0.25">
      <c r="A597" s="56"/>
      <c r="D597" s="67"/>
    </row>
    <row r="598" spans="1:4" x14ac:dyDescent="0.25">
      <c r="A598" s="56"/>
      <c r="D598" s="67"/>
    </row>
    <row r="599" spans="1:4" x14ac:dyDescent="0.25">
      <c r="A599" s="56"/>
      <c r="D599" s="67"/>
    </row>
    <row r="600" spans="1:4" x14ac:dyDescent="0.25">
      <c r="A600" s="56"/>
      <c r="D600" s="67"/>
    </row>
    <row r="601" spans="1:4" x14ac:dyDescent="0.25">
      <c r="A601" s="56"/>
      <c r="D601" s="67"/>
    </row>
    <row r="602" spans="1:4" x14ac:dyDescent="0.25">
      <c r="A602" s="56"/>
      <c r="D602" s="67"/>
    </row>
    <row r="603" spans="1:4" x14ac:dyDescent="0.25">
      <c r="A603" s="56"/>
      <c r="D603" s="67"/>
    </row>
    <row r="604" spans="1:4" x14ac:dyDescent="0.25">
      <c r="A604" s="56"/>
      <c r="D604" s="67"/>
    </row>
    <row r="605" spans="1:4" x14ac:dyDescent="0.25">
      <c r="A605" s="56"/>
      <c r="D605" s="67"/>
    </row>
    <row r="606" spans="1:4" x14ac:dyDescent="0.25">
      <c r="A606" s="56"/>
      <c r="D606" s="67"/>
    </row>
    <row r="607" spans="1:4" x14ac:dyDescent="0.25">
      <c r="A607" s="56"/>
      <c r="D607" s="67"/>
    </row>
    <row r="608" spans="1:4" x14ac:dyDescent="0.25">
      <c r="A608" s="56"/>
      <c r="D608" s="67"/>
    </row>
    <row r="609" spans="1:4" x14ac:dyDescent="0.25">
      <c r="A609" s="56"/>
      <c r="D609" s="67"/>
    </row>
    <row r="610" spans="1:4" x14ac:dyDescent="0.25">
      <c r="A610" s="56"/>
      <c r="D610" s="67"/>
    </row>
    <row r="611" spans="1:4" x14ac:dyDescent="0.25">
      <c r="A611" s="56"/>
      <c r="D611" s="67"/>
    </row>
    <row r="612" spans="1:4" x14ac:dyDescent="0.25">
      <c r="A612" s="56"/>
      <c r="D612" s="67"/>
    </row>
    <row r="613" spans="1:4" x14ac:dyDescent="0.25">
      <c r="A613" s="56"/>
      <c r="D613" s="67"/>
    </row>
    <row r="614" spans="1:4" x14ac:dyDescent="0.25">
      <c r="A614" s="56"/>
      <c r="D614" s="67"/>
    </row>
    <row r="615" spans="1:4" x14ac:dyDescent="0.25">
      <c r="A615" s="56"/>
      <c r="D615" s="67"/>
    </row>
    <row r="616" spans="1:4" x14ac:dyDescent="0.25">
      <c r="A616" s="56"/>
      <c r="D616" s="67"/>
    </row>
    <row r="617" spans="1:4" x14ac:dyDescent="0.25">
      <c r="A617" s="56"/>
      <c r="D617" s="67"/>
    </row>
    <row r="618" spans="1:4" x14ac:dyDescent="0.25">
      <c r="A618" s="56"/>
      <c r="D618" s="67"/>
    </row>
    <row r="619" spans="1:4" x14ac:dyDescent="0.25">
      <c r="A619" s="56"/>
      <c r="D619" s="67"/>
    </row>
    <row r="620" spans="1:4" x14ac:dyDescent="0.25">
      <c r="A620" s="56"/>
      <c r="D620" s="67"/>
    </row>
    <row r="621" spans="1:4" x14ac:dyDescent="0.25">
      <c r="A621" s="56"/>
      <c r="D621" s="67"/>
    </row>
    <row r="622" spans="1:4" x14ac:dyDescent="0.25">
      <c r="A622" s="56"/>
      <c r="D622" s="67"/>
    </row>
    <row r="623" spans="1:4" x14ac:dyDescent="0.25">
      <c r="A623" s="56"/>
      <c r="D623" s="67"/>
    </row>
    <row r="624" spans="1:4" x14ac:dyDescent="0.25">
      <c r="A624" s="56"/>
      <c r="D624" s="67"/>
    </row>
    <row r="625" spans="1:4" x14ac:dyDescent="0.25">
      <c r="A625" s="56"/>
      <c r="D625" s="67"/>
    </row>
    <row r="626" spans="1:4" x14ac:dyDescent="0.25">
      <c r="A626" s="56"/>
      <c r="D626" s="67"/>
    </row>
    <row r="627" spans="1:4" x14ac:dyDescent="0.25">
      <c r="A627" s="56"/>
      <c r="D627" s="67"/>
    </row>
    <row r="628" spans="1:4" x14ac:dyDescent="0.25">
      <c r="A628" s="56"/>
      <c r="D628" s="67"/>
    </row>
    <row r="629" spans="1:4" x14ac:dyDescent="0.25">
      <c r="A629" s="56"/>
      <c r="D629" s="67"/>
    </row>
    <row r="630" spans="1:4" x14ac:dyDescent="0.25">
      <c r="A630" s="56"/>
      <c r="D630" s="67"/>
    </row>
    <row r="631" spans="1:4" x14ac:dyDescent="0.25">
      <c r="A631" s="56"/>
      <c r="D631" s="67"/>
    </row>
    <row r="632" spans="1:4" x14ac:dyDescent="0.25">
      <c r="A632" s="56"/>
      <c r="D632" s="67"/>
    </row>
    <row r="633" spans="1:4" x14ac:dyDescent="0.25">
      <c r="A633" s="56"/>
      <c r="D633" s="67"/>
    </row>
    <row r="634" spans="1:4" x14ac:dyDescent="0.25">
      <c r="A634" s="56"/>
      <c r="D634" s="67"/>
    </row>
    <row r="635" spans="1:4" x14ac:dyDescent="0.25">
      <c r="A635" s="56"/>
      <c r="D635" s="67"/>
    </row>
    <row r="636" spans="1:4" x14ac:dyDescent="0.25">
      <c r="A636" s="56"/>
      <c r="D636" s="67"/>
    </row>
    <row r="637" spans="1:4" x14ac:dyDescent="0.25">
      <c r="A637" s="56"/>
      <c r="D637" s="67"/>
    </row>
    <row r="638" spans="1:4" x14ac:dyDescent="0.25">
      <c r="A638" s="56"/>
      <c r="D638" s="67"/>
    </row>
    <row r="639" spans="1:4" x14ac:dyDescent="0.25">
      <c r="A639" s="56"/>
      <c r="D639" s="67"/>
    </row>
    <row r="640" spans="1:4" x14ac:dyDescent="0.25">
      <c r="A640" s="56"/>
      <c r="D640" s="67"/>
    </row>
    <row r="641" spans="1:4" x14ac:dyDescent="0.25">
      <c r="A641" s="56"/>
      <c r="D641" s="67"/>
    </row>
    <row r="642" spans="1:4" x14ac:dyDescent="0.25">
      <c r="A642" s="56"/>
      <c r="D642" s="67"/>
    </row>
    <row r="643" spans="1:4" x14ac:dyDescent="0.25">
      <c r="A643" s="56"/>
      <c r="D643" s="67"/>
    </row>
    <row r="644" spans="1:4" x14ac:dyDescent="0.25">
      <c r="A644" s="56"/>
      <c r="D644" s="67"/>
    </row>
    <row r="645" spans="1:4" x14ac:dyDescent="0.25">
      <c r="A645" s="56"/>
      <c r="D645" s="67"/>
    </row>
    <row r="646" spans="1:4" x14ac:dyDescent="0.25">
      <c r="A646" s="56"/>
      <c r="D646" s="67"/>
    </row>
    <row r="647" spans="1:4" x14ac:dyDescent="0.25">
      <c r="A647" s="56"/>
      <c r="D647" s="67"/>
    </row>
    <row r="648" spans="1:4" x14ac:dyDescent="0.25">
      <c r="A648" s="56"/>
      <c r="D648" s="67"/>
    </row>
    <row r="649" spans="1:4" x14ac:dyDescent="0.25">
      <c r="A649" s="56"/>
      <c r="D649" s="67"/>
    </row>
    <row r="650" spans="1:4" x14ac:dyDescent="0.25">
      <c r="A650" s="56"/>
      <c r="D650" s="67"/>
    </row>
    <row r="651" spans="1:4" x14ac:dyDescent="0.25">
      <c r="A651" s="56"/>
      <c r="D651" s="67"/>
    </row>
    <row r="652" spans="1:4" x14ac:dyDescent="0.25">
      <c r="A652" s="56"/>
      <c r="D652" s="67"/>
    </row>
    <row r="653" spans="1:4" x14ac:dyDescent="0.25">
      <c r="A653" s="56"/>
      <c r="D653" s="67"/>
    </row>
    <row r="654" spans="1:4" x14ac:dyDescent="0.25">
      <c r="A654" s="56"/>
      <c r="D654" s="67"/>
    </row>
    <row r="655" spans="1:4" x14ac:dyDescent="0.25">
      <c r="A655" s="56"/>
      <c r="D655" s="67"/>
    </row>
    <row r="656" spans="1:4" x14ac:dyDescent="0.25">
      <c r="A656" s="56"/>
      <c r="D656" s="67"/>
    </row>
    <row r="657" spans="1:4" x14ac:dyDescent="0.25">
      <c r="A657" s="56"/>
      <c r="D657" s="67"/>
    </row>
    <row r="658" spans="1:4" x14ac:dyDescent="0.25">
      <c r="A658" s="56"/>
      <c r="D658" s="67"/>
    </row>
    <row r="659" spans="1:4" x14ac:dyDescent="0.25">
      <c r="A659" s="56"/>
      <c r="D659" s="67"/>
    </row>
    <row r="660" spans="1:4" x14ac:dyDescent="0.25">
      <c r="A660" s="56"/>
      <c r="D660" s="67"/>
    </row>
    <row r="661" spans="1:4" x14ac:dyDescent="0.25">
      <c r="A661" s="56"/>
      <c r="D661" s="67"/>
    </row>
    <row r="662" spans="1:4" x14ac:dyDescent="0.25">
      <c r="A662" s="56"/>
      <c r="D662" s="67"/>
    </row>
    <row r="663" spans="1:4" x14ac:dyDescent="0.25">
      <c r="A663" s="56"/>
      <c r="D663" s="67"/>
    </row>
    <row r="664" spans="1:4" x14ac:dyDescent="0.25">
      <c r="A664" s="56"/>
      <c r="D664" s="67"/>
    </row>
    <row r="665" spans="1:4" x14ac:dyDescent="0.25">
      <c r="A665" s="56"/>
      <c r="D665" s="67"/>
    </row>
    <row r="666" spans="1:4" x14ac:dyDescent="0.25">
      <c r="A666" s="56"/>
      <c r="D666" s="67"/>
    </row>
    <row r="667" spans="1:4" x14ac:dyDescent="0.25">
      <c r="A667" s="56"/>
      <c r="D667" s="67"/>
    </row>
    <row r="668" spans="1:4" x14ac:dyDescent="0.25">
      <c r="A668" s="56"/>
      <c r="D668" s="67"/>
    </row>
    <row r="669" spans="1:4" x14ac:dyDescent="0.25">
      <c r="A669" s="56"/>
      <c r="D669" s="67"/>
    </row>
    <row r="670" spans="1:4" x14ac:dyDescent="0.25">
      <c r="A670" s="56"/>
      <c r="D670" s="67"/>
    </row>
    <row r="671" spans="1:4" x14ac:dyDescent="0.25">
      <c r="A671" s="56"/>
      <c r="D671" s="67"/>
    </row>
    <row r="672" spans="1:4" x14ac:dyDescent="0.25">
      <c r="A672" s="56"/>
      <c r="D672" s="67"/>
    </row>
    <row r="673" spans="1:4" x14ac:dyDescent="0.25">
      <c r="A673" s="56"/>
      <c r="D673" s="67"/>
    </row>
    <row r="674" spans="1:4" x14ac:dyDescent="0.25">
      <c r="A674" s="56"/>
      <c r="D674" s="67"/>
    </row>
    <row r="675" spans="1:4" x14ac:dyDescent="0.25">
      <c r="A675" s="56"/>
      <c r="D675" s="67"/>
    </row>
    <row r="676" spans="1:4" x14ac:dyDescent="0.25">
      <c r="A676" s="56"/>
      <c r="D676" s="67"/>
    </row>
    <row r="677" spans="1:4" x14ac:dyDescent="0.25">
      <c r="A677" s="56"/>
      <c r="D677" s="67"/>
    </row>
    <row r="678" spans="1:4" x14ac:dyDescent="0.25">
      <c r="A678" s="56"/>
      <c r="D678" s="67"/>
    </row>
    <row r="679" spans="1:4" x14ac:dyDescent="0.25">
      <c r="A679" s="56"/>
      <c r="D679" s="67"/>
    </row>
    <row r="680" spans="1:4" x14ac:dyDescent="0.25">
      <c r="A680" s="56"/>
      <c r="D680" s="67"/>
    </row>
    <row r="681" spans="1:4" x14ac:dyDescent="0.25">
      <c r="A681" s="56"/>
      <c r="D681" s="67"/>
    </row>
    <row r="682" spans="1:4" x14ac:dyDescent="0.25">
      <c r="A682" s="56"/>
      <c r="D682" s="67"/>
    </row>
    <row r="683" spans="1:4" x14ac:dyDescent="0.25">
      <c r="A683" s="56"/>
      <c r="D683" s="67"/>
    </row>
    <row r="684" spans="1:4" x14ac:dyDescent="0.25">
      <c r="A684" s="56"/>
      <c r="D684" s="67"/>
    </row>
    <row r="685" spans="1:4" x14ac:dyDescent="0.25">
      <c r="A685" s="56"/>
      <c r="D685" s="67"/>
    </row>
    <row r="686" spans="1:4" x14ac:dyDescent="0.25">
      <c r="A686" s="56"/>
      <c r="D686" s="67"/>
    </row>
    <row r="687" spans="1:4" x14ac:dyDescent="0.25">
      <c r="A687" s="56"/>
      <c r="D687" s="67"/>
    </row>
    <row r="688" spans="1:4" x14ac:dyDescent="0.25">
      <c r="A688" s="56"/>
      <c r="D688" s="67"/>
    </row>
    <row r="689" spans="1:4" x14ac:dyDescent="0.25">
      <c r="A689" s="56"/>
      <c r="D689" s="67"/>
    </row>
    <row r="690" spans="1:4" x14ac:dyDescent="0.25">
      <c r="A690" s="56"/>
      <c r="D690" s="67"/>
    </row>
    <row r="691" spans="1:4" x14ac:dyDescent="0.25">
      <c r="A691" s="56"/>
      <c r="D691" s="67"/>
    </row>
    <row r="692" spans="1:4" x14ac:dyDescent="0.25">
      <c r="A692" s="56"/>
      <c r="D692" s="67"/>
    </row>
    <row r="693" spans="1:4" x14ac:dyDescent="0.25">
      <c r="A693" s="56"/>
      <c r="D693" s="67"/>
    </row>
    <row r="694" spans="1:4" x14ac:dyDescent="0.25">
      <c r="A694" s="56"/>
      <c r="D694" s="67"/>
    </row>
    <row r="695" spans="1:4" x14ac:dyDescent="0.25">
      <c r="A695" s="56"/>
      <c r="D695" s="67"/>
    </row>
    <row r="696" spans="1:4" x14ac:dyDescent="0.25">
      <c r="A696" s="56"/>
      <c r="D696" s="67"/>
    </row>
    <row r="697" spans="1:4" x14ac:dyDescent="0.25">
      <c r="A697" s="56"/>
      <c r="D697" s="67"/>
    </row>
    <row r="698" spans="1:4" x14ac:dyDescent="0.25">
      <c r="A698" s="56"/>
      <c r="D698" s="67"/>
    </row>
    <row r="699" spans="1:4" x14ac:dyDescent="0.25">
      <c r="A699" s="56"/>
      <c r="D699" s="67"/>
    </row>
    <row r="700" spans="1:4" x14ac:dyDescent="0.25">
      <c r="A700" s="56"/>
      <c r="D700" s="67"/>
    </row>
    <row r="701" spans="1:4" x14ac:dyDescent="0.25">
      <c r="A701" s="56"/>
      <c r="D701" s="67"/>
    </row>
    <row r="702" spans="1:4" x14ac:dyDescent="0.25">
      <c r="A702" s="56"/>
      <c r="D702" s="67"/>
    </row>
    <row r="703" spans="1:4" x14ac:dyDescent="0.25">
      <c r="A703" s="56"/>
      <c r="D703" s="67"/>
    </row>
    <row r="704" spans="1:4" x14ac:dyDescent="0.25">
      <c r="A704" s="56"/>
      <c r="D704" s="67"/>
    </row>
    <row r="705" spans="1:4" x14ac:dyDescent="0.25">
      <c r="A705" s="56"/>
      <c r="D705" s="67"/>
    </row>
    <row r="706" spans="1:4" x14ac:dyDescent="0.25">
      <c r="A706" s="56"/>
      <c r="D706" s="67"/>
    </row>
    <row r="707" spans="1:4" x14ac:dyDescent="0.25">
      <c r="A707" s="56"/>
      <c r="D707" s="67"/>
    </row>
    <row r="708" spans="1:4" x14ac:dyDescent="0.25">
      <c r="A708" s="56"/>
      <c r="D708" s="67"/>
    </row>
    <row r="709" spans="1:4" x14ac:dyDescent="0.25">
      <c r="A709" s="56"/>
      <c r="D709" s="67"/>
    </row>
    <row r="710" spans="1:4" x14ac:dyDescent="0.25">
      <c r="A710" s="56"/>
      <c r="D710" s="67"/>
    </row>
    <row r="711" spans="1:4" x14ac:dyDescent="0.25">
      <c r="A711" s="56"/>
      <c r="D711" s="67"/>
    </row>
    <row r="712" spans="1:4" x14ac:dyDescent="0.25">
      <c r="A712" s="56"/>
      <c r="D712" s="67"/>
    </row>
    <row r="713" spans="1:4" x14ac:dyDescent="0.25">
      <c r="A713" s="56"/>
      <c r="D713" s="67"/>
    </row>
    <row r="714" spans="1:4" x14ac:dyDescent="0.25">
      <c r="A714" s="56"/>
      <c r="D714" s="67"/>
    </row>
    <row r="715" spans="1:4" x14ac:dyDescent="0.25">
      <c r="A715" s="56"/>
      <c r="D715" s="67"/>
    </row>
    <row r="716" spans="1:4" x14ac:dyDescent="0.25">
      <c r="A716" s="56"/>
      <c r="D716" s="67"/>
    </row>
    <row r="717" spans="1:4" x14ac:dyDescent="0.25">
      <c r="A717" s="56"/>
      <c r="D717" s="67"/>
    </row>
    <row r="718" spans="1:4" x14ac:dyDescent="0.25">
      <c r="A718" s="56"/>
      <c r="D718" s="67"/>
    </row>
    <row r="719" spans="1:4" x14ac:dyDescent="0.25">
      <c r="A719" s="56"/>
      <c r="D719" s="67"/>
    </row>
    <row r="720" spans="1:4" x14ac:dyDescent="0.25">
      <c r="A720" s="56"/>
      <c r="D720" s="67"/>
    </row>
    <row r="721" spans="1:4" x14ac:dyDescent="0.25">
      <c r="A721" s="56"/>
      <c r="D721" s="67"/>
    </row>
    <row r="722" spans="1:4" x14ac:dyDescent="0.25">
      <c r="A722" s="56"/>
      <c r="D722" s="67"/>
    </row>
    <row r="723" spans="1:4" x14ac:dyDescent="0.25">
      <c r="A723" s="56"/>
      <c r="D723" s="67"/>
    </row>
    <row r="724" spans="1:4" x14ac:dyDescent="0.25">
      <c r="A724" s="56"/>
      <c r="D724" s="67"/>
    </row>
    <row r="725" spans="1:4" x14ac:dyDescent="0.25">
      <c r="A725" s="56"/>
      <c r="D725" s="67"/>
    </row>
    <row r="726" spans="1:4" x14ac:dyDescent="0.25">
      <c r="A726" s="56"/>
      <c r="D726" s="67"/>
    </row>
    <row r="727" spans="1:4" x14ac:dyDescent="0.25">
      <c r="A727" s="56"/>
      <c r="D727" s="67"/>
    </row>
    <row r="728" spans="1:4" x14ac:dyDescent="0.25">
      <c r="A728" s="56"/>
      <c r="D728" s="67"/>
    </row>
    <row r="729" spans="1:4" x14ac:dyDescent="0.25">
      <c r="A729" s="56"/>
      <c r="D729" s="67"/>
    </row>
    <row r="730" spans="1:4" x14ac:dyDescent="0.25">
      <c r="A730" s="56"/>
      <c r="D730" s="67"/>
    </row>
    <row r="731" spans="1:4" x14ac:dyDescent="0.25">
      <c r="A731" s="56"/>
      <c r="D731" s="67"/>
    </row>
    <row r="732" spans="1:4" x14ac:dyDescent="0.25">
      <c r="A732" s="56"/>
      <c r="D732" s="67"/>
    </row>
    <row r="733" spans="1:4" x14ac:dyDescent="0.25">
      <c r="A733" s="56"/>
      <c r="D733" s="67"/>
    </row>
    <row r="734" spans="1:4" x14ac:dyDescent="0.25">
      <c r="A734" s="56"/>
      <c r="D734" s="67"/>
    </row>
    <row r="735" spans="1:4" x14ac:dyDescent="0.25">
      <c r="A735" s="56"/>
      <c r="D735" s="67"/>
    </row>
    <row r="736" spans="1:4" x14ac:dyDescent="0.25">
      <c r="A736" s="56"/>
      <c r="D736" s="67"/>
    </row>
    <row r="737" spans="1:4" x14ac:dyDescent="0.25">
      <c r="A737" s="56"/>
      <c r="D737" s="67"/>
    </row>
    <row r="738" spans="1:4" x14ac:dyDescent="0.25">
      <c r="A738" s="56"/>
      <c r="D738" s="67"/>
    </row>
    <row r="739" spans="1:4" x14ac:dyDescent="0.25">
      <c r="A739" s="56"/>
      <c r="D739" s="67"/>
    </row>
    <row r="740" spans="1:4" x14ac:dyDescent="0.25">
      <c r="A740" s="56"/>
      <c r="D740" s="67"/>
    </row>
    <row r="741" spans="1:4" x14ac:dyDescent="0.25">
      <c r="A741" s="56"/>
      <c r="D741" s="67"/>
    </row>
    <row r="742" spans="1:4" x14ac:dyDescent="0.25">
      <c r="A742" s="56"/>
      <c r="D742" s="67"/>
    </row>
    <row r="743" spans="1:4" x14ac:dyDescent="0.25">
      <c r="A743" s="56"/>
      <c r="D743" s="67"/>
    </row>
    <row r="744" spans="1:4" x14ac:dyDescent="0.25">
      <c r="A744" s="56"/>
      <c r="D744" s="67"/>
    </row>
  </sheetData>
  <mergeCells count="2">
    <mergeCell ref="I1:J1"/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96F4D-11B6-497F-A944-D94C9E13E73F}">
  <dimension ref="A1:AG51"/>
  <sheetViews>
    <sheetView showGridLines="0" zoomScale="80" zoomScaleNormal="70" workbookViewId="0">
      <pane xSplit="1" ySplit="2" topLeftCell="V3" activePane="bottomRight" state="frozen"/>
      <selection activeCell="N5" sqref="N5"/>
      <selection pane="topRight" activeCell="N5" sqref="N5"/>
      <selection pane="bottomLeft" activeCell="N5" sqref="N5"/>
      <selection pane="bottomRight" activeCell="AB4" sqref="AB4"/>
    </sheetView>
  </sheetViews>
  <sheetFormatPr defaultRowHeight="15" x14ac:dyDescent="0.25"/>
  <cols>
    <col min="1" max="1" width="42.42578125" customWidth="1"/>
    <col min="2" max="2" width="9.140625" customWidth="1"/>
    <col min="7" max="7" width="11.28515625" bestFit="1" customWidth="1"/>
    <col min="8" max="8" width="13" bestFit="1" customWidth="1"/>
    <col min="9" max="10" width="13.7109375" bestFit="1" customWidth="1"/>
    <col min="11" max="12" width="13" bestFit="1" customWidth="1"/>
    <col min="13" max="13" width="3.140625" customWidth="1"/>
    <col min="14" max="14" width="34.42578125" bestFit="1" customWidth="1"/>
    <col min="15" max="15" width="10" bestFit="1" customWidth="1"/>
    <col min="19" max="19" width="9.140625" customWidth="1"/>
    <col min="20" max="20" width="3.140625" customWidth="1"/>
    <col min="21" max="21" width="29.42578125" bestFit="1" customWidth="1"/>
    <col min="22" max="22" width="13" bestFit="1" customWidth="1"/>
    <col min="24" max="24" width="24.28515625" customWidth="1"/>
    <col min="25" max="25" width="13" bestFit="1" customWidth="1"/>
    <col min="27" max="27" width="6.85546875" bestFit="1" customWidth="1"/>
  </cols>
  <sheetData>
    <row r="1" spans="1:33" ht="15.75" thickBot="1" x14ac:dyDescent="0.3">
      <c r="A1" s="107"/>
      <c r="B1" s="298" t="s">
        <v>138</v>
      </c>
      <c r="C1" s="299"/>
      <c r="D1" s="299"/>
      <c r="E1" s="299"/>
      <c r="F1" s="300"/>
      <c r="G1" s="109" t="s">
        <v>124</v>
      </c>
      <c r="H1" s="109"/>
      <c r="I1" s="109" t="s">
        <v>137</v>
      </c>
      <c r="J1" s="109"/>
      <c r="K1" s="217"/>
      <c r="L1" s="110"/>
      <c r="N1" s="301" t="s">
        <v>134</v>
      </c>
      <c r="O1" s="302"/>
      <c r="P1" s="302"/>
      <c r="Q1" s="302"/>
      <c r="R1" s="302"/>
      <c r="S1" s="303"/>
      <c r="U1" s="201" t="s">
        <v>133</v>
      </c>
      <c r="V1" s="202"/>
      <c r="X1" s="201" t="s">
        <v>149</v>
      </c>
      <c r="Y1" s="202"/>
      <c r="AA1" s="337" t="s">
        <v>231</v>
      </c>
      <c r="AB1" s="352"/>
      <c r="AC1" s="352"/>
      <c r="AD1" s="352"/>
      <c r="AE1" s="352"/>
      <c r="AF1" s="352"/>
      <c r="AG1" s="338"/>
    </row>
    <row r="2" spans="1:33" ht="15.75" thickBot="1" x14ac:dyDescent="0.3">
      <c r="A2" s="223" t="s">
        <v>5</v>
      </c>
      <c r="B2" s="224">
        <v>43921</v>
      </c>
      <c r="C2" s="224">
        <v>44286</v>
      </c>
      <c r="D2" s="224">
        <v>44651</v>
      </c>
      <c r="E2" s="224">
        <v>45016</v>
      </c>
      <c r="F2" s="224">
        <v>45382</v>
      </c>
      <c r="G2" s="224" t="s">
        <v>194</v>
      </c>
      <c r="H2" s="224">
        <v>45747</v>
      </c>
      <c r="I2" s="224">
        <v>46112</v>
      </c>
      <c r="J2" s="225">
        <v>46477</v>
      </c>
      <c r="K2" s="225">
        <v>46843</v>
      </c>
      <c r="L2" s="225">
        <v>47208</v>
      </c>
      <c r="N2" s="119"/>
      <c r="O2" s="101">
        <v>45747</v>
      </c>
      <c r="P2" s="101">
        <v>46112</v>
      </c>
      <c r="Q2" s="101">
        <v>46477</v>
      </c>
      <c r="R2" s="101">
        <v>46843</v>
      </c>
      <c r="S2" s="111">
        <v>47208</v>
      </c>
      <c r="U2" s="121" t="s">
        <v>97</v>
      </c>
      <c r="V2" s="314">
        <f>'WACC Calculations'!J16</f>
        <v>0.12978172661312337</v>
      </c>
      <c r="W2" s="58"/>
      <c r="X2" s="123" t="s">
        <v>98</v>
      </c>
      <c r="Y2" s="131"/>
      <c r="AA2" s="355"/>
      <c r="AB2" s="355"/>
      <c r="AC2" s="356" t="s">
        <v>135</v>
      </c>
      <c r="AD2" s="356"/>
      <c r="AE2" s="356"/>
      <c r="AF2" s="356"/>
      <c r="AG2" s="357"/>
    </row>
    <row r="3" spans="1:33" ht="15.75" thickBot="1" x14ac:dyDescent="0.3">
      <c r="A3" s="242" t="s">
        <v>189</v>
      </c>
      <c r="B3" s="243">
        <f>'Data Sheet'!B17</f>
        <v>1436.04</v>
      </c>
      <c r="C3" s="243">
        <f>'Data Sheet'!C17</f>
        <v>1564.49</v>
      </c>
      <c r="D3" s="243">
        <f>'Data Sheet'!D17</f>
        <v>2160.35</v>
      </c>
      <c r="E3" s="243">
        <f>'Data Sheet'!E17</f>
        <v>2648.71</v>
      </c>
      <c r="F3" s="243">
        <f>'Data Sheet'!F17</f>
        <v>2925.54</v>
      </c>
      <c r="G3" s="244"/>
      <c r="H3" s="244">
        <f>F3*(1+H4)</f>
        <v>3627.6695999999997</v>
      </c>
      <c r="I3" s="244">
        <f>H3*(1+I4)</f>
        <v>4389.4802159999999</v>
      </c>
      <c r="J3" s="244">
        <f>I3*(1+J4)</f>
        <v>5223.4814570399994</v>
      </c>
      <c r="K3" s="244">
        <f>J3*(1+K4)</f>
        <v>6163.708119307199</v>
      </c>
      <c r="L3" s="245">
        <f>K3*(1+L4)</f>
        <v>7273.1755807824948</v>
      </c>
      <c r="N3" s="276" t="s">
        <v>173</v>
      </c>
      <c r="O3" s="282">
        <v>0.24</v>
      </c>
      <c r="P3" s="282">
        <f>O3-3%</f>
        <v>0.21</v>
      </c>
      <c r="Q3" s="282">
        <f>P3-2%</f>
        <v>0.19</v>
      </c>
      <c r="R3" s="282">
        <f>Q3-1%</f>
        <v>0.18</v>
      </c>
      <c r="S3" s="212">
        <f>R3</f>
        <v>0.18</v>
      </c>
      <c r="U3" s="116"/>
      <c r="V3" s="122"/>
      <c r="W3" s="59"/>
      <c r="X3" s="130" t="s">
        <v>99</v>
      </c>
      <c r="Y3" s="132">
        <f>SUM(H51:K51)+V9</f>
        <v>18508.520835077499</v>
      </c>
      <c r="AA3" s="353"/>
      <c r="AB3" s="358">
        <f>Y10</f>
        <v>4030.4610732677156</v>
      </c>
      <c r="AC3" s="346">
        <v>0.3</v>
      </c>
      <c r="AD3" s="346">
        <v>0.24</v>
      </c>
      <c r="AE3" s="346">
        <v>0.2</v>
      </c>
      <c r="AF3" s="346">
        <v>0.18</v>
      </c>
      <c r="AG3" s="347">
        <v>0.15</v>
      </c>
    </row>
    <row r="4" spans="1:33" ht="30" x14ac:dyDescent="0.25">
      <c r="A4" s="246" t="s">
        <v>190</v>
      </c>
      <c r="B4" s="236"/>
      <c r="C4" s="236">
        <f>C3/B3-1</f>
        <v>8.9447369154062706E-2</v>
      </c>
      <c r="D4" s="236">
        <f t="shared" ref="D4:F4" si="0">D3/C3-1</f>
        <v>0.38086532991581912</v>
      </c>
      <c r="E4" s="236">
        <f t="shared" si="0"/>
        <v>0.22605596315411858</v>
      </c>
      <c r="F4" s="236">
        <f t="shared" si="0"/>
        <v>0.10451502807026825</v>
      </c>
      <c r="G4" s="177"/>
      <c r="H4" s="177">
        <f>O3</f>
        <v>0.24</v>
      </c>
      <c r="I4" s="175">
        <f>H4-3%</f>
        <v>0.21</v>
      </c>
      <c r="J4" s="177">
        <f>I4-2%</f>
        <v>0.19</v>
      </c>
      <c r="K4" s="175">
        <f>J4-1%</f>
        <v>0.18</v>
      </c>
      <c r="L4" s="178">
        <f>S3</f>
        <v>0.18</v>
      </c>
      <c r="M4" s="53"/>
      <c r="N4" s="276" t="s">
        <v>193</v>
      </c>
      <c r="O4" s="283" t="s">
        <v>207</v>
      </c>
      <c r="P4" s="232"/>
      <c r="Q4" s="232"/>
      <c r="R4" s="232"/>
      <c r="S4" s="234"/>
      <c r="U4" s="123" t="s">
        <v>132</v>
      </c>
      <c r="V4" s="124"/>
      <c r="W4" s="59"/>
      <c r="X4" s="126" t="s">
        <v>100</v>
      </c>
      <c r="Y4" s="133">
        <f>'Balance Sheet Forecast'!F6</f>
        <v>0</v>
      </c>
      <c r="AA4" s="354" t="s">
        <v>92</v>
      </c>
      <c r="AB4" s="359">
        <v>0.1198</v>
      </c>
      <c r="AC4" s="211">
        <f t="dataTable" ref="AC4:AG8" dt2D="1" dtr="1" r1="O3" r2="V2"/>
        <v>6944.7688727771329</v>
      </c>
      <c r="AD4" s="211">
        <v>4773.8303607394255</v>
      </c>
      <c r="AE4" s="211">
        <v>3549.2490161835794</v>
      </c>
      <c r="AF4" s="211">
        <v>2997.1180170549728</v>
      </c>
      <c r="AG4" s="350">
        <v>2238.2871089002274</v>
      </c>
    </row>
    <row r="5" spans="1:33" x14ac:dyDescent="0.25">
      <c r="A5" s="170"/>
      <c r="B5" s="171"/>
      <c r="C5" s="171"/>
      <c r="D5" s="171"/>
      <c r="E5" s="171"/>
      <c r="F5" s="171"/>
      <c r="G5" s="177"/>
      <c r="H5" s="171"/>
      <c r="I5" s="171"/>
      <c r="J5" s="171"/>
      <c r="K5" s="171"/>
      <c r="L5" s="172"/>
      <c r="N5" s="276"/>
      <c r="O5" s="232"/>
      <c r="P5" s="232"/>
      <c r="Q5" s="232"/>
      <c r="R5" s="232"/>
      <c r="S5" s="234"/>
      <c r="U5" s="116" t="s">
        <v>101</v>
      </c>
      <c r="V5" s="125">
        <f>L51</f>
        <v>1428.4680551338531</v>
      </c>
      <c r="W5" s="59"/>
      <c r="X5" s="126" t="s">
        <v>102</v>
      </c>
      <c r="Y5" s="133">
        <f>'Balance Sheet Forecast'!F19</f>
        <v>692.09</v>
      </c>
      <c r="AA5" s="354"/>
      <c r="AB5" s="359">
        <v>0.12479999999999999</v>
      </c>
      <c r="AC5" s="211">
        <v>6322.2958667582288</v>
      </c>
      <c r="AD5" s="211">
        <v>4365.4006689153639</v>
      </c>
      <c r="AE5" s="211">
        <v>3260.0008977433772</v>
      </c>
      <c r="AF5" s="211">
        <v>2761.1371574763721</v>
      </c>
      <c r="AG5" s="350">
        <v>2074.942245943369</v>
      </c>
    </row>
    <row r="6" spans="1:33" x14ac:dyDescent="0.25">
      <c r="A6" s="247" t="s">
        <v>9</v>
      </c>
      <c r="B6" s="235">
        <f>'Data Sheet'!B21</f>
        <v>854.26</v>
      </c>
      <c r="C6" s="235">
        <f>'Data Sheet'!C21</f>
        <v>885.31</v>
      </c>
      <c r="D6" s="235">
        <f>'Data Sheet'!D21</f>
        <v>1195.54</v>
      </c>
      <c r="E6" s="235">
        <f>'Data Sheet'!E21</f>
        <v>1509.53</v>
      </c>
      <c r="F6" s="235">
        <f>'Data Sheet'!F21</f>
        <v>1738.39</v>
      </c>
      <c r="G6" s="177"/>
      <c r="H6" s="171">
        <f>F6*(1+H7)</f>
        <v>2086.0680000000002</v>
      </c>
      <c r="I6" s="171">
        <f>H6*(1+I7)</f>
        <v>2440.69956</v>
      </c>
      <c r="J6" s="171">
        <f t="shared" ref="J6:L6" si="1">I6*(1+J7)</f>
        <v>2806.804494</v>
      </c>
      <c r="K6" s="171">
        <f t="shared" si="1"/>
        <v>3199.7571231600004</v>
      </c>
      <c r="L6" s="172">
        <f t="shared" si="1"/>
        <v>3647.723120402401</v>
      </c>
      <c r="N6" s="276"/>
      <c r="O6" s="232"/>
      <c r="P6" s="232"/>
      <c r="Q6" s="232"/>
      <c r="R6" s="232"/>
      <c r="S6" s="234"/>
      <c r="U6" s="126" t="s">
        <v>103</v>
      </c>
      <c r="V6" s="127">
        <v>7.1999999999999995E-2</v>
      </c>
      <c r="W6" s="59"/>
      <c r="X6" s="126" t="s">
        <v>104</v>
      </c>
      <c r="Y6" s="134">
        <f>Y4-Y5</f>
        <v>-692.09</v>
      </c>
      <c r="AA6" s="354"/>
      <c r="AB6" s="359">
        <v>0.1298</v>
      </c>
      <c r="AC6" s="211">
        <v>5810.1206654598491</v>
      </c>
      <c r="AD6" s="211">
        <v>4029.3418236264633</v>
      </c>
      <c r="AE6" s="211">
        <v>3022.005495766397</v>
      </c>
      <c r="AF6" s="211">
        <v>2566.9704336368422</v>
      </c>
      <c r="AG6" s="350">
        <v>1940.5409349515082</v>
      </c>
    </row>
    <row r="7" spans="1:33" x14ac:dyDescent="0.25">
      <c r="A7" s="170" t="s">
        <v>191</v>
      </c>
      <c r="B7" s="171"/>
      <c r="C7" s="236">
        <f>C6/B6-1</f>
        <v>3.6347247910472058E-2</v>
      </c>
      <c r="D7" s="236">
        <f t="shared" ref="D7:F7" si="2">D6/C6-1</f>
        <v>0.35041962702330265</v>
      </c>
      <c r="E7" s="236">
        <f t="shared" si="2"/>
        <v>0.26263445806915708</v>
      </c>
      <c r="F7" s="236">
        <f t="shared" si="2"/>
        <v>0.15161010380714535</v>
      </c>
      <c r="G7" s="177">
        <f>AVERAGE(C7:F7)</f>
        <v>0.20025285920251928</v>
      </c>
      <c r="H7" s="177">
        <v>0.2</v>
      </c>
      <c r="I7" s="175">
        <f>H7-3%</f>
        <v>0.17</v>
      </c>
      <c r="J7" s="177">
        <f>I7-2%</f>
        <v>0.15000000000000002</v>
      </c>
      <c r="K7" s="175">
        <f>J7-1%</f>
        <v>0.14000000000000001</v>
      </c>
      <c r="L7" s="178">
        <f>S7</f>
        <v>0.14000000000000001</v>
      </c>
      <c r="N7" s="276" t="s">
        <v>200</v>
      </c>
      <c r="O7" s="282">
        <v>0.2</v>
      </c>
      <c r="P7" s="231">
        <f>O7-3%</f>
        <v>0.17</v>
      </c>
      <c r="Q7" s="282">
        <f>P7-2%</f>
        <v>0.15000000000000002</v>
      </c>
      <c r="R7" s="282">
        <f>Q7-1%</f>
        <v>0.14000000000000001</v>
      </c>
      <c r="S7" s="212">
        <v>0.14000000000000001</v>
      </c>
      <c r="U7" s="116" t="s">
        <v>96</v>
      </c>
      <c r="V7" s="128">
        <f>V5/(V2-V6)</f>
        <v>24721.795952864788</v>
      </c>
      <c r="W7" s="59"/>
      <c r="X7" s="126"/>
      <c r="Y7" s="135"/>
      <c r="AA7" s="354"/>
      <c r="AB7" s="359">
        <v>0.1348</v>
      </c>
      <c r="AC7" s="211">
        <v>5381.8249957066473</v>
      </c>
      <c r="AD7" s="211">
        <v>3748.3197283461295</v>
      </c>
      <c r="AE7" s="211">
        <v>2822.9868790322962</v>
      </c>
      <c r="AF7" s="211">
        <v>2404.6026211777043</v>
      </c>
      <c r="AG7" s="350">
        <v>1828.1506838010382</v>
      </c>
    </row>
    <row r="8" spans="1:33" ht="15.75" thickBot="1" x14ac:dyDescent="0.3">
      <c r="A8" s="170"/>
      <c r="B8" s="171"/>
      <c r="C8" s="171"/>
      <c r="D8" s="171"/>
      <c r="E8" s="171"/>
      <c r="F8" s="171"/>
      <c r="G8" s="177"/>
      <c r="H8" s="171"/>
      <c r="I8" s="171"/>
      <c r="J8" s="171"/>
      <c r="K8" s="171"/>
      <c r="L8" s="172"/>
      <c r="N8" s="276" t="s">
        <v>193</v>
      </c>
      <c r="O8" s="232" t="s">
        <v>201</v>
      </c>
      <c r="P8" s="232"/>
      <c r="Q8" s="232"/>
      <c r="R8" s="232"/>
      <c r="S8" s="213"/>
      <c r="U8" s="116" t="s">
        <v>105</v>
      </c>
      <c r="V8" s="275">
        <f>J50</f>
        <v>0.14710620881011083</v>
      </c>
      <c r="W8" s="59"/>
      <c r="X8" s="123" t="s">
        <v>106</v>
      </c>
      <c r="Y8" s="129">
        <f>Y3-Y6</f>
        <v>19200.610835077499</v>
      </c>
      <c r="AA8" s="353"/>
      <c r="AB8" s="360">
        <v>0.13980000000000001</v>
      </c>
      <c r="AC8" s="349">
        <v>5018.7859456648366</v>
      </c>
      <c r="AD8" s="349">
        <v>3510.1151381149921</v>
      </c>
      <c r="AE8" s="349">
        <v>2654.2914317927366</v>
      </c>
      <c r="AF8" s="349">
        <v>2266.973734043499</v>
      </c>
      <c r="AG8" s="351">
        <v>1732.8846026960423</v>
      </c>
    </row>
    <row r="9" spans="1:33" ht="30" x14ac:dyDescent="0.25">
      <c r="A9" s="246" t="s">
        <v>197</v>
      </c>
      <c r="B9" s="235">
        <f>'Data Sheet'!B22</f>
        <v>18.809999999999999</v>
      </c>
      <c r="C9" s="235">
        <f>'Data Sheet'!C22</f>
        <v>20.28</v>
      </c>
      <c r="D9" s="235">
        <f>'Data Sheet'!D22</f>
        <v>21.52</v>
      </c>
      <c r="E9" s="235">
        <f>'Data Sheet'!E22</f>
        <v>21.16</v>
      </c>
      <c r="F9" s="235">
        <f>'Data Sheet'!F22</f>
        <v>23.48</v>
      </c>
      <c r="G9" s="177"/>
      <c r="H9" s="171">
        <f>H3*H10</f>
        <v>28.3160782156964</v>
      </c>
      <c r="I9" s="171">
        <f t="shared" ref="I9:L9" si="3">I3*I10</f>
        <v>34.262454640992651</v>
      </c>
      <c r="J9" s="171">
        <f t="shared" si="3"/>
        <v>40.772321022781249</v>
      </c>
      <c r="K9" s="171">
        <f t="shared" si="3"/>
        <v>48.111338806881868</v>
      </c>
      <c r="L9" s="172">
        <f t="shared" si="3"/>
        <v>56.771379792120605</v>
      </c>
      <c r="N9" s="276"/>
      <c r="O9" s="232"/>
      <c r="P9" s="232"/>
      <c r="Q9" s="232"/>
      <c r="R9" s="232"/>
      <c r="S9" s="277"/>
      <c r="U9" s="123" t="s">
        <v>107</v>
      </c>
      <c r="V9" s="284">
        <f>V7/(1+V2)^5</f>
        <v>13430.96716063746</v>
      </c>
      <c r="W9" s="59"/>
      <c r="X9" s="126" t="s">
        <v>108</v>
      </c>
      <c r="Y9" s="136">
        <f>'Data Sheet'!B6</f>
        <v>47638745.260255083</v>
      </c>
    </row>
    <row r="10" spans="1:33" x14ac:dyDescent="0.25">
      <c r="A10" s="170" t="s">
        <v>192</v>
      </c>
      <c r="B10" s="169">
        <f>B9/B3</f>
        <v>1.3098520932564552E-2</v>
      </c>
      <c r="C10" s="169">
        <f t="shared" ref="C10:F10" si="4">C9/C3</f>
        <v>1.2962690717102699E-2</v>
      </c>
      <c r="D10" s="169">
        <f t="shared" si="4"/>
        <v>9.9613488555095244E-3</v>
      </c>
      <c r="E10" s="169">
        <f t="shared" si="4"/>
        <v>7.988794545269207E-3</v>
      </c>
      <c r="F10" s="169">
        <f t="shared" si="4"/>
        <v>8.0258687285082418E-3</v>
      </c>
      <c r="G10" s="175">
        <f>AVERAGE(B10:F10)*0.75</f>
        <v>7.8055835668431337E-3</v>
      </c>
      <c r="H10" s="175">
        <f>G10</f>
        <v>7.8055835668431337E-3</v>
      </c>
      <c r="I10" s="175">
        <f t="shared" ref="I10:L10" si="5">H10</f>
        <v>7.8055835668431337E-3</v>
      </c>
      <c r="J10" s="175">
        <f t="shared" si="5"/>
        <v>7.8055835668431337E-3</v>
      </c>
      <c r="K10" s="175">
        <f t="shared" si="5"/>
        <v>7.8055835668431337E-3</v>
      </c>
      <c r="L10" s="176">
        <f t="shared" si="5"/>
        <v>7.8055835668431337E-3</v>
      </c>
      <c r="M10" s="53"/>
      <c r="N10" s="276"/>
      <c r="O10" s="232"/>
      <c r="P10" s="232"/>
      <c r="Q10" s="232"/>
      <c r="R10" s="232"/>
      <c r="S10" s="277"/>
      <c r="W10" s="59"/>
      <c r="X10" s="123" t="s">
        <v>98</v>
      </c>
      <c r="Y10" s="137">
        <f>Y8*10000000/Y9</f>
        <v>4030.4610732677156</v>
      </c>
    </row>
    <row r="11" spans="1:33" x14ac:dyDescent="0.25">
      <c r="A11" s="170"/>
      <c r="B11" s="171"/>
      <c r="C11" s="171"/>
      <c r="D11" s="171"/>
      <c r="E11" s="171"/>
      <c r="F11" s="171"/>
      <c r="G11" s="177"/>
      <c r="H11" s="171"/>
      <c r="I11" s="171"/>
      <c r="J11" s="171"/>
      <c r="K11" s="171"/>
      <c r="L11" s="172"/>
      <c r="N11" s="276"/>
      <c r="O11" s="232"/>
      <c r="P11" s="232"/>
      <c r="Q11" s="232"/>
      <c r="R11" s="232"/>
      <c r="S11" s="277"/>
      <c r="W11" s="59"/>
      <c r="X11" s="130" t="s">
        <v>109</v>
      </c>
      <c r="Y11" s="138">
        <f>'Data Sheet'!B8</f>
        <v>2901</v>
      </c>
    </row>
    <row r="12" spans="1:33" x14ac:dyDescent="0.25">
      <c r="A12" s="247" t="s">
        <v>10</v>
      </c>
      <c r="B12" s="237">
        <f>'Data Sheet'!B23</f>
        <v>204.35</v>
      </c>
      <c r="C12" s="235">
        <f>'Data Sheet'!C23</f>
        <v>178.05</v>
      </c>
      <c r="D12" s="235">
        <f>'Data Sheet'!D23</f>
        <v>221.74</v>
      </c>
      <c r="E12" s="235">
        <f>'Data Sheet'!E23</f>
        <v>305.52</v>
      </c>
      <c r="F12" s="235">
        <f>'Data Sheet'!F23</f>
        <v>346.55</v>
      </c>
      <c r="G12" s="177"/>
      <c r="H12" s="171">
        <f>H3*H13</f>
        <v>429.91683708624129</v>
      </c>
      <c r="I12" s="171">
        <f t="shared" ref="I12:L12" si="6">I3*I13</f>
        <v>520.19937287435198</v>
      </c>
      <c r="J12" s="171">
        <f t="shared" si="6"/>
        <v>619.03725372047882</v>
      </c>
      <c r="K12" s="171">
        <f t="shared" si="6"/>
        <v>730.46395939016497</v>
      </c>
      <c r="L12" s="172">
        <f t="shared" si="6"/>
        <v>861.94747208039462</v>
      </c>
      <c r="O12" s="232"/>
      <c r="P12" s="232"/>
      <c r="Q12" s="232"/>
      <c r="R12" s="232"/>
      <c r="S12" s="277"/>
      <c r="W12" s="59"/>
      <c r="X12" s="98"/>
      <c r="Y12" s="112"/>
    </row>
    <row r="13" spans="1:33" ht="15.75" thickBot="1" x14ac:dyDescent="0.3">
      <c r="A13" s="170" t="s">
        <v>196</v>
      </c>
      <c r="B13" s="238">
        <f>B12/B3</f>
        <v>0.14230105011002478</v>
      </c>
      <c r="C13" s="238">
        <f>C12/C3</f>
        <v>0.11380705533432621</v>
      </c>
      <c r="D13" s="238">
        <f t="shared" ref="D13:F13" si="7">D12/D3</f>
        <v>0.10264077580021756</v>
      </c>
      <c r="E13" s="238">
        <f t="shared" si="7"/>
        <v>0.11534671594851832</v>
      </c>
      <c r="F13" s="238">
        <f t="shared" si="7"/>
        <v>0.11845676353767168</v>
      </c>
      <c r="G13" s="177">
        <f>AVERAGE(B13:F13)</f>
        <v>0.11851047214615171</v>
      </c>
      <c r="H13" s="177">
        <f>G13</f>
        <v>0.11851047214615171</v>
      </c>
      <c r="I13" s="177">
        <f t="shared" ref="I13:L13" si="8">H13</f>
        <v>0.11851047214615171</v>
      </c>
      <c r="J13" s="177">
        <f t="shared" si="8"/>
        <v>0.11851047214615171</v>
      </c>
      <c r="K13" s="177">
        <f t="shared" si="8"/>
        <v>0.11851047214615171</v>
      </c>
      <c r="L13" s="178">
        <f t="shared" si="8"/>
        <v>0.11851047214615171</v>
      </c>
      <c r="N13" s="276"/>
      <c r="O13" s="232"/>
      <c r="P13" s="232"/>
      <c r="Q13" s="232"/>
      <c r="R13" s="232"/>
      <c r="S13" s="72"/>
      <c r="X13" s="139" t="s">
        <v>136</v>
      </c>
      <c r="Y13" s="120">
        <f>Y10/Y11-1</f>
        <v>0.38933508213295953</v>
      </c>
    </row>
    <row r="14" spans="1:33" x14ac:dyDescent="0.25">
      <c r="A14" s="247"/>
      <c r="B14" s="235"/>
      <c r="C14" s="235"/>
      <c r="D14" s="235"/>
      <c r="E14" s="235"/>
      <c r="F14" s="235"/>
      <c r="G14" s="177"/>
      <c r="H14" s="171"/>
      <c r="I14" s="171"/>
      <c r="J14" s="171"/>
      <c r="K14" s="171"/>
      <c r="L14" s="172"/>
      <c r="N14" s="276"/>
      <c r="O14" s="232"/>
      <c r="P14" s="232"/>
      <c r="Q14" s="232"/>
      <c r="R14" s="232"/>
      <c r="S14" s="72"/>
    </row>
    <row r="15" spans="1:33" x14ac:dyDescent="0.25">
      <c r="A15" s="247" t="s">
        <v>11</v>
      </c>
      <c r="B15" s="235">
        <f>'Data Sheet'!B24</f>
        <v>46.71</v>
      </c>
      <c r="C15" s="235">
        <f>'Data Sheet'!C24</f>
        <v>34.450000000000003</v>
      </c>
      <c r="D15" s="235">
        <f>'Data Sheet'!D24</f>
        <v>24.62</v>
      </c>
      <c r="E15" s="235">
        <f>'Data Sheet'!E24</f>
        <v>65.95</v>
      </c>
      <c r="F15" s="235">
        <f>'Data Sheet'!F24</f>
        <v>65.64</v>
      </c>
      <c r="G15" s="173">
        <f>AVERAGE(B15:F15)</f>
        <v>47.474000000000004</v>
      </c>
      <c r="H15" s="173">
        <f>G15</f>
        <v>47.474000000000004</v>
      </c>
      <c r="I15" s="173">
        <f>H15*(1+I16)</f>
        <v>60.840356006148824</v>
      </c>
      <c r="J15" s="173">
        <f t="shared" ref="J15:L15" si="9">I15*(1+J16)</f>
        <v>77.970023991130489</v>
      </c>
      <c r="K15" s="173">
        <f t="shared" si="9"/>
        <v>99.922568509675685</v>
      </c>
      <c r="L15" s="174">
        <f t="shared" si="9"/>
        <v>128.05587566199316</v>
      </c>
      <c r="M15" s="53"/>
      <c r="N15" s="276"/>
      <c r="O15" s="232"/>
      <c r="P15" s="232"/>
      <c r="Q15" s="232"/>
      <c r="R15" s="232"/>
      <c r="S15" s="234"/>
    </row>
    <row r="16" spans="1:33" x14ac:dyDescent="0.25">
      <c r="A16" s="170"/>
      <c r="B16" s="171"/>
      <c r="C16" s="236">
        <f>C15/B15-1</f>
        <v>-0.26247056304859773</v>
      </c>
      <c r="D16" s="236">
        <f t="shared" ref="D16:F16" si="10">D15/C15-1</f>
        <v>-0.28534107402031939</v>
      </c>
      <c r="E16" s="236">
        <f t="shared" si="10"/>
        <v>1.6787164906580014</v>
      </c>
      <c r="F16" s="236">
        <f t="shared" si="10"/>
        <v>-4.7005307050795864E-3</v>
      </c>
      <c r="G16" s="177">
        <f>AVERAGE(C16:F16)</f>
        <v>0.28155108072100121</v>
      </c>
      <c r="H16" s="177">
        <f>G16</f>
        <v>0.28155108072100121</v>
      </c>
      <c r="I16" s="177">
        <f t="shared" ref="I16:L16" si="11">H16</f>
        <v>0.28155108072100121</v>
      </c>
      <c r="J16" s="177">
        <f t="shared" si="11"/>
        <v>0.28155108072100121</v>
      </c>
      <c r="K16" s="177">
        <f t="shared" si="11"/>
        <v>0.28155108072100121</v>
      </c>
      <c r="L16" s="178">
        <f t="shared" si="11"/>
        <v>0.28155108072100121</v>
      </c>
      <c r="N16" s="276"/>
      <c r="O16" s="232"/>
      <c r="P16" s="232"/>
      <c r="Q16" s="232"/>
      <c r="R16" s="232"/>
      <c r="S16" s="72"/>
    </row>
    <row r="17" spans="1:19" x14ac:dyDescent="0.25">
      <c r="A17" s="247"/>
      <c r="B17" s="235"/>
      <c r="C17" s="235"/>
      <c r="D17" s="235"/>
      <c r="E17" s="235"/>
      <c r="F17" s="235"/>
      <c r="G17" s="177"/>
      <c r="H17" s="171"/>
      <c r="I17" s="171"/>
      <c r="J17" s="171"/>
      <c r="K17" s="171"/>
      <c r="L17" s="172"/>
      <c r="N17" s="276"/>
      <c r="O17" s="232"/>
      <c r="P17" s="232"/>
      <c r="Q17" s="232"/>
      <c r="R17" s="232"/>
      <c r="S17" s="72"/>
    </row>
    <row r="18" spans="1:19" x14ac:dyDescent="0.25">
      <c r="A18" s="170" t="s">
        <v>167</v>
      </c>
      <c r="B18" s="235">
        <f>'Data Sheet'!B20</f>
        <v>55.44</v>
      </c>
      <c r="C18" s="235">
        <f>'Data Sheet'!C20</f>
        <v>53.1</v>
      </c>
      <c r="D18" s="235">
        <f>'Data Sheet'!D20</f>
        <v>82.48</v>
      </c>
      <c r="E18" s="235">
        <f>'Data Sheet'!E20</f>
        <v>110.64</v>
      </c>
      <c r="F18" s="235">
        <f>'Data Sheet'!F20</f>
        <v>65.8</v>
      </c>
      <c r="G18" s="171"/>
      <c r="H18" s="171">
        <f>H3*H19</f>
        <v>126.960302988102</v>
      </c>
      <c r="I18" s="171">
        <f t="shared" ref="I18:L18" si="12">I3*I19</f>
        <v>153.62196661560341</v>
      </c>
      <c r="J18" s="171">
        <f t="shared" si="12"/>
        <v>182.81014027256805</v>
      </c>
      <c r="K18" s="171">
        <f t="shared" si="12"/>
        <v>215.7159655216303</v>
      </c>
      <c r="L18" s="172">
        <f t="shared" si="12"/>
        <v>254.54483931552375</v>
      </c>
      <c r="M18" s="7"/>
      <c r="N18" s="276"/>
      <c r="O18" s="232"/>
      <c r="P18" s="232"/>
      <c r="Q18" s="232"/>
      <c r="R18" s="232"/>
      <c r="S18" s="278"/>
    </row>
    <row r="19" spans="1:19" ht="15.75" thickBot="1" x14ac:dyDescent="0.3">
      <c r="A19" s="170"/>
      <c r="B19" s="169">
        <f>B18/B3</f>
        <v>3.8606166959137628E-2</v>
      </c>
      <c r="C19" s="169">
        <f t="shared" ref="C19:F19" si="13">C18/C3</f>
        <v>3.3940773031467121E-2</v>
      </c>
      <c r="D19" s="169">
        <f t="shared" si="13"/>
        <v>3.8178998773346913E-2</v>
      </c>
      <c r="E19" s="169">
        <f t="shared" si="13"/>
        <v>4.1771277338780007E-2</v>
      </c>
      <c r="F19" s="169">
        <f t="shared" si="13"/>
        <v>2.2491574205104014E-2</v>
      </c>
      <c r="G19" s="175">
        <f>AVERAGE(B19:F19)</f>
        <v>3.499775806156713E-2</v>
      </c>
      <c r="H19" s="175">
        <f>G19</f>
        <v>3.499775806156713E-2</v>
      </c>
      <c r="I19" s="175">
        <f t="shared" ref="I19:L19" si="14">H19</f>
        <v>3.499775806156713E-2</v>
      </c>
      <c r="J19" s="175">
        <f t="shared" si="14"/>
        <v>3.499775806156713E-2</v>
      </c>
      <c r="K19" s="175">
        <f t="shared" si="14"/>
        <v>3.499775806156713E-2</v>
      </c>
      <c r="L19" s="176">
        <f t="shared" si="14"/>
        <v>3.499775806156713E-2</v>
      </c>
      <c r="M19" s="52"/>
      <c r="N19" s="279"/>
      <c r="O19" s="280"/>
      <c r="P19" s="280"/>
      <c r="Q19" s="280"/>
      <c r="R19" s="280"/>
      <c r="S19" s="281"/>
    </row>
    <row r="20" spans="1:19" x14ac:dyDescent="0.25">
      <c r="A20" s="170"/>
      <c r="B20" s="171"/>
      <c r="C20" s="171"/>
      <c r="D20" s="171"/>
      <c r="E20" s="171"/>
      <c r="F20" s="171"/>
      <c r="G20" s="171"/>
      <c r="H20" s="171"/>
      <c r="I20" s="171"/>
      <c r="J20" s="171"/>
      <c r="K20" s="171"/>
      <c r="L20" s="172"/>
      <c r="N20" s="52"/>
    </row>
    <row r="21" spans="1:19" x14ac:dyDescent="0.25">
      <c r="A21" s="247" t="s">
        <v>46</v>
      </c>
      <c r="B21" s="237">
        <f t="shared" ref="B21:L21" si="15">B3-B6-B12+B15-B18</f>
        <v>368.69999999999993</v>
      </c>
      <c r="C21" s="237">
        <f t="shared" si="15"/>
        <v>482.48</v>
      </c>
      <c r="D21" s="237">
        <f t="shared" si="15"/>
        <v>685.20999999999992</v>
      </c>
      <c r="E21" s="237">
        <f t="shared" si="15"/>
        <v>788.97000000000014</v>
      </c>
      <c r="F21" s="237">
        <f t="shared" si="15"/>
        <v>840.43999999999994</v>
      </c>
      <c r="G21" s="237">
        <f t="shared" si="15"/>
        <v>47.474000000000004</v>
      </c>
      <c r="H21" s="237">
        <f t="shared" si="15"/>
        <v>1032.1984599256562</v>
      </c>
      <c r="I21" s="237">
        <f t="shared" si="15"/>
        <v>1335.7996725161934</v>
      </c>
      <c r="J21" s="237">
        <f t="shared" si="15"/>
        <v>1692.799593038083</v>
      </c>
      <c r="K21" s="237">
        <f t="shared" si="15"/>
        <v>2117.6936397450795</v>
      </c>
      <c r="L21" s="248">
        <f t="shared" si="15"/>
        <v>2637.0160246461683</v>
      </c>
      <c r="M21" s="65"/>
      <c r="N21" s="52"/>
      <c r="O21" s="65"/>
      <c r="P21" s="65"/>
      <c r="Q21" s="65"/>
      <c r="R21" s="65"/>
      <c r="S21" s="65"/>
    </row>
    <row r="22" spans="1:19" x14ac:dyDescent="0.25">
      <c r="A22" s="247"/>
      <c r="B22" s="236">
        <f>B21/B3</f>
        <v>0.25674772290465442</v>
      </c>
      <c r="C22" s="236">
        <f>C21/C3</f>
        <v>0.30839442885540974</v>
      </c>
      <c r="D22" s="236">
        <f>D21/D3</f>
        <v>0.3171754576804684</v>
      </c>
      <c r="E22" s="236">
        <f>E21/E3</f>
        <v>0.29786952894050317</v>
      </c>
      <c r="F22" s="236">
        <f>F21/F3</f>
        <v>0.28727687879844405</v>
      </c>
      <c r="G22" s="177">
        <f>AVERAGE(C22:F22)</f>
        <v>0.30267907356870632</v>
      </c>
      <c r="H22" s="236">
        <f>H21/H3</f>
        <v>0.28453485949372465</v>
      </c>
      <c r="I22" s="236">
        <f>I21/I3</f>
        <v>0.30431841739418231</v>
      </c>
      <c r="J22" s="236">
        <f>J21/J3</f>
        <v>0.32407496933995916</v>
      </c>
      <c r="K22" s="236">
        <f>K21/K3</f>
        <v>0.34357461429940461</v>
      </c>
      <c r="L22" s="249">
        <f>L21/L3</f>
        <v>0.36256735388236855</v>
      </c>
      <c r="M22" s="7"/>
      <c r="N22" s="52"/>
      <c r="O22" s="7"/>
      <c r="P22" s="7"/>
      <c r="Q22" s="7"/>
      <c r="R22" s="7"/>
      <c r="S22" s="7"/>
    </row>
    <row r="23" spans="1:19" ht="27.75" customHeight="1" x14ac:dyDescent="0.25">
      <c r="A23" s="170"/>
      <c r="B23" s="171"/>
      <c r="C23" s="171"/>
      <c r="D23" s="171"/>
      <c r="E23" s="171"/>
      <c r="F23" s="171"/>
      <c r="G23" s="171"/>
      <c r="H23" s="171"/>
      <c r="I23" s="171"/>
      <c r="J23" s="171"/>
      <c r="K23" s="171"/>
      <c r="L23" s="172"/>
      <c r="M23" s="55"/>
      <c r="N23" s="52"/>
      <c r="O23" s="55"/>
      <c r="P23" s="55"/>
      <c r="Q23" s="55"/>
      <c r="R23" s="55"/>
      <c r="S23" s="55"/>
    </row>
    <row r="24" spans="1:19" x14ac:dyDescent="0.25">
      <c r="A24" s="246" t="s">
        <v>198</v>
      </c>
      <c r="B24" s="235">
        <f>'Data Sheet'!B25</f>
        <v>70.900000000000006</v>
      </c>
      <c r="C24" s="235">
        <f>'Data Sheet'!C25</f>
        <v>81.59</v>
      </c>
      <c r="D24" s="235">
        <f>'Data Sheet'!D25</f>
        <v>103.19</v>
      </c>
      <c r="E24" s="235">
        <f>'Data Sheet'!E25</f>
        <v>114.01</v>
      </c>
      <c r="F24" s="235">
        <f>'Data Sheet'!F25</f>
        <v>125.77</v>
      </c>
      <c r="G24" s="177"/>
      <c r="H24" s="171">
        <f>H3*H25</f>
        <v>170.73439868473886</v>
      </c>
      <c r="I24" s="171">
        <f t="shared" ref="I24:L24" si="16">I3*I25</f>
        <v>206.58862240853404</v>
      </c>
      <c r="J24" s="171">
        <f t="shared" si="16"/>
        <v>245.84046066615551</v>
      </c>
      <c r="K24" s="171">
        <f t="shared" si="16"/>
        <v>290.09174358606344</v>
      </c>
      <c r="L24" s="172">
        <f t="shared" si="16"/>
        <v>342.30825743155486</v>
      </c>
      <c r="N24" s="52"/>
    </row>
    <row r="25" spans="1:19" x14ac:dyDescent="0.25">
      <c r="A25" s="170"/>
      <c r="B25" s="238">
        <f>B24/B3</f>
        <v>4.9371883791537848E-2</v>
      </c>
      <c r="C25" s="238">
        <f t="shared" ref="C25:F25" si="17">C24/C3</f>
        <v>5.2151180256824907E-2</v>
      </c>
      <c r="D25" s="238">
        <f t="shared" si="17"/>
        <v>4.7765408382900922E-2</v>
      </c>
      <c r="E25" s="238">
        <f t="shared" si="17"/>
        <v>4.304359480652846E-2</v>
      </c>
      <c r="F25" s="238">
        <f t="shared" si="17"/>
        <v>4.2990353917567357E-2</v>
      </c>
      <c r="G25" s="175">
        <f>AVERAGE(B25:F25)</f>
        <v>4.7064484231071894E-2</v>
      </c>
      <c r="H25" s="239">
        <f>G25</f>
        <v>4.7064484231071894E-2</v>
      </c>
      <c r="I25" s="239">
        <f t="shared" ref="I25:L25" si="18">H25</f>
        <v>4.7064484231071894E-2</v>
      </c>
      <c r="J25" s="239">
        <f t="shared" si="18"/>
        <v>4.7064484231071894E-2</v>
      </c>
      <c r="K25" s="239">
        <f t="shared" si="18"/>
        <v>4.7064484231071894E-2</v>
      </c>
      <c r="L25" s="250">
        <f t="shared" si="18"/>
        <v>4.7064484231071894E-2</v>
      </c>
      <c r="M25" s="7"/>
      <c r="N25" s="52"/>
      <c r="O25" s="7"/>
      <c r="P25" s="7"/>
      <c r="Q25" s="7"/>
      <c r="R25" s="7"/>
      <c r="S25" s="7"/>
    </row>
    <row r="26" spans="1:19" ht="15.75" thickBot="1" x14ac:dyDescent="0.3">
      <c r="A26" s="257"/>
      <c r="B26" s="258"/>
      <c r="C26" s="258"/>
      <c r="D26" s="258"/>
      <c r="E26" s="258"/>
      <c r="F26" s="258"/>
      <c r="G26" s="259"/>
      <c r="H26" s="260"/>
      <c r="I26" s="260"/>
      <c r="J26" s="260"/>
      <c r="K26" s="260"/>
      <c r="L26" s="261"/>
      <c r="N26" s="52"/>
    </row>
    <row r="27" spans="1:19" x14ac:dyDescent="0.25">
      <c r="A27" s="262" t="s">
        <v>85</v>
      </c>
      <c r="B27" s="263">
        <f>B21-B24</f>
        <v>297.79999999999995</v>
      </c>
      <c r="C27" s="263">
        <f t="shared" ref="C27:L27" si="19">C21-C24</f>
        <v>400.89</v>
      </c>
      <c r="D27" s="263">
        <f t="shared" si="19"/>
        <v>582.02</v>
      </c>
      <c r="E27" s="263">
        <f t="shared" si="19"/>
        <v>674.96000000000015</v>
      </c>
      <c r="F27" s="263">
        <f t="shared" si="19"/>
        <v>714.67</v>
      </c>
      <c r="G27" s="263"/>
      <c r="H27" s="263">
        <f t="shared" si="19"/>
        <v>861.46406124091732</v>
      </c>
      <c r="I27" s="263">
        <f t="shared" si="19"/>
        <v>1129.2110501076593</v>
      </c>
      <c r="J27" s="263">
        <f t="shared" si="19"/>
        <v>1446.9591323719276</v>
      </c>
      <c r="K27" s="263">
        <f t="shared" si="19"/>
        <v>1827.6018961590162</v>
      </c>
      <c r="L27" s="264">
        <f t="shared" si="19"/>
        <v>2294.7077672146133</v>
      </c>
      <c r="N27" s="52"/>
    </row>
    <row r="28" spans="1:19" x14ac:dyDescent="0.25">
      <c r="A28" s="247" t="s">
        <v>13</v>
      </c>
      <c r="B28" s="235">
        <v>18.809999999999999</v>
      </c>
      <c r="C28" s="235">
        <v>20.28</v>
      </c>
      <c r="D28" s="235">
        <v>21.52</v>
      </c>
      <c r="E28" s="235">
        <v>21.16</v>
      </c>
      <c r="F28" s="235">
        <v>23.48</v>
      </c>
      <c r="G28" s="177"/>
      <c r="H28" s="171">
        <v>27.402656337770711</v>
      </c>
      <c r="I28" s="171">
        <v>32.061107915191727</v>
      </c>
      <c r="J28" s="171">
        <v>36.870274102470489</v>
      </c>
      <c r="K28" s="171">
        <v>42.032112476816359</v>
      </c>
      <c r="L28" s="172">
        <v>47.916608223570655</v>
      </c>
      <c r="N28" s="52"/>
    </row>
    <row r="29" spans="1:19" x14ac:dyDescent="0.25">
      <c r="A29" s="247" t="s">
        <v>86</v>
      </c>
      <c r="B29" s="240">
        <f>B27-B28</f>
        <v>278.98999999999995</v>
      </c>
      <c r="C29" s="240">
        <f t="shared" ref="C29:L29" si="20">C27-C28</f>
        <v>380.61</v>
      </c>
      <c r="D29" s="240">
        <f t="shared" si="20"/>
        <v>560.5</v>
      </c>
      <c r="E29" s="240">
        <f t="shared" si="20"/>
        <v>653.80000000000018</v>
      </c>
      <c r="F29" s="240">
        <f t="shared" si="20"/>
        <v>691.18999999999994</v>
      </c>
      <c r="G29" s="240"/>
      <c r="H29" s="240">
        <f t="shared" si="20"/>
        <v>834.06140490314658</v>
      </c>
      <c r="I29" s="240">
        <f t="shared" si="20"/>
        <v>1097.1499421924675</v>
      </c>
      <c r="J29" s="240">
        <f t="shared" si="20"/>
        <v>1410.088858269457</v>
      </c>
      <c r="K29" s="240">
        <f t="shared" si="20"/>
        <v>1785.5697836821998</v>
      </c>
      <c r="L29" s="251">
        <f t="shared" si="20"/>
        <v>2246.7911589910427</v>
      </c>
      <c r="M29" s="233"/>
      <c r="N29" s="52"/>
    </row>
    <row r="30" spans="1:19" x14ac:dyDescent="0.25">
      <c r="A30" s="247" t="s">
        <v>15</v>
      </c>
      <c r="B30" s="237">
        <f>-'Income Statement'!B11</f>
        <v>72.709999999999994</v>
      </c>
      <c r="C30" s="237">
        <f>-'Income Statement'!C11</f>
        <v>102.36</v>
      </c>
      <c r="D30" s="237">
        <f>-'Income Statement'!D11</f>
        <v>149.72</v>
      </c>
      <c r="E30" s="237">
        <f>-'Income Statement'!E11</f>
        <v>163.80000000000001</v>
      </c>
      <c r="F30" s="237">
        <f>-'Income Statement'!F11</f>
        <v>177.6</v>
      </c>
      <c r="G30" s="237"/>
      <c r="H30" s="272">
        <f>H29*H31</f>
        <v>217.54948814564978</v>
      </c>
      <c r="I30" s="237">
        <f t="shared" ref="I30:L30" si="21">I29*I31</f>
        <v>286.17126621596549</v>
      </c>
      <c r="J30" s="237">
        <f t="shared" si="21"/>
        <v>367.79559340960793</v>
      </c>
      <c r="K30" s="237">
        <f t="shared" si="21"/>
        <v>465.73284677224575</v>
      </c>
      <c r="L30" s="248">
        <f t="shared" si="21"/>
        <v>586.03391037549807</v>
      </c>
      <c r="N30" s="52"/>
    </row>
    <row r="31" spans="1:19" x14ac:dyDescent="0.25">
      <c r="A31" s="252" t="s">
        <v>131</v>
      </c>
      <c r="B31" s="241">
        <f>B30/B29</f>
        <v>0.26061866016703111</v>
      </c>
      <c r="C31" s="241">
        <f t="shared" ref="C31:F31" si="22">C30/C29</f>
        <v>0.26893670686529519</v>
      </c>
      <c r="D31" s="241">
        <f t="shared" si="22"/>
        <v>0.26711864406779662</v>
      </c>
      <c r="E31" s="241">
        <f t="shared" si="22"/>
        <v>0.25053533190578153</v>
      </c>
      <c r="F31" s="241">
        <f t="shared" si="22"/>
        <v>0.25694816186576774</v>
      </c>
      <c r="G31" s="177">
        <f>AVERAGE(B31:F31)</f>
        <v>0.26083150097433438</v>
      </c>
      <c r="H31" s="177">
        <f>G31</f>
        <v>0.26083150097433438</v>
      </c>
      <c r="I31" s="177">
        <f t="shared" ref="I31:L31" si="23">H31</f>
        <v>0.26083150097433438</v>
      </c>
      <c r="J31" s="177">
        <f t="shared" si="23"/>
        <v>0.26083150097433438</v>
      </c>
      <c r="K31" s="177">
        <f t="shared" si="23"/>
        <v>0.26083150097433438</v>
      </c>
      <c r="L31" s="178">
        <f t="shared" si="23"/>
        <v>0.26083150097433438</v>
      </c>
      <c r="M31" s="53"/>
      <c r="N31" s="53"/>
      <c r="O31" s="53"/>
      <c r="P31" s="53"/>
      <c r="Q31" s="53"/>
      <c r="R31" s="53"/>
      <c r="S31" s="53"/>
    </row>
    <row r="32" spans="1:19" x14ac:dyDescent="0.25">
      <c r="A32" s="247" t="s">
        <v>87</v>
      </c>
      <c r="B32" s="237">
        <f>B29-B30</f>
        <v>206.27999999999997</v>
      </c>
      <c r="C32" s="237">
        <f t="shared" ref="C32:L32" si="24">C29-C30</f>
        <v>278.25</v>
      </c>
      <c r="D32" s="237">
        <f t="shared" si="24"/>
        <v>410.78</v>
      </c>
      <c r="E32" s="237">
        <f t="shared" si="24"/>
        <v>490.00000000000017</v>
      </c>
      <c r="F32" s="237">
        <f t="shared" si="24"/>
        <v>513.58999999999992</v>
      </c>
      <c r="G32" s="237">
        <f t="shared" si="24"/>
        <v>0</v>
      </c>
      <c r="H32" s="237">
        <f t="shared" si="24"/>
        <v>616.51191675749681</v>
      </c>
      <c r="I32" s="237">
        <f t="shared" si="24"/>
        <v>810.97867597650202</v>
      </c>
      <c r="J32" s="237">
        <f t="shared" si="24"/>
        <v>1042.2932648598489</v>
      </c>
      <c r="K32" s="237">
        <f t="shared" si="24"/>
        <v>1319.8369369099541</v>
      </c>
      <c r="L32" s="248">
        <f t="shared" si="24"/>
        <v>1660.7572486155445</v>
      </c>
    </row>
    <row r="33" spans="1:12" x14ac:dyDescent="0.25">
      <c r="A33" s="247"/>
      <c r="B33" s="236"/>
      <c r="C33" s="236"/>
      <c r="D33" s="236"/>
      <c r="E33" s="236"/>
      <c r="F33" s="236"/>
      <c r="G33" s="177"/>
      <c r="H33" s="171"/>
      <c r="I33" s="171"/>
      <c r="J33" s="171"/>
      <c r="K33" s="171"/>
      <c r="L33" s="172"/>
    </row>
    <row r="34" spans="1:12" ht="15.75" thickBot="1" x14ac:dyDescent="0.3">
      <c r="A34" s="253" t="s">
        <v>17</v>
      </c>
      <c r="B34" s="254">
        <f>'Data Sheet'!B29</f>
        <v>4.37</v>
      </c>
      <c r="C34" s="254">
        <f>'Data Sheet'!C29</f>
        <v>3.4</v>
      </c>
      <c r="D34" s="254">
        <f>'Data Sheet'!D29</f>
        <v>3.42</v>
      </c>
      <c r="E34" s="254">
        <f>'Data Sheet'!E29</f>
        <v>3.31</v>
      </c>
      <c r="F34" s="254">
        <f>'Data Sheet'!F29</f>
        <v>4.82</v>
      </c>
      <c r="G34" s="255">
        <f>AVERAGE(B34:F34)</f>
        <v>3.8639999999999999</v>
      </c>
      <c r="H34" s="255">
        <f>G34</f>
        <v>3.8639999999999999</v>
      </c>
      <c r="I34" s="255">
        <f t="shared" ref="I34:L34" si="25">H34</f>
        <v>3.8639999999999999</v>
      </c>
      <c r="J34" s="255">
        <f t="shared" si="25"/>
        <v>3.8639999999999999</v>
      </c>
      <c r="K34" s="255">
        <f t="shared" si="25"/>
        <v>3.8639999999999999</v>
      </c>
      <c r="L34" s="256">
        <f t="shared" si="25"/>
        <v>3.8639999999999999</v>
      </c>
    </row>
    <row r="35" spans="1:12" x14ac:dyDescent="0.25">
      <c r="A35" s="226"/>
      <c r="B35" s="227"/>
      <c r="C35" s="227"/>
      <c r="D35" s="227"/>
      <c r="E35" s="227"/>
      <c r="F35" s="227"/>
      <c r="G35" s="228"/>
      <c r="H35" s="229"/>
      <c r="I35" s="229"/>
      <c r="J35" s="229"/>
      <c r="K35" s="230"/>
      <c r="L35" s="230"/>
    </row>
    <row r="36" spans="1:12" x14ac:dyDescent="0.25">
      <c r="A36" s="98"/>
      <c r="B36" s="57"/>
      <c r="C36" s="57"/>
      <c r="D36" s="57"/>
      <c r="E36" s="57"/>
      <c r="F36" s="57"/>
      <c r="G36" s="57"/>
      <c r="H36" s="57"/>
      <c r="I36" s="57"/>
      <c r="J36" s="57"/>
      <c r="K36" s="112"/>
      <c r="L36" s="112"/>
    </row>
    <row r="37" spans="1:12" x14ac:dyDescent="0.25">
      <c r="A37" s="115" t="s">
        <v>123</v>
      </c>
      <c r="B37" s="57"/>
      <c r="C37" s="57"/>
      <c r="D37" s="57"/>
      <c r="E37" s="57"/>
      <c r="F37" s="57"/>
      <c r="G37" s="57"/>
      <c r="H37" s="57"/>
      <c r="I37" s="57"/>
      <c r="J37" s="57"/>
      <c r="K37" s="112"/>
      <c r="L37" s="112"/>
    </row>
    <row r="38" spans="1:12" x14ac:dyDescent="0.25">
      <c r="A38" s="98"/>
      <c r="B38" s="57"/>
      <c r="C38" s="57"/>
      <c r="D38" s="57"/>
      <c r="E38" s="57"/>
      <c r="F38" s="57"/>
      <c r="G38" s="57"/>
      <c r="H38" s="57"/>
      <c r="I38" s="57"/>
      <c r="J38" s="57"/>
      <c r="K38" s="112"/>
      <c r="L38" s="112"/>
    </row>
    <row r="39" spans="1:12" x14ac:dyDescent="0.25">
      <c r="A39" s="98" t="s">
        <v>130</v>
      </c>
      <c r="B39" s="57">
        <f>B27*(1-B31)</f>
        <v>220.18776300225812</v>
      </c>
      <c r="C39" s="57">
        <f t="shared" ref="C39:L39" si="26">C27*(1-C31)</f>
        <v>293.07596358477178</v>
      </c>
      <c r="D39" s="57">
        <f t="shared" si="26"/>
        <v>426.55160677966097</v>
      </c>
      <c r="E39" s="57">
        <f t="shared" si="26"/>
        <v>505.85867237687387</v>
      </c>
      <c r="F39" s="57">
        <f t="shared" si="26"/>
        <v>531.03685715939173</v>
      </c>
      <c r="G39" s="57"/>
      <c r="H39" s="57">
        <f t="shared" si="26"/>
        <v>636.76709711200294</v>
      </c>
      <c r="I39" s="57">
        <f t="shared" si="26"/>
        <v>834.67723699127419</v>
      </c>
      <c r="J39" s="57">
        <f t="shared" si="26"/>
        <v>1069.546610026837</v>
      </c>
      <c r="K39" s="57">
        <f t="shared" si="26"/>
        <v>1350.9057504003204</v>
      </c>
      <c r="L39" s="57">
        <f t="shared" si="26"/>
        <v>1696.1756959945621</v>
      </c>
    </row>
    <row r="40" spans="1:12" x14ac:dyDescent="0.25">
      <c r="A40" s="98"/>
      <c r="B40" s="57"/>
      <c r="C40" s="57"/>
      <c r="D40" s="57"/>
      <c r="E40" s="57"/>
      <c r="F40" s="57"/>
      <c r="G40" s="57"/>
      <c r="H40" s="57"/>
      <c r="I40" s="57"/>
      <c r="J40" s="57"/>
      <c r="K40" s="112"/>
      <c r="L40" s="112"/>
    </row>
    <row r="41" spans="1:12" x14ac:dyDescent="0.25">
      <c r="A41" s="98" t="s">
        <v>110</v>
      </c>
      <c r="B41" s="57">
        <f>B24</f>
        <v>70.900000000000006</v>
      </c>
      <c r="C41" s="57">
        <f t="shared" ref="C41:L41" si="27">C24</f>
        <v>81.59</v>
      </c>
      <c r="D41" s="57">
        <f t="shared" si="27"/>
        <v>103.19</v>
      </c>
      <c r="E41" s="57">
        <f t="shared" si="27"/>
        <v>114.01</v>
      </c>
      <c r="F41" s="57">
        <f t="shared" si="27"/>
        <v>125.77</v>
      </c>
      <c r="G41" s="57"/>
      <c r="H41" s="57">
        <f t="shared" si="27"/>
        <v>170.73439868473886</v>
      </c>
      <c r="I41" s="57">
        <f t="shared" si="27"/>
        <v>206.58862240853404</v>
      </c>
      <c r="J41" s="57">
        <f t="shared" si="27"/>
        <v>245.84046066615551</v>
      </c>
      <c r="K41" s="57">
        <f t="shared" si="27"/>
        <v>290.09174358606344</v>
      </c>
      <c r="L41" s="57">
        <f t="shared" si="27"/>
        <v>342.30825743155486</v>
      </c>
    </row>
    <row r="42" spans="1:12" x14ac:dyDescent="0.25">
      <c r="A42" s="98"/>
      <c r="B42" s="57"/>
      <c r="C42" s="57"/>
      <c r="D42" s="57"/>
      <c r="E42" s="57"/>
      <c r="F42" s="57"/>
      <c r="G42" s="57"/>
      <c r="H42" s="57"/>
      <c r="I42" s="57"/>
      <c r="J42" s="57"/>
      <c r="K42" s="112"/>
      <c r="L42" s="112"/>
    </row>
    <row r="43" spans="1:12" x14ac:dyDescent="0.25">
      <c r="A43" s="98" t="s">
        <v>127</v>
      </c>
      <c r="B43" s="105">
        <f>'Balance Sheet Forecast'!B32</f>
        <v>176.9</v>
      </c>
      <c r="C43" s="105">
        <f>'Balance Sheet Forecast'!C32</f>
        <v>328.59000000000003</v>
      </c>
      <c r="D43" s="105">
        <f>'Balance Sheet Forecast'!D32</f>
        <v>90.19</v>
      </c>
      <c r="E43" s="105">
        <f>'Balance Sheet Forecast'!E32</f>
        <v>193.01</v>
      </c>
      <c r="F43" s="105">
        <f>'Balance Sheet Forecast'!F32</f>
        <v>175.76999999999998</v>
      </c>
      <c r="G43" s="105"/>
      <c r="H43" s="105">
        <f>'Balance Sheet Forecast'!H32</f>
        <v>287.22546757700229</v>
      </c>
      <c r="I43" s="105">
        <f>'Balance Sheet Forecast'!I32</f>
        <v>336.55871809345325</v>
      </c>
      <c r="J43" s="105">
        <f>'Balance Sheet Forecast'!J32</f>
        <v>392.99709243926117</v>
      </c>
      <c r="K43" s="105">
        <f>'Balance Sheet Forecast'!K32</f>
        <v>458.89975912859165</v>
      </c>
      <c r="L43" s="105">
        <f>'Balance Sheet Forecast'!L32</f>
        <v>535.85380904777685</v>
      </c>
    </row>
    <row r="44" spans="1:12" x14ac:dyDescent="0.25">
      <c r="A44" s="98"/>
      <c r="B44" s="57"/>
      <c r="C44" s="57"/>
      <c r="D44" s="57"/>
      <c r="E44" s="57"/>
      <c r="F44" s="57"/>
      <c r="G44" s="57"/>
      <c r="H44" s="57"/>
      <c r="I44" s="57"/>
      <c r="J44" s="57"/>
      <c r="K44" s="112"/>
      <c r="L44" s="112"/>
    </row>
    <row r="45" spans="1:12" x14ac:dyDescent="0.25">
      <c r="A45" s="98" t="s">
        <v>128</v>
      </c>
      <c r="B45" s="105">
        <f>'Balance Sheet Forecast'!B25</f>
        <v>0</v>
      </c>
      <c r="C45" s="105">
        <f>'Balance Sheet Forecast'!C25</f>
        <v>155.61000000000001</v>
      </c>
      <c r="D45" s="105">
        <f>'Balance Sheet Forecast'!D25</f>
        <v>112.7700000000001</v>
      </c>
      <c r="E45" s="105">
        <f>'Balance Sheet Forecast'!E25</f>
        <v>-10.720000000000141</v>
      </c>
      <c r="F45" s="105">
        <f>'Balance Sheet Forecast'!F25</f>
        <v>351.63000000000011</v>
      </c>
      <c r="G45" s="105"/>
      <c r="H45" s="105">
        <f>'Balance Sheet Forecast'!H25</f>
        <v>-42.960023169306169</v>
      </c>
      <c r="I45" s="105">
        <f>'Balance Sheet Forecast'!I25</f>
        <v>90.666608008170897</v>
      </c>
      <c r="J45" s="105">
        <f>'Balance Sheet Forecast'!J25</f>
        <v>677.86419461602532</v>
      </c>
      <c r="K45" s="105">
        <f>'Balance Sheet Forecast'!K25</f>
        <v>410.22199501133741</v>
      </c>
      <c r="L45" s="105">
        <f>'Balance Sheet Forecast'!L25</f>
        <v>262.8539645273504</v>
      </c>
    </row>
    <row r="46" spans="1:12" x14ac:dyDescent="0.25">
      <c r="A46" s="98"/>
      <c r="B46" s="57"/>
      <c r="C46" s="57"/>
      <c r="D46" s="57"/>
      <c r="E46" s="57"/>
      <c r="F46" s="57"/>
      <c r="G46" s="57"/>
      <c r="H46" s="57"/>
      <c r="I46" s="57"/>
      <c r="J46" s="57"/>
      <c r="K46" s="112"/>
      <c r="L46" s="112"/>
    </row>
    <row r="47" spans="1:12" x14ac:dyDescent="0.25">
      <c r="A47" s="98" t="s">
        <v>129</v>
      </c>
      <c r="B47" s="105">
        <f>B39+B41-B43-B45</f>
        <v>114.18776300225815</v>
      </c>
      <c r="C47" s="57">
        <f t="shared" ref="C47:F47" si="28">C39+C41-C43-C45</f>
        <v>-109.53403641522823</v>
      </c>
      <c r="D47" s="57">
        <f t="shared" si="28"/>
        <v>326.78160677966088</v>
      </c>
      <c r="E47" s="57"/>
      <c r="F47" s="57">
        <f t="shared" si="28"/>
        <v>129.40685715939162</v>
      </c>
      <c r="G47" s="57"/>
      <c r="H47" s="57">
        <f>H39+H41+H43+H45</f>
        <v>1051.766940204438</v>
      </c>
      <c r="I47" s="57">
        <f>I39+I41+I43+I45</f>
        <v>1468.4911855014325</v>
      </c>
      <c r="J47" s="57">
        <f>J39+J41+J43+J45</f>
        <v>2386.248357748279</v>
      </c>
      <c r="K47" s="57">
        <f>K39+K41+K43+K45</f>
        <v>2510.1192481263124</v>
      </c>
      <c r="L47" s="57">
        <f>L39+L41+L43+L45</f>
        <v>2837.1917270012445</v>
      </c>
    </row>
    <row r="48" spans="1:12" x14ac:dyDescent="0.25">
      <c r="A48" s="98"/>
      <c r="B48" s="57"/>
      <c r="C48" s="57"/>
      <c r="D48" s="57"/>
      <c r="E48" s="57"/>
      <c r="F48" s="57"/>
      <c r="G48" s="57"/>
      <c r="H48" s="57"/>
      <c r="I48" s="57"/>
      <c r="J48" s="57"/>
      <c r="K48" s="218"/>
      <c r="L48" s="112"/>
    </row>
    <row r="49" spans="1:19" x14ac:dyDescent="0.25">
      <c r="A49" s="116" t="s">
        <v>111</v>
      </c>
      <c r="B49" s="106"/>
      <c r="C49" s="106"/>
      <c r="D49" s="106"/>
      <c r="E49" s="106"/>
      <c r="F49" s="106"/>
      <c r="G49" s="106"/>
      <c r="H49" s="106">
        <v>1</v>
      </c>
      <c r="I49" s="106">
        <f>H49+1</f>
        <v>2</v>
      </c>
      <c r="J49" s="106">
        <f>I49+1</f>
        <v>3</v>
      </c>
      <c r="K49" s="220">
        <v>4</v>
      </c>
      <c r="L49" s="117">
        <v>5</v>
      </c>
      <c r="M49" s="60"/>
      <c r="N49" s="60"/>
      <c r="O49" s="60"/>
      <c r="P49" s="60"/>
      <c r="Q49" s="60"/>
      <c r="R49" s="60"/>
      <c r="S49" s="60"/>
    </row>
    <row r="50" spans="1:19" ht="15.75" thickBot="1" x14ac:dyDescent="0.3">
      <c r="A50" s="116" t="s">
        <v>206</v>
      </c>
      <c r="B50" s="106"/>
      <c r="C50" s="106"/>
      <c r="D50" s="106"/>
      <c r="E50" s="106"/>
      <c r="F50" s="106"/>
      <c r="G50" s="106"/>
      <c r="H50" s="273">
        <f>'WACC Calculations'!J16</f>
        <v>0.12978172661312337</v>
      </c>
      <c r="I50" s="274">
        <v>0.14710620881011083</v>
      </c>
      <c r="J50" s="274">
        <v>0.14710620881011083</v>
      </c>
      <c r="K50" s="274">
        <v>0.14710620881011083</v>
      </c>
      <c r="L50" s="274">
        <v>0.14710620881011083</v>
      </c>
      <c r="M50" s="61"/>
      <c r="N50" s="61"/>
      <c r="O50" s="61"/>
      <c r="P50" s="61"/>
      <c r="Q50" s="61"/>
      <c r="R50" s="61"/>
      <c r="S50" s="61"/>
    </row>
    <row r="51" spans="1:19" ht="15.75" thickBot="1" x14ac:dyDescent="0.3">
      <c r="A51" s="118" t="s">
        <v>112</v>
      </c>
      <c r="B51" s="265"/>
      <c r="C51" s="266"/>
      <c r="D51" s="266"/>
      <c r="E51" s="266"/>
      <c r="F51" s="266"/>
      <c r="G51" s="267"/>
      <c r="H51" s="266">
        <f>H47/(1+H50)^H49</f>
        <v>930.94702757977927</v>
      </c>
      <c r="I51" s="266">
        <f t="shared" ref="I51:K51" si="29">I47/(1+I50)^I49</f>
        <v>1115.9997137316295</v>
      </c>
      <c r="J51" s="266">
        <f t="shared" si="29"/>
        <v>1580.9012805426012</v>
      </c>
      <c r="K51" s="266">
        <f t="shared" si="29"/>
        <v>1449.705652586031</v>
      </c>
      <c r="L51" s="266">
        <f>L47/(1+L50)^L49</f>
        <v>1428.4680551338531</v>
      </c>
      <c r="M51" s="66"/>
      <c r="N51" s="66"/>
      <c r="O51" s="66"/>
      <c r="P51" s="66"/>
      <c r="Q51" s="66"/>
      <c r="R51" s="66"/>
      <c r="S51" s="66"/>
    </row>
  </sheetData>
  <mergeCells count="2">
    <mergeCell ref="B1:F1"/>
    <mergeCell ref="N1:S1"/>
  </mergeCells>
  <pageMargins left="0.7" right="0.7" top="0.75" bottom="0.75" header="0.3" footer="0.3"/>
  <pageSetup paperSize="11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166D6-A4EB-43D8-A840-3E82EEFDF7A6}">
  <dimension ref="B1:N39"/>
  <sheetViews>
    <sheetView zoomScale="70" zoomScaleNormal="55" workbookViewId="0">
      <selection activeCell="O22" sqref="O22"/>
    </sheetView>
  </sheetViews>
  <sheetFormatPr defaultColWidth="8.7109375" defaultRowHeight="15" x14ac:dyDescent="0.25"/>
  <cols>
    <col min="1" max="1" width="2.5703125" style="99" customWidth="1"/>
    <col min="2" max="2" width="30.5703125" style="99" bestFit="1" customWidth="1"/>
    <col min="3" max="3" width="11.7109375" style="99" customWidth="1"/>
    <col min="4" max="4" width="10.7109375" style="99" bestFit="1" customWidth="1"/>
    <col min="5" max="5" width="12.5703125" style="99" bestFit="1" customWidth="1"/>
    <col min="6" max="6" width="20.5703125" style="99" bestFit="1" customWidth="1"/>
    <col min="7" max="7" width="2.5703125" style="99" customWidth="1"/>
    <col min="8" max="8" width="16.42578125" style="99" customWidth="1"/>
    <col min="9" max="9" width="17.140625" style="99" bestFit="1" customWidth="1"/>
    <col min="10" max="10" width="8.85546875" style="99" bestFit="1" customWidth="1"/>
    <col min="11" max="11" width="11.5703125" style="99" bestFit="1" customWidth="1"/>
    <col min="12" max="12" width="10.7109375" style="99" bestFit="1" customWidth="1"/>
    <col min="13" max="13" width="12.7109375" style="99" bestFit="1" customWidth="1"/>
    <col min="14" max="14" width="2.5703125" style="99" customWidth="1"/>
    <col min="15" max="15" width="33.140625" style="99" customWidth="1"/>
    <col min="16" max="16" width="7.28515625" style="99" bestFit="1" customWidth="1"/>
    <col min="17" max="17" width="8.85546875" style="99" bestFit="1" customWidth="1"/>
    <col min="18" max="18" width="9.7109375" style="99" bestFit="1" customWidth="1"/>
    <col min="19" max="19" width="10.7109375" style="99" bestFit="1" customWidth="1"/>
    <col min="20" max="20" width="9.7109375" style="99" bestFit="1" customWidth="1"/>
    <col min="21" max="16384" width="8.7109375" style="99"/>
  </cols>
  <sheetData>
    <row r="1" spans="2:14" x14ac:dyDescent="0.25">
      <c r="B1" s="318" t="s">
        <v>216</v>
      </c>
      <c r="C1" s="319"/>
      <c r="D1" s="319"/>
      <c r="E1" s="320"/>
      <c r="H1" s="203" t="s">
        <v>229</v>
      </c>
      <c r="I1" s="204"/>
      <c r="J1" s="204"/>
      <c r="K1" s="204"/>
      <c r="L1" s="204"/>
      <c r="M1" s="205"/>
    </row>
    <row r="2" spans="2:14" x14ac:dyDescent="0.25">
      <c r="B2" s="147" t="s">
        <v>114</v>
      </c>
      <c r="C2" s="141" t="s">
        <v>115</v>
      </c>
      <c r="D2" s="141" t="s">
        <v>116</v>
      </c>
      <c r="E2" s="148" t="s">
        <v>82</v>
      </c>
      <c r="H2" s="145" t="s">
        <v>115</v>
      </c>
      <c r="I2" s="142"/>
      <c r="J2" s="142" t="s">
        <v>116</v>
      </c>
      <c r="K2" s="142"/>
      <c r="L2" s="143" t="s">
        <v>82</v>
      </c>
      <c r="M2" s="146"/>
    </row>
    <row r="3" spans="2:14" ht="17.25" customHeight="1" x14ac:dyDescent="0.25">
      <c r="B3" s="113" t="s">
        <v>157</v>
      </c>
      <c r="C3" s="157">
        <v>42.4</v>
      </c>
      <c r="D3" s="157">
        <f>23585/6598</f>
        <v>3.5745680509245226</v>
      </c>
      <c r="E3" s="158">
        <v>23</v>
      </c>
      <c r="H3" s="147" t="s">
        <v>117</v>
      </c>
      <c r="I3" s="141">
        <f>'Data Sheet'!$B$6</f>
        <v>47638745.260255083</v>
      </c>
      <c r="J3" s="141" t="s">
        <v>6</v>
      </c>
      <c r="K3" s="141">
        <f>'FCFF Forecast and DCF'!$F$3</f>
        <v>2925.54</v>
      </c>
      <c r="L3" s="141" t="s">
        <v>46</v>
      </c>
      <c r="M3" s="148">
        <f>'FCFF Forecast and DCF'!$F$21</f>
        <v>840.43999999999994</v>
      </c>
    </row>
    <row r="4" spans="2:14" x14ac:dyDescent="0.25">
      <c r="B4" s="147" t="s">
        <v>208</v>
      </c>
      <c r="C4" s="157">
        <v>25.4</v>
      </c>
      <c r="D4" s="157">
        <f>1653/491</f>
        <v>3.3665987780040734</v>
      </c>
      <c r="E4" s="158">
        <v>12.7</v>
      </c>
      <c r="H4" s="147" t="s">
        <v>118</v>
      </c>
      <c r="I4" s="141">
        <f>'Data Sheet'!$F$28*10000000/'Data Sheet'!$B$6</f>
        <v>107.80930463096954</v>
      </c>
      <c r="J4" s="141" t="s">
        <v>84</v>
      </c>
      <c r="K4" s="141">
        <f ca="1">D8*$K$3</f>
        <v>10153.330602351882</v>
      </c>
      <c r="L4" s="141" t="s">
        <v>84</v>
      </c>
      <c r="M4" s="148">
        <f ca="1">E8*$M$3</f>
        <v>11976.269999999999</v>
      </c>
    </row>
    <row r="5" spans="2:14" x14ac:dyDescent="0.25">
      <c r="B5" s="147" t="s">
        <v>212</v>
      </c>
      <c r="C5" s="157">
        <v>71.8</v>
      </c>
      <c r="D5" s="157">
        <f>5306/4574</f>
        <v>1.1600349803235679</v>
      </c>
      <c r="E5" s="158">
        <v>6.8</v>
      </c>
      <c r="H5" s="147" t="s">
        <v>54</v>
      </c>
      <c r="I5" s="144">
        <f ca="1">C8*$I$4</f>
        <v>3730.2019402315459</v>
      </c>
      <c r="J5" s="141" t="s">
        <v>119</v>
      </c>
      <c r="K5" s="141">
        <f>'WACC Calculations'!$R$4</f>
        <v>0</v>
      </c>
      <c r="L5" s="141" t="s">
        <v>119</v>
      </c>
      <c r="M5" s="148">
        <f>$K$5</f>
        <v>0</v>
      </c>
    </row>
    <row r="6" spans="2:14" x14ac:dyDescent="0.25">
      <c r="B6" s="147" t="s">
        <v>214</v>
      </c>
      <c r="C6" s="157">
        <v>26.8</v>
      </c>
      <c r="D6" s="157">
        <f>13461/3023</f>
        <v>4.4528613959642742</v>
      </c>
      <c r="E6" s="158">
        <v>15.8</v>
      </c>
      <c r="H6" s="149"/>
      <c r="I6" s="140"/>
      <c r="J6" s="141" t="s">
        <v>120</v>
      </c>
      <c r="K6" s="141">
        <f>'Balance Sheet Forecast'!$E$19</f>
        <v>427.93</v>
      </c>
      <c r="L6" s="141" t="s">
        <v>120</v>
      </c>
      <c r="M6" s="148">
        <f>$K$6</f>
        <v>427.93</v>
      </c>
    </row>
    <row r="7" spans="2:14" ht="15.75" thickBot="1" x14ac:dyDescent="0.3">
      <c r="B7" s="149"/>
      <c r="C7" s="140"/>
      <c r="D7" s="140"/>
      <c r="E7" s="321"/>
      <c r="H7" s="150"/>
      <c r="I7" s="151"/>
      <c r="J7" s="152" t="s">
        <v>54</v>
      </c>
      <c r="K7" s="285">
        <f ca="1">(K4-K5+K6)*10000000/$I$3</f>
        <v>2221.1459484386983</v>
      </c>
      <c r="L7" s="152" t="s">
        <v>54</v>
      </c>
      <c r="M7" s="154">
        <f ca="1">(M4-M5+M6)*10000000/$I$3</f>
        <v>2603.8049348769896</v>
      </c>
    </row>
    <row r="8" spans="2:14" ht="15.75" thickBot="1" x14ac:dyDescent="0.3">
      <c r="B8" s="147" t="s">
        <v>229</v>
      </c>
      <c r="C8" s="159">
        <f ca="1">MEDIAN(C3:C10)</f>
        <v>34.6</v>
      </c>
      <c r="D8" s="159">
        <f ca="1">MEDIAN(D3:D10)</f>
        <v>3.470583414464298</v>
      </c>
      <c r="E8" s="160">
        <f ca="1">MEDIAN(E3:E10)</f>
        <v>14.25</v>
      </c>
    </row>
    <row r="9" spans="2:14" x14ac:dyDescent="0.25">
      <c r="B9" s="155" t="s">
        <v>140</v>
      </c>
      <c r="C9" s="157">
        <f ca="1">_xlfn.QUARTILE.INC(C3:C10,3)</f>
        <v>42.400000000000006</v>
      </c>
      <c r="D9" s="157">
        <f ca="1">_xlfn.QUARTILE.INC(D3:D10,3)</f>
        <v>3.5745680509245226</v>
      </c>
      <c r="E9" s="158">
        <f ca="1">_xlfn.QUARTILE.INC(E3:E10,3)</f>
        <v>15.8</v>
      </c>
      <c r="H9" s="204" t="s">
        <v>154</v>
      </c>
      <c r="I9" s="204"/>
      <c r="J9" s="204"/>
      <c r="K9" s="204"/>
      <c r="L9" s="204"/>
      <c r="M9" s="205"/>
    </row>
    <row r="10" spans="2:14" ht="15.75" thickBot="1" x14ac:dyDescent="0.3">
      <c r="B10" s="156" t="s">
        <v>141</v>
      </c>
      <c r="C10" s="161">
        <f ca="1">_xlfn.QUARTILE.INC(C3:C10,1)</f>
        <v>26.799999999999997</v>
      </c>
      <c r="D10" s="161">
        <f ca="1">_xlfn.QUARTILE.INC(D3:D10,1)</f>
        <v>3.3665987780040734</v>
      </c>
      <c r="E10" s="162">
        <f ca="1">_xlfn.QUARTILE.INC(E3:E10,1)</f>
        <v>12.7</v>
      </c>
      <c r="H10" s="145" t="s">
        <v>115</v>
      </c>
      <c r="I10" s="142"/>
      <c r="J10" s="142" t="s">
        <v>116</v>
      </c>
      <c r="K10" s="142"/>
      <c r="L10" s="143" t="s">
        <v>82</v>
      </c>
      <c r="M10" s="146"/>
    </row>
    <row r="11" spans="2:14" x14ac:dyDescent="0.25">
      <c r="H11" s="147" t="s">
        <v>117</v>
      </c>
      <c r="I11" s="141">
        <f>'Data Sheet'!$B$6</f>
        <v>47638745.260255083</v>
      </c>
      <c r="J11" s="141" t="s">
        <v>6</v>
      </c>
      <c r="K11" s="141">
        <f>'FCFF Forecast and DCF'!$F$3</f>
        <v>2925.54</v>
      </c>
      <c r="L11" s="141" t="s">
        <v>46</v>
      </c>
      <c r="M11" s="148">
        <f>'FCFF Forecast and DCF'!$F$21</f>
        <v>840.43999999999994</v>
      </c>
    </row>
    <row r="12" spans="2:14" ht="15.75" thickBot="1" x14ac:dyDescent="0.3">
      <c r="H12" s="147" t="s">
        <v>118</v>
      </c>
      <c r="I12" s="141">
        <f>I4</f>
        <v>107.80930463096954</v>
      </c>
      <c r="J12" s="141" t="s">
        <v>84</v>
      </c>
      <c r="K12" s="141">
        <f ca="1">D9*$K$3</f>
        <v>10457.541815701728</v>
      </c>
      <c r="L12" s="141" t="s">
        <v>84</v>
      </c>
      <c r="M12" s="148">
        <f ca="1">E9*$M$3</f>
        <v>13278.951999999999</v>
      </c>
    </row>
    <row r="13" spans="2:14" x14ac:dyDescent="0.25">
      <c r="B13" s="166" t="s">
        <v>150</v>
      </c>
      <c r="C13" s="167" t="s">
        <v>152</v>
      </c>
      <c r="D13" s="167" t="s">
        <v>146</v>
      </c>
      <c r="E13" s="167" t="s">
        <v>147</v>
      </c>
      <c r="F13" s="168" t="s">
        <v>148</v>
      </c>
      <c r="H13" s="147" t="s">
        <v>54</v>
      </c>
      <c r="I13" s="144">
        <f ca="1">C9*$I$4</f>
        <v>4571.1145163531091</v>
      </c>
      <c r="J13" s="141" t="s">
        <v>119</v>
      </c>
      <c r="K13" s="141">
        <f>'WACC Calculations'!$R$4</f>
        <v>0</v>
      </c>
      <c r="L13" s="141" t="s">
        <v>119</v>
      </c>
      <c r="M13" s="148">
        <f>$K$5</f>
        <v>0</v>
      </c>
    </row>
    <row r="14" spans="2:14" ht="15.75" x14ac:dyDescent="0.25">
      <c r="B14" s="163" t="s">
        <v>143</v>
      </c>
      <c r="C14" s="141">
        <v>0</v>
      </c>
      <c r="D14" s="141">
        <f ca="1">K24</f>
        <v>2157.2880085018023</v>
      </c>
      <c r="E14" s="141">
        <f ca="1">K7</f>
        <v>2221.1459484386983</v>
      </c>
      <c r="F14" s="148">
        <f ca="1">K15</f>
        <v>2285.0038883755947</v>
      </c>
      <c r="H14" s="149"/>
      <c r="I14" s="140"/>
      <c r="J14" s="141" t="s">
        <v>120</v>
      </c>
      <c r="K14" s="141">
        <f>'Balance Sheet Forecast'!$E$19</f>
        <v>427.93</v>
      </c>
      <c r="L14" s="141" t="s">
        <v>120</v>
      </c>
      <c r="M14" s="148">
        <f>$K$6</f>
        <v>427.93</v>
      </c>
    </row>
    <row r="15" spans="2:14" ht="16.5" thickBot="1" x14ac:dyDescent="0.3">
      <c r="B15" s="163" t="s">
        <v>215</v>
      </c>
      <c r="C15" s="141">
        <v>0</v>
      </c>
      <c r="D15" s="141">
        <f ca="1">M24</f>
        <v>2330.3548276410997</v>
      </c>
      <c r="E15" s="141">
        <f ca="1">M7</f>
        <v>2603.8049348769896</v>
      </c>
      <c r="F15" s="148">
        <f ca="1">M15</f>
        <v>2877.2550421128799</v>
      </c>
      <c r="G15" s="165"/>
      <c r="H15" s="150"/>
      <c r="I15" s="151"/>
      <c r="J15" s="152" t="s">
        <v>54</v>
      </c>
      <c r="K15" s="153">
        <f ca="1">(K12-K13+K14)*10000000/$I$3</f>
        <v>2285.0038883755947</v>
      </c>
      <c r="L15" s="152" t="s">
        <v>54</v>
      </c>
      <c r="M15" s="154">
        <f ca="1">(M12-M13+M14)*10000000/$I$3</f>
        <v>2877.2550421128799</v>
      </c>
      <c r="N15" s="165"/>
    </row>
    <row r="16" spans="2:14" ht="15.75" x14ac:dyDescent="0.25">
      <c r="B16" s="163" t="s">
        <v>230</v>
      </c>
      <c r="C16" s="141">
        <v>0</v>
      </c>
      <c r="D16" s="141">
        <f ca="1">I22</f>
        <v>2889.2893641099831</v>
      </c>
      <c r="E16" s="141">
        <f ca="1">I5</f>
        <v>3730.2019402315459</v>
      </c>
      <c r="F16" s="148">
        <f ca="1">I13</f>
        <v>4571.1145163531091</v>
      </c>
    </row>
    <row r="17" spans="2:13" ht="16.5" thickBot="1" x14ac:dyDescent="0.3">
      <c r="B17" s="164" t="s">
        <v>213</v>
      </c>
      <c r="C17" s="152">
        <v>0</v>
      </c>
      <c r="D17" s="152">
        <f>_xlfn.QUARTILE.INC('FCFF Forecast and DCF'!$AC$4:$AG$8,1)</f>
        <v>2404.6026211777043</v>
      </c>
      <c r="E17" s="152">
        <f>_xlfn.QUARTILE.INC('FCFF Forecast and DCF'!$AC$4:$AG$8,2)</f>
        <v>3022.005495766397</v>
      </c>
      <c r="F17" s="152">
        <f>_xlfn.QUARTILE.INC('FCFF Forecast and DCF'!$AC$4:$AG$8,3)</f>
        <v>4365.4006689153639</v>
      </c>
      <c r="I17" s="165"/>
      <c r="J17" s="165"/>
      <c r="K17" s="165"/>
    </row>
    <row r="18" spans="2:13" x14ac:dyDescent="0.25">
      <c r="H18" s="204" t="s">
        <v>219</v>
      </c>
      <c r="I18" s="204"/>
      <c r="J18" s="204"/>
      <c r="K18" s="204"/>
      <c r="L18" s="204"/>
      <c r="M18" s="205"/>
    </row>
    <row r="19" spans="2:13" x14ac:dyDescent="0.25">
      <c r="H19" s="145" t="s">
        <v>115</v>
      </c>
      <c r="I19" s="142"/>
      <c r="J19" s="142" t="s">
        <v>116</v>
      </c>
      <c r="K19" s="142"/>
      <c r="L19" s="143" t="s">
        <v>82</v>
      </c>
      <c r="M19" s="146"/>
    </row>
    <row r="20" spans="2:13" x14ac:dyDescent="0.25">
      <c r="H20" s="147" t="s">
        <v>117</v>
      </c>
      <c r="I20" s="141">
        <f>'Data Sheet'!$B$6</f>
        <v>47638745.260255083</v>
      </c>
      <c r="J20" s="141" t="s">
        <v>6</v>
      </c>
      <c r="K20" s="141">
        <f>'FCFF Forecast and DCF'!$F$3</f>
        <v>2925.54</v>
      </c>
      <c r="L20" s="141" t="s">
        <v>46</v>
      </c>
      <c r="M20" s="148">
        <f>'FCFF Forecast and DCF'!$F$21</f>
        <v>840.43999999999994</v>
      </c>
    </row>
    <row r="21" spans="2:13" x14ac:dyDescent="0.25">
      <c r="H21" s="147" t="s">
        <v>118</v>
      </c>
      <c r="I21" s="141">
        <f>I12</f>
        <v>107.80930463096954</v>
      </c>
      <c r="J21" s="141" t="s">
        <v>84</v>
      </c>
      <c r="K21" s="141">
        <f ca="1">D10*$K$3</f>
        <v>9849.1193890020368</v>
      </c>
      <c r="L21" s="141" t="s">
        <v>84</v>
      </c>
      <c r="M21" s="148">
        <f ca="1">E10*$M$3</f>
        <v>10673.587999999998</v>
      </c>
    </row>
    <row r="22" spans="2:13" x14ac:dyDescent="0.25">
      <c r="H22" s="147" t="s">
        <v>54</v>
      </c>
      <c r="I22" s="144">
        <f ca="1">C10*$I$4</f>
        <v>2889.2893641099831</v>
      </c>
      <c r="J22" s="141" t="s">
        <v>119</v>
      </c>
      <c r="K22" s="141">
        <f>'WACC Calculations'!$R$4</f>
        <v>0</v>
      </c>
      <c r="L22" s="141" t="s">
        <v>119</v>
      </c>
      <c r="M22" s="148">
        <f>$K$5</f>
        <v>0</v>
      </c>
    </row>
    <row r="23" spans="2:13" x14ac:dyDescent="0.25">
      <c r="H23" s="149"/>
      <c r="I23" s="140"/>
      <c r="J23" s="141" t="s">
        <v>120</v>
      </c>
      <c r="K23" s="141">
        <f>'Balance Sheet Forecast'!$E$19</f>
        <v>427.93</v>
      </c>
      <c r="L23" s="141" t="s">
        <v>120</v>
      </c>
      <c r="M23" s="148">
        <f>$K$6</f>
        <v>427.93</v>
      </c>
    </row>
    <row r="24" spans="2:13" ht="15.75" thickBot="1" x14ac:dyDescent="0.3">
      <c r="H24" s="150"/>
      <c r="I24" s="151"/>
      <c r="J24" s="152" t="s">
        <v>54</v>
      </c>
      <c r="K24" s="153">
        <f ca="1">(K21-K22+K23)*10000000/$I$3</f>
        <v>2157.2880085018023</v>
      </c>
      <c r="L24" s="152" t="s">
        <v>54</v>
      </c>
      <c r="M24" s="154">
        <f ca="1">(M21-M22+M23)*10000000/$I$3</f>
        <v>2330.3548276410997</v>
      </c>
    </row>
    <row r="27" spans="2:13" ht="15.75" thickBot="1" x14ac:dyDescent="0.3"/>
    <row r="28" spans="2:13" ht="15.75" thickBot="1" x14ac:dyDescent="0.3">
      <c r="B28" s="328" t="s">
        <v>160</v>
      </c>
      <c r="C28" s="326" t="s">
        <v>156</v>
      </c>
      <c r="D28" s="326"/>
      <c r="E28" s="326"/>
      <c r="F28" s="327"/>
    </row>
    <row r="29" spans="2:13" ht="60" customHeight="1" x14ac:dyDescent="0.25">
      <c r="B29" s="329" t="s">
        <v>158</v>
      </c>
      <c r="C29" s="322" t="s">
        <v>159</v>
      </c>
      <c r="D29" s="322"/>
      <c r="E29" s="322"/>
      <c r="F29" s="323"/>
    </row>
    <row r="30" spans="2:13" ht="45.75" customHeight="1" x14ac:dyDescent="0.25">
      <c r="B30" s="329" t="s">
        <v>208</v>
      </c>
      <c r="C30" s="322" t="s">
        <v>211</v>
      </c>
      <c r="D30" s="322"/>
      <c r="E30" s="322"/>
      <c r="F30" s="323"/>
    </row>
    <row r="31" spans="2:13" ht="44.25" customHeight="1" thickBot="1" x14ac:dyDescent="0.3">
      <c r="B31" s="330" t="s">
        <v>209</v>
      </c>
      <c r="C31" s="324" t="s">
        <v>210</v>
      </c>
      <c r="D31" s="324"/>
      <c r="E31" s="324"/>
      <c r="F31" s="325"/>
    </row>
    <row r="39" ht="15.75" customHeight="1" x14ac:dyDescent="0.25"/>
  </sheetData>
  <mergeCells count="4">
    <mergeCell ref="C28:F28"/>
    <mergeCell ref="C29:F29"/>
    <mergeCell ref="C31:F31"/>
    <mergeCell ref="C30:F30"/>
  </mergeCells>
  <pageMargins left="0.7" right="0.7" top="0.75" bottom="0.75" header="0.3" footer="0.3"/>
  <pageSetup paperSize="11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D2AB5-C182-4A19-962A-C4328A89B592}">
  <dimension ref="B1:F12"/>
  <sheetViews>
    <sheetView workbookViewId="0">
      <selection activeCell="F15" sqref="F15"/>
    </sheetView>
  </sheetViews>
  <sheetFormatPr defaultRowHeight="15" x14ac:dyDescent="0.25"/>
  <cols>
    <col min="1" max="1" width="3" customWidth="1"/>
    <col min="2" max="2" width="11.7109375" bestFit="1" customWidth="1"/>
    <col min="3" max="3" width="12.7109375" customWidth="1"/>
    <col min="4" max="6" width="10.42578125" customWidth="1"/>
    <col min="7" max="7" width="11.140625" customWidth="1"/>
    <col min="8" max="8" width="2.85546875" customWidth="1"/>
    <col min="9" max="9" width="30.42578125" customWidth="1"/>
  </cols>
  <sheetData>
    <row r="1" spans="2:6" x14ac:dyDescent="0.25">
      <c r="B1" s="68"/>
      <c r="C1" s="68"/>
      <c r="D1" s="68"/>
      <c r="E1" s="68"/>
      <c r="F1" s="68"/>
    </row>
    <row r="2" spans="2:6" x14ac:dyDescent="0.25">
      <c r="B2" s="180"/>
      <c r="C2" s="180" t="s">
        <v>95</v>
      </c>
      <c r="D2" s="180" t="s">
        <v>115</v>
      </c>
      <c r="E2" s="180" t="s">
        <v>121</v>
      </c>
      <c r="F2" s="180" t="s">
        <v>82</v>
      </c>
    </row>
    <row r="3" spans="2:6" x14ac:dyDescent="0.25">
      <c r="B3" s="57" t="s">
        <v>155</v>
      </c>
      <c r="C3" s="62">
        <v>0.7</v>
      </c>
      <c r="D3" s="62">
        <v>0.05</v>
      </c>
      <c r="E3" s="62">
        <v>0.15</v>
      </c>
      <c r="F3" s="62">
        <v>0.1</v>
      </c>
    </row>
    <row r="4" spans="2:6" x14ac:dyDescent="0.25">
      <c r="B4" s="57" t="s">
        <v>113</v>
      </c>
      <c r="C4" s="222">
        <f>'FCFF Forecast and DCF'!Y10</f>
        <v>4030.4610732677156</v>
      </c>
      <c r="D4" s="222">
        <f ca="1">'Relative Valuation'!I5</f>
        <v>3730.2019402315459</v>
      </c>
      <c r="E4" s="222">
        <f ca="1">'Relative Valuation'!K7</f>
        <v>2221.1459484386983</v>
      </c>
      <c r="F4" s="222">
        <f ca="1">'Relative Valuation'!M7</f>
        <v>2603.8049348769896</v>
      </c>
    </row>
    <row r="5" spans="2:6" x14ac:dyDescent="0.25">
      <c r="C5" s="54"/>
      <c r="D5" s="54"/>
      <c r="E5" s="54"/>
      <c r="F5" s="54"/>
    </row>
    <row r="6" spans="2:6" x14ac:dyDescent="0.25">
      <c r="B6" s="57" t="s">
        <v>122</v>
      </c>
      <c r="C6" s="286">
        <f ca="1">SUMPRODUCT(C3:F3,C4:F4)</f>
        <v>3601.3852340524818</v>
      </c>
      <c r="D6" s="179">
        <f ca="1">C6/'Data Sheet'!B8-1</f>
        <v>0.24142889832901826</v>
      </c>
      <c r="E6" s="54"/>
      <c r="F6" s="54"/>
    </row>
    <row r="8" spans="2:6" x14ac:dyDescent="0.25">
      <c r="B8" t="s">
        <v>228</v>
      </c>
      <c r="C8" t="s">
        <v>193</v>
      </c>
    </row>
    <row r="9" spans="2:6" x14ac:dyDescent="0.25">
      <c r="B9" t="s">
        <v>220</v>
      </c>
      <c r="C9" t="s">
        <v>221</v>
      </c>
    </row>
    <row r="10" spans="2:6" x14ac:dyDescent="0.25">
      <c r="B10" t="s">
        <v>225</v>
      </c>
      <c r="C10" t="s">
        <v>222</v>
      </c>
    </row>
    <row r="11" spans="2:6" x14ac:dyDescent="0.25">
      <c r="B11" t="s">
        <v>226</v>
      </c>
      <c r="C11" t="s">
        <v>223</v>
      </c>
    </row>
    <row r="12" spans="2:6" x14ac:dyDescent="0.25">
      <c r="B12" t="s">
        <v>227</v>
      </c>
      <c r="C12" t="s">
        <v>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48673-D649-4C4D-AC6F-2A97120927A3}">
  <dimension ref="B1:J25"/>
  <sheetViews>
    <sheetView topLeftCell="B1" zoomScale="88" workbookViewId="0">
      <selection activeCell="D3" sqref="D3"/>
    </sheetView>
  </sheetViews>
  <sheetFormatPr defaultColWidth="8.7109375" defaultRowHeight="15" x14ac:dyDescent="0.25"/>
  <cols>
    <col min="1" max="1" width="8.7109375" style="70"/>
    <col min="2" max="2" width="27.42578125" style="70" customWidth="1"/>
    <col min="3" max="6" width="9.85546875" style="70" bestFit="1" customWidth="1"/>
    <col min="7" max="16384" width="8.7109375" style="70"/>
  </cols>
  <sheetData>
    <row r="1" spans="2:6" ht="15.75" thickBot="1" x14ac:dyDescent="0.3"/>
    <row r="2" spans="2:6" x14ac:dyDescent="0.25">
      <c r="B2" s="181" t="s">
        <v>151</v>
      </c>
      <c r="C2" s="182" t="s">
        <v>152</v>
      </c>
      <c r="D2" s="182" t="s">
        <v>146</v>
      </c>
      <c r="E2" s="182" t="s">
        <v>147</v>
      </c>
      <c r="F2" s="183" t="s">
        <v>148</v>
      </c>
    </row>
    <row r="3" spans="2:6" ht="15.75" x14ac:dyDescent="0.25">
      <c r="B3" s="184" t="s">
        <v>143</v>
      </c>
      <c r="C3" s="185">
        <v>0</v>
      </c>
      <c r="D3" s="186">
        <f ca="1">'Relative Valuation'!D14</f>
        <v>2157.2880085018023</v>
      </c>
      <c r="E3" s="186">
        <f ca="1">'Relative Valuation'!E14-'Relative Valuation'!D14</f>
        <v>63.857939936895946</v>
      </c>
      <c r="F3" s="187">
        <f ca="1">'Relative Valuation'!F14-'Relative Valuation'!E14</f>
        <v>63.8579399368964</v>
      </c>
    </row>
    <row r="4" spans="2:6" ht="15.75" x14ac:dyDescent="0.25">
      <c r="B4" s="184"/>
      <c r="C4" s="185"/>
      <c r="D4" s="185"/>
      <c r="E4" s="186"/>
      <c r="F4" s="187"/>
    </row>
    <row r="5" spans="2:6" ht="15.75" x14ac:dyDescent="0.25">
      <c r="B5" s="184" t="s">
        <v>144</v>
      </c>
      <c r="C5" s="185">
        <v>0</v>
      </c>
      <c r="D5" s="188">
        <f ca="1">'Relative Valuation'!D15</f>
        <v>2330.3548276410997</v>
      </c>
      <c r="E5" s="186">
        <f ca="1">'Relative Valuation'!E15-'Relative Valuation'!D15</f>
        <v>273.45010723588985</v>
      </c>
      <c r="F5" s="187">
        <f ca="1">'Relative Valuation'!F15-'Relative Valuation'!E15</f>
        <v>273.4501072358903</v>
      </c>
    </row>
    <row r="6" spans="2:6" ht="15.75" x14ac:dyDescent="0.25">
      <c r="B6" s="184"/>
      <c r="C6" s="185"/>
      <c r="D6" s="185"/>
      <c r="E6" s="186"/>
      <c r="F6" s="187"/>
    </row>
    <row r="7" spans="2:6" ht="15.75" x14ac:dyDescent="0.25">
      <c r="B7" s="184" t="s">
        <v>145</v>
      </c>
      <c r="C7" s="185">
        <v>0</v>
      </c>
      <c r="D7" s="186">
        <f ca="1">'Relative Valuation'!D16</f>
        <v>2889.2893641099831</v>
      </c>
      <c r="E7" s="186">
        <f ca="1">'Relative Valuation'!E16-'Relative Valuation'!D16</f>
        <v>840.91257612156278</v>
      </c>
      <c r="F7" s="187">
        <f ca="1">'Relative Valuation'!F16-'Relative Valuation'!E16</f>
        <v>840.91257612156323</v>
      </c>
    </row>
    <row r="8" spans="2:6" ht="15.75" x14ac:dyDescent="0.25">
      <c r="B8" s="184"/>
      <c r="C8" s="185"/>
      <c r="D8" s="185"/>
      <c r="E8" s="186"/>
      <c r="F8" s="187"/>
    </row>
    <row r="9" spans="2:6" x14ac:dyDescent="0.25">
      <c r="B9" s="189" t="s">
        <v>213</v>
      </c>
      <c r="C9" s="185">
        <v>0</v>
      </c>
      <c r="D9" s="186">
        <f>'Relative Valuation'!D17</f>
        <v>2404.6026211777043</v>
      </c>
      <c r="E9" s="186">
        <f>'Relative Valuation'!E17-'Relative Valuation'!D17</f>
        <v>617.40287458869261</v>
      </c>
      <c r="F9" s="187">
        <f>'Relative Valuation'!F17-'Relative Valuation'!E17</f>
        <v>1343.3951731489669</v>
      </c>
    </row>
    <row r="10" spans="2:6" x14ac:dyDescent="0.25">
      <c r="B10" s="189"/>
      <c r="C10" s="185"/>
      <c r="D10" s="185"/>
      <c r="E10" s="185"/>
      <c r="F10" s="190"/>
    </row>
    <row r="11" spans="2:6" ht="15.75" thickBot="1" x14ac:dyDescent="0.3">
      <c r="B11" s="191" t="s">
        <v>142</v>
      </c>
      <c r="C11" s="192">
        <f>'Data Sheet'!B8</f>
        <v>2901</v>
      </c>
      <c r="D11" s="192">
        <f>C11</f>
        <v>2901</v>
      </c>
      <c r="E11" s="192">
        <f>D11</f>
        <v>2901</v>
      </c>
      <c r="F11" s="193">
        <f>E11</f>
        <v>2901</v>
      </c>
    </row>
    <row r="13" spans="2:6" ht="15.75" thickBot="1" x14ac:dyDescent="0.3"/>
    <row r="14" spans="2:6" x14ac:dyDescent="0.25">
      <c r="B14" s="339" t="s">
        <v>232</v>
      </c>
      <c r="C14" s="340"/>
      <c r="D14" s="340"/>
      <c r="E14" s="341"/>
    </row>
    <row r="15" spans="2:6" x14ac:dyDescent="0.25">
      <c r="B15" s="331" t="s">
        <v>233</v>
      </c>
      <c r="C15" s="332"/>
      <c r="D15" s="332"/>
      <c r="E15" s="333"/>
    </row>
    <row r="16" spans="2:6" ht="15.75" thickBot="1" x14ac:dyDescent="0.3">
      <c r="B16" s="334" t="s">
        <v>234</v>
      </c>
      <c r="C16" s="335"/>
      <c r="D16" s="335"/>
      <c r="E16" s="336"/>
      <c r="F16" s="288"/>
    </row>
    <row r="17" spans="3:10" x14ac:dyDescent="0.25">
      <c r="C17" s="288"/>
      <c r="D17" s="288"/>
      <c r="E17" s="288"/>
      <c r="F17" s="288"/>
    </row>
    <row r="18" spans="3:10" x14ac:dyDescent="0.25">
      <c r="C18" s="288"/>
      <c r="D18" s="288"/>
      <c r="E18" s="288"/>
      <c r="F18" s="288"/>
    </row>
    <row r="19" spans="3:10" x14ac:dyDescent="0.25">
      <c r="C19" s="288"/>
      <c r="D19" s="288"/>
      <c r="E19" s="288"/>
      <c r="F19" s="288"/>
    </row>
    <row r="20" spans="3:10" x14ac:dyDescent="0.25">
      <c r="F20" s="288"/>
    </row>
    <row r="25" spans="3:10" x14ac:dyDescent="0.25">
      <c r="J25"/>
    </row>
  </sheetData>
  <mergeCells count="1">
    <mergeCell ref="B14:E1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63FE2-A022-4E33-B23F-5AABFAA5A3F3}">
  <dimension ref="A1:L43"/>
  <sheetViews>
    <sheetView zoomScale="86" zoomScaleNormal="100" workbookViewId="0">
      <pane xSplit="1" ySplit="2" topLeftCell="B9" activePane="bottomRight" state="frozen"/>
      <selection pane="topRight" activeCell="B1" sqref="B1"/>
      <selection pane="bottomLeft" activeCell="A3" sqref="A3"/>
      <selection pane="bottomRight" activeCell="F19" sqref="F19"/>
    </sheetView>
  </sheetViews>
  <sheetFormatPr defaultRowHeight="15" x14ac:dyDescent="0.25"/>
  <cols>
    <col min="1" max="1" width="27.5703125" bestFit="1" customWidth="1"/>
    <col min="2" max="2" width="12.5703125" customWidth="1"/>
    <col min="3" max="4" width="12.5703125" bestFit="1" customWidth="1"/>
    <col min="5" max="5" width="13.28515625" customWidth="1"/>
    <col min="6" max="6" width="10.140625" bestFit="1" customWidth="1"/>
    <col min="7" max="7" width="10.140625" customWidth="1"/>
    <col min="8" max="8" width="12.7109375" bestFit="1" customWidth="1"/>
    <col min="13" max="13" width="3.140625" customWidth="1"/>
    <col min="14" max="14" width="30.42578125" customWidth="1"/>
  </cols>
  <sheetData>
    <row r="1" spans="1:12" x14ac:dyDescent="0.25">
      <c r="A1" s="107"/>
      <c r="B1" s="108"/>
      <c r="C1" s="298" t="s">
        <v>138</v>
      </c>
      <c r="D1" s="299"/>
      <c r="E1" s="300"/>
      <c r="F1" s="298" t="s">
        <v>137</v>
      </c>
      <c r="G1" s="299"/>
      <c r="H1" s="299"/>
      <c r="I1" s="299"/>
      <c r="J1" s="299"/>
      <c r="K1" s="299"/>
      <c r="L1" s="304"/>
    </row>
    <row r="2" spans="1:12" x14ac:dyDescent="0.25">
      <c r="A2" s="115" t="s">
        <v>43</v>
      </c>
      <c r="B2" s="194">
        <v>43921</v>
      </c>
      <c r="C2" s="194">
        <v>44286</v>
      </c>
      <c r="D2" s="194">
        <v>44651</v>
      </c>
      <c r="E2" s="194">
        <v>45016</v>
      </c>
      <c r="F2" s="194">
        <v>45382</v>
      </c>
      <c r="G2" s="194" t="s">
        <v>199</v>
      </c>
      <c r="H2" s="194">
        <v>45747</v>
      </c>
      <c r="I2" s="194">
        <v>46112</v>
      </c>
      <c r="J2" s="198">
        <v>46477</v>
      </c>
      <c r="K2" s="194">
        <v>46843</v>
      </c>
      <c r="L2" s="198">
        <v>47208</v>
      </c>
    </row>
    <row r="3" spans="1:12" x14ac:dyDescent="0.25">
      <c r="A3" s="98" t="s">
        <v>20</v>
      </c>
      <c r="B3" s="195">
        <f>'Data Sheet'!B34</f>
        <v>36.1</v>
      </c>
      <c r="C3" s="195">
        <f>'Data Sheet'!C34</f>
        <v>34.01</v>
      </c>
      <c r="D3" s="195">
        <f>'Data Sheet'!D34</f>
        <v>33.1</v>
      </c>
      <c r="E3" s="195">
        <f>'Data Sheet'!E34</f>
        <v>48.03</v>
      </c>
      <c r="F3" s="195">
        <f>'Data Sheet'!F34</f>
        <v>48.23</v>
      </c>
      <c r="G3" s="195"/>
      <c r="H3" s="195">
        <f>F3</f>
        <v>48.23</v>
      </c>
      <c r="I3" s="195">
        <f t="shared" ref="I3" si="0">H3</f>
        <v>48.23</v>
      </c>
      <c r="J3" s="195">
        <f t="shared" ref="J3" si="1">I3</f>
        <v>48.23</v>
      </c>
      <c r="K3" s="195">
        <f t="shared" ref="K3" si="2">J3</f>
        <v>48.23</v>
      </c>
      <c r="L3" s="195">
        <f t="shared" ref="L3" si="3">K3</f>
        <v>48.23</v>
      </c>
    </row>
    <row r="4" spans="1:12" x14ac:dyDescent="0.25">
      <c r="A4" s="98" t="s">
        <v>21</v>
      </c>
      <c r="B4" s="195">
        <f>'Data Sheet'!B35</f>
        <v>1270.1099999999999</v>
      </c>
      <c r="C4" s="195">
        <f>'Data Sheet'!C35</f>
        <v>1466.81</v>
      </c>
      <c r="D4" s="195">
        <f>'Data Sheet'!D35</f>
        <v>1534.49</v>
      </c>
      <c r="E4" s="195">
        <f>'Data Sheet'!E35</f>
        <v>1666.84</v>
      </c>
      <c r="F4" s="195">
        <f>'Data Sheet'!F35</f>
        <v>2199.27</v>
      </c>
      <c r="G4" s="195"/>
      <c r="H4" s="57">
        <f>F4*(1+H5)</f>
        <v>2532.8356758351656</v>
      </c>
      <c r="I4" s="57">
        <f>H4*(1+I5)</f>
        <v>2916.9936209666753</v>
      </c>
      <c r="J4" s="57">
        <f t="shared" ref="J4:L4" si="4">I4*(1+J5)</f>
        <v>3359.4172199720797</v>
      </c>
      <c r="K4" s="57">
        <f t="shared" si="4"/>
        <v>3868.9436880238786</v>
      </c>
      <c r="L4" s="57">
        <f t="shared" si="4"/>
        <v>4455.7505903432311</v>
      </c>
    </row>
    <row r="5" spans="1:12" x14ac:dyDescent="0.25">
      <c r="A5" s="98"/>
      <c r="B5" s="195"/>
      <c r="C5" s="269">
        <f>(C4-B4)/B4</f>
        <v>0.15486847595877526</v>
      </c>
      <c r="D5" s="269">
        <f t="shared" ref="D5:F5" si="5">(D4-C4)/C4</f>
        <v>4.6140945316707732E-2</v>
      </c>
      <c r="E5" s="269">
        <f t="shared" si="5"/>
        <v>8.6250154774550447E-2</v>
      </c>
      <c r="F5" s="269">
        <f t="shared" si="5"/>
        <v>0.31942477982289846</v>
      </c>
      <c r="G5" s="269">
        <f>AVERAGE(C5:F5)</f>
        <v>0.15167108896823298</v>
      </c>
      <c r="H5" s="64">
        <f>G5</f>
        <v>0.15167108896823298</v>
      </c>
      <c r="I5" s="64">
        <f t="shared" ref="I5:L5" si="6">H5</f>
        <v>0.15167108896823298</v>
      </c>
      <c r="J5" s="64">
        <f t="shared" si="6"/>
        <v>0.15167108896823298</v>
      </c>
      <c r="K5" s="64">
        <f t="shared" si="6"/>
        <v>0.15167108896823298</v>
      </c>
      <c r="L5" s="64">
        <f t="shared" si="6"/>
        <v>0.15167108896823298</v>
      </c>
    </row>
    <row r="6" spans="1:12" x14ac:dyDescent="0.25">
      <c r="A6" s="98" t="s">
        <v>22</v>
      </c>
      <c r="B6" s="195">
        <f>'Data Sheet'!B36</f>
        <v>0.32</v>
      </c>
      <c r="C6" s="195">
        <f>'Data Sheet'!C36</f>
        <v>143.94</v>
      </c>
      <c r="D6" s="195">
        <f>'Data Sheet'!D36</f>
        <v>0.05</v>
      </c>
      <c r="E6" s="195">
        <f>'Data Sheet'!E36</f>
        <v>0.68</v>
      </c>
      <c r="F6" s="195">
        <f>'Data Sheet'!F36</f>
        <v>0</v>
      </c>
      <c r="G6" s="195"/>
      <c r="H6" s="57">
        <v>0</v>
      </c>
      <c r="I6" s="57">
        <v>0</v>
      </c>
      <c r="J6" s="57">
        <v>0</v>
      </c>
      <c r="K6" s="57">
        <v>0</v>
      </c>
      <c r="L6" s="57">
        <v>0</v>
      </c>
    </row>
    <row r="7" spans="1:12" x14ac:dyDescent="0.25">
      <c r="A7" s="98" t="s">
        <v>90</v>
      </c>
      <c r="B7" s="195">
        <f>'Data Sheet'!B37</f>
        <v>429.75000000000011</v>
      </c>
      <c r="C7" s="195">
        <f>'Data Sheet'!C37</f>
        <v>507.32000000000016</v>
      </c>
      <c r="D7" s="195">
        <f>'Data Sheet'!D37</f>
        <v>502.31999999999982</v>
      </c>
      <c r="E7" s="195">
        <f>'Data Sheet'!E37</f>
        <v>572.86999999999989</v>
      </c>
      <c r="F7" s="195">
        <f>'Data Sheet'!F37</f>
        <v>681.4699999999998</v>
      </c>
      <c r="G7" s="195"/>
      <c r="H7" s="57">
        <f>'FCFF Forecast and DCF'!H3*'Balance Sheet Forecast'!B8</f>
        <v>1085.6180960140389</v>
      </c>
      <c r="I7" s="57">
        <f>'FCFF Forecast and DCF'!I3*'Balance Sheet Forecast'!C8</f>
        <v>1423.3846833032621</v>
      </c>
      <c r="J7" s="57">
        <f>'FCFF Forecast and DCF'!J3*'Balance Sheet Forecast'!D8</f>
        <v>1214.5528296342407</v>
      </c>
      <c r="K7" s="57">
        <f>'FCFF Forecast and DCF'!K3*'Balance Sheet Forecast'!E8</f>
        <v>1333.1030842589464</v>
      </c>
      <c r="L7" s="57">
        <f>'FCFF Forecast and DCF'!L3*'Balance Sheet Forecast'!F8</f>
        <v>1694.2003743021273</v>
      </c>
    </row>
    <row r="8" spans="1:12" x14ac:dyDescent="0.25">
      <c r="A8" s="199" t="s">
        <v>131</v>
      </c>
      <c r="B8" s="269">
        <f>B7/'FCFF Forecast and DCF'!B3</f>
        <v>0.29926046628227637</v>
      </c>
      <c r="C8" s="269">
        <f>C7/'FCFF Forecast and DCF'!C3</f>
        <v>0.32427180742606226</v>
      </c>
      <c r="D8" s="269">
        <f>D7/'FCFF Forecast and DCF'!D3</f>
        <v>0.2325178790473765</v>
      </c>
      <c r="E8" s="269">
        <f>E7/'FCFF Forecast and DCF'!E3</f>
        <v>0.21628264324897775</v>
      </c>
      <c r="F8" s="269">
        <f>F7/'FCFF Forecast and DCF'!F3</f>
        <v>0.23293819260717674</v>
      </c>
      <c r="G8" s="269">
        <f>AVERAGE(B8:F8)</f>
        <v>0.26105419772237393</v>
      </c>
      <c r="H8" s="54">
        <f>G8-2%</f>
        <v>0.24105419772237394</v>
      </c>
      <c r="I8" s="54">
        <f t="shared" ref="I8:L8" si="7">H8-2%</f>
        <v>0.22105419772237395</v>
      </c>
      <c r="J8" s="54">
        <f t="shared" si="7"/>
        <v>0.20105419772237396</v>
      </c>
      <c r="K8" s="54">
        <f t="shared" si="7"/>
        <v>0.18105419772237397</v>
      </c>
      <c r="L8" s="54">
        <f t="shared" si="7"/>
        <v>0.16105419772237398</v>
      </c>
    </row>
    <row r="9" spans="1:12" x14ac:dyDescent="0.25">
      <c r="A9" s="98" t="s">
        <v>60</v>
      </c>
      <c r="B9" s="195">
        <f>'Data Sheet'!B38</f>
        <v>1735.96</v>
      </c>
      <c r="C9" s="195">
        <f>'Data Sheet'!C38</f>
        <v>2008.14</v>
      </c>
      <c r="D9" s="195">
        <f>'Data Sheet'!D38</f>
        <v>2069.91</v>
      </c>
      <c r="E9" s="195">
        <f>'Data Sheet'!E38</f>
        <v>2287.7399999999998</v>
      </c>
      <c r="F9" s="195">
        <f>'Data Sheet'!F38</f>
        <v>2928.97</v>
      </c>
      <c r="G9" s="57"/>
      <c r="H9" s="57"/>
      <c r="I9" s="57"/>
      <c r="J9" s="218"/>
      <c r="K9" s="218"/>
      <c r="L9" s="112"/>
    </row>
    <row r="10" spans="1:12" x14ac:dyDescent="0.25">
      <c r="A10" s="98" t="s">
        <v>58</v>
      </c>
      <c r="B10" s="195">
        <f>'Data Sheet'!B39</f>
        <v>480</v>
      </c>
      <c r="C10" s="195">
        <f>'Data Sheet'!C39</f>
        <v>728</v>
      </c>
      <c r="D10" s="195">
        <f>'Data Sheet'!D39</f>
        <v>713</v>
      </c>
      <c r="E10" s="195">
        <f>'Data Sheet'!E39</f>
        <v>773</v>
      </c>
      <c r="F10" s="195">
        <f>'Data Sheet'!F39</f>
        <v>843</v>
      </c>
      <c r="G10" s="57"/>
      <c r="H10" s="57">
        <f>F10*(1+H11)</f>
        <v>984.36478128700617</v>
      </c>
      <c r="I10" s="57">
        <f>H10*(1+I11)</f>
        <v>1149.4353767950363</v>
      </c>
      <c r="J10" s="57">
        <f t="shared" ref="J10:L10" si="8">I10*(1+J11)</f>
        <v>1342.1870738818427</v>
      </c>
      <c r="K10" s="57">
        <f t="shared" si="8"/>
        <v>1567.2617857982764</v>
      </c>
      <c r="L10" s="57">
        <f t="shared" si="8"/>
        <v>1830.0798398538589</v>
      </c>
    </row>
    <row r="11" spans="1:12" x14ac:dyDescent="0.25">
      <c r="A11" s="98"/>
      <c r="B11" s="195"/>
      <c r="C11" s="269">
        <f>(C10-B10)/B10</f>
        <v>0.51666666666666672</v>
      </c>
      <c r="D11" s="269">
        <f t="shared" ref="D11:F11" si="9">(D10-C10)/C10</f>
        <v>-2.0604395604395604E-2</v>
      </c>
      <c r="E11" s="269">
        <f t="shared" si="9"/>
        <v>8.4151472650771386E-2</v>
      </c>
      <c r="F11" s="269">
        <f t="shared" si="9"/>
        <v>9.0556274256144889E-2</v>
      </c>
      <c r="G11" s="269">
        <f>AVERAGE(C11:F11)</f>
        <v>0.16769250449229686</v>
      </c>
      <c r="H11" s="269">
        <f>G11</f>
        <v>0.16769250449229686</v>
      </c>
      <c r="I11" s="269">
        <f t="shared" ref="I11:L11" si="10">H11</f>
        <v>0.16769250449229686</v>
      </c>
      <c r="J11" s="269">
        <f t="shared" si="10"/>
        <v>0.16769250449229686</v>
      </c>
      <c r="K11" s="269">
        <f t="shared" si="10"/>
        <v>0.16769250449229686</v>
      </c>
      <c r="L11" s="269">
        <f t="shared" si="10"/>
        <v>0.16769250449229686</v>
      </c>
    </row>
    <row r="12" spans="1:12" x14ac:dyDescent="0.25">
      <c r="A12" s="98" t="s">
        <v>59</v>
      </c>
      <c r="B12" s="195">
        <f>'Data Sheet'!B40</f>
        <v>1</v>
      </c>
      <c r="C12" s="195">
        <f>'Data Sheet'!C40</f>
        <v>0</v>
      </c>
      <c r="D12" s="195">
        <f>'Data Sheet'!D40</f>
        <v>2</v>
      </c>
      <c r="E12" s="195">
        <f>'Data Sheet'!E40</f>
        <v>21</v>
      </c>
      <c r="F12" s="195">
        <f>'Data Sheet'!F40</f>
        <v>1</v>
      </c>
      <c r="G12" s="57"/>
      <c r="H12" s="57"/>
      <c r="I12" s="57"/>
      <c r="J12" s="218"/>
      <c r="K12" s="218"/>
      <c r="L12" s="112"/>
    </row>
    <row r="13" spans="1:12" x14ac:dyDescent="0.25">
      <c r="A13" s="98" t="s">
        <v>27</v>
      </c>
      <c r="B13" s="195">
        <f>'Data Sheet'!B41</f>
        <v>437</v>
      </c>
      <c r="C13" s="195">
        <f>'Data Sheet'!C41</f>
        <v>229</v>
      </c>
      <c r="D13" s="195">
        <f>'Data Sheet'!D41</f>
        <v>196</v>
      </c>
      <c r="E13" s="195">
        <f>'Data Sheet'!E41</f>
        <v>275</v>
      </c>
      <c r="F13" s="195">
        <f>'Data Sheet'!F41</f>
        <v>406</v>
      </c>
      <c r="G13" s="57"/>
      <c r="H13" s="57"/>
      <c r="I13" s="57"/>
      <c r="J13" s="218"/>
      <c r="K13" s="218"/>
      <c r="L13" s="112"/>
    </row>
    <row r="14" spans="1:12" x14ac:dyDescent="0.25">
      <c r="A14" s="98" t="s">
        <v>91</v>
      </c>
      <c r="B14" s="195">
        <f>'Data Sheet'!B42</f>
        <v>817.96</v>
      </c>
      <c r="C14" s="195">
        <f>'Data Sheet'!C42</f>
        <v>1051.1400000000001</v>
      </c>
      <c r="D14" s="195">
        <f>'Data Sheet'!D42</f>
        <v>1158.9099999999999</v>
      </c>
      <c r="E14" s="195">
        <f>'Data Sheet'!E42</f>
        <v>1218.7399999999998</v>
      </c>
      <c r="F14" s="195">
        <f>'Data Sheet'!F42</f>
        <v>1678.9699999999998</v>
      </c>
      <c r="G14" s="57"/>
      <c r="H14" s="57">
        <f>'FCFF Forecast and DCF'!H3*'Balance Sheet Forecast'!H15</f>
        <v>2040.1580728447327</v>
      </c>
      <c r="I14" s="57">
        <f>'FCFF Forecast and DCF'!I3*'Balance Sheet Forecast'!I15</f>
        <v>2468.5912681421269</v>
      </c>
      <c r="J14" s="57">
        <f>'FCFF Forecast and DCF'!J3*'Balance Sheet Forecast'!J15</f>
        <v>2937.6236090891307</v>
      </c>
      <c r="K14" s="57">
        <f>'FCFF Forecast and DCF'!K3*'Balance Sheet Forecast'!K15</f>
        <v>3466.3958587251741</v>
      </c>
      <c r="L14" s="57">
        <f>'FCFF Forecast and DCF'!L3*'Balance Sheet Forecast'!L15</f>
        <v>4090.3471132957052</v>
      </c>
    </row>
    <row r="15" spans="1:12" x14ac:dyDescent="0.25">
      <c r="A15" s="199" t="s">
        <v>131</v>
      </c>
      <c r="B15" s="269">
        <f>B14/'FCFF Forecast and DCF'!B3</f>
        <v>0.56959416172251476</v>
      </c>
      <c r="C15" s="269">
        <f>C14/'FCFF Forecast and DCF'!C3</f>
        <v>0.67187390139917802</v>
      </c>
      <c r="D15" s="269">
        <f>D14/'FCFF Forecast and DCF'!D3</f>
        <v>0.53644548337075004</v>
      </c>
      <c r="E15" s="269">
        <f>E14/'FCFF Forecast and DCF'!E3</f>
        <v>0.46012587259458371</v>
      </c>
      <c r="F15" s="269">
        <f>F14/'FCFF Forecast and DCF'!F3</f>
        <v>0.57390088667391315</v>
      </c>
      <c r="G15" s="64">
        <f>AVERAGE(B15:F15)</f>
        <v>0.56238806115218787</v>
      </c>
      <c r="H15" s="54">
        <f>G15</f>
        <v>0.56238806115218787</v>
      </c>
      <c r="I15" s="64">
        <f>H15</f>
        <v>0.56238806115218787</v>
      </c>
      <c r="J15" s="64">
        <f t="shared" ref="J15:L15" si="11">I15</f>
        <v>0.56238806115218787</v>
      </c>
      <c r="K15" s="64">
        <f t="shared" si="11"/>
        <v>0.56238806115218787</v>
      </c>
      <c r="L15" s="64">
        <f t="shared" si="11"/>
        <v>0.56238806115218787</v>
      </c>
    </row>
    <row r="16" spans="1:12" x14ac:dyDescent="0.25">
      <c r="A16" s="98" t="s">
        <v>61</v>
      </c>
      <c r="B16" s="195">
        <f>'Data Sheet'!B43</f>
        <v>1735.96</v>
      </c>
      <c r="C16" s="195">
        <f>'Data Sheet'!C43</f>
        <v>2008.14</v>
      </c>
      <c r="D16" s="195">
        <f>'Data Sheet'!D43</f>
        <v>2069.91</v>
      </c>
      <c r="E16" s="195">
        <f>'Data Sheet'!E43</f>
        <v>2287.7399999999998</v>
      </c>
      <c r="F16" s="195">
        <f>'Data Sheet'!F43</f>
        <v>2928.97</v>
      </c>
      <c r="G16" s="57"/>
      <c r="H16" s="57"/>
      <c r="I16" s="57"/>
      <c r="J16" s="218"/>
      <c r="K16" s="218"/>
      <c r="L16" s="112"/>
    </row>
    <row r="17" spans="1:12" x14ac:dyDescent="0.25">
      <c r="A17" s="98" t="s">
        <v>29</v>
      </c>
      <c r="B17" s="195">
        <f>'Data Sheet'!B44</f>
        <v>237.78</v>
      </c>
      <c r="C17" s="195">
        <f>'Data Sheet'!C44</f>
        <v>293.02</v>
      </c>
      <c r="D17" s="195">
        <f>'Data Sheet'!D44</f>
        <v>329.27</v>
      </c>
      <c r="E17" s="195">
        <f>'Data Sheet'!E44</f>
        <v>440.49</v>
      </c>
      <c r="F17" s="195">
        <f>'Data Sheet'!F44</f>
        <v>496</v>
      </c>
      <c r="G17" s="57"/>
      <c r="H17" s="57"/>
      <c r="I17" s="57"/>
      <c r="J17" s="218"/>
      <c r="K17" s="218"/>
      <c r="L17" s="112"/>
    </row>
    <row r="18" spans="1:12" x14ac:dyDescent="0.25">
      <c r="A18" s="98" t="s">
        <v>30</v>
      </c>
      <c r="B18" s="195">
        <f>'Data Sheet'!B45</f>
        <v>0.3</v>
      </c>
      <c r="C18" s="195">
        <f>'Data Sheet'!C45</f>
        <v>0.32</v>
      </c>
      <c r="D18" s="195">
        <f>'Data Sheet'!D45</f>
        <v>0.52</v>
      </c>
      <c r="E18" s="195">
        <f>'Data Sheet'!E45</f>
        <v>0.45</v>
      </c>
      <c r="F18" s="195">
        <f>'Data Sheet'!F45</f>
        <v>0.65</v>
      </c>
      <c r="G18" s="57"/>
      <c r="H18" s="57"/>
      <c r="I18" s="57"/>
      <c r="J18" s="218"/>
      <c r="K18" s="218"/>
      <c r="L18" s="112"/>
    </row>
    <row r="19" spans="1:12" x14ac:dyDescent="0.25">
      <c r="A19" s="98" t="s">
        <v>31</v>
      </c>
      <c r="B19" s="195">
        <f>'Data Sheet'!B47</f>
        <v>334.5</v>
      </c>
      <c r="C19" s="195">
        <f>'Data Sheet'!C47</f>
        <v>490.86</v>
      </c>
      <c r="D19" s="195">
        <f>'Data Sheet'!D47</f>
        <v>493.64</v>
      </c>
      <c r="E19" s="195">
        <f>'Data Sheet'!E47</f>
        <v>427.93</v>
      </c>
      <c r="F19" s="195">
        <f>'Data Sheet'!F47</f>
        <v>692.09</v>
      </c>
      <c r="G19" s="57"/>
      <c r="H19" s="57"/>
      <c r="I19" s="57"/>
      <c r="J19" s="218"/>
      <c r="K19" s="218"/>
      <c r="L19" s="112"/>
    </row>
    <row r="20" spans="1:12" x14ac:dyDescent="0.25">
      <c r="A20" s="98" t="s">
        <v>125</v>
      </c>
      <c r="B20" s="195">
        <f>'Data Sheet'!C50</f>
        <v>33600000</v>
      </c>
      <c r="C20" s="195">
        <f>'Data Sheet'!D50</f>
        <v>47638745.260255083</v>
      </c>
      <c r="D20" s="195">
        <f>'Data Sheet'!E50</f>
        <v>47638745.260255083</v>
      </c>
      <c r="E20" s="195">
        <f>'Data Sheet'!F50</f>
        <v>47638745.260255083</v>
      </c>
      <c r="F20" s="57"/>
      <c r="G20" s="57"/>
      <c r="H20" s="57"/>
      <c r="I20" s="57"/>
      <c r="J20" s="218"/>
      <c r="K20" s="218"/>
      <c r="L20" s="112"/>
    </row>
    <row r="21" spans="1:12" x14ac:dyDescent="0.25">
      <c r="A21" s="98"/>
      <c r="B21" s="195"/>
      <c r="C21" s="195"/>
      <c r="D21" s="195"/>
      <c r="E21" s="195"/>
      <c r="F21" s="57"/>
      <c r="G21" s="57"/>
      <c r="H21" s="57"/>
      <c r="I21" s="57"/>
      <c r="J21" s="218"/>
      <c r="K21" s="218"/>
      <c r="L21" s="112"/>
    </row>
    <row r="22" spans="1:12" x14ac:dyDescent="0.25">
      <c r="A22" s="115" t="s">
        <v>204</v>
      </c>
      <c r="B22" s="100"/>
      <c r="C22" s="100"/>
      <c r="D22" s="100"/>
      <c r="E22" s="100"/>
      <c r="F22" s="100"/>
      <c r="G22" s="100"/>
      <c r="H22" s="100"/>
      <c r="I22" s="100"/>
      <c r="J22" s="268"/>
      <c r="K22" s="268"/>
      <c r="L22" s="200"/>
    </row>
    <row r="23" spans="1:12" x14ac:dyDescent="0.25">
      <c r="A23" s="98"/>
      <c r="B23" s="104"/>
      <c r="C23" s="104"/>
      <c r="D23" s="104"/>
      <c r="E23" s="104"/>
      <c r="F23" s="63"/>
      <c r="G23" s="63"/>
      <c r="H23" s="57"/>
      <c r="I23" s="57"/>
      <c r="J23" s="218"/>
      <c r="K23" s="218"/>
      <c r="L23" s="112"/>
    </row>
    <row r="24" spans="1:12" x14ac:dyDescent="0.25">
      <c r="A24" s="98" t="s">
        <v>202</v>
      </c>
      <c r="B24" s="196">
        <f>B14-B7</f>
        <v>388.20999999999992</v>
      </c>
      <c r="C24" s="196">
        <f>C14-C7</f>
        <v>543.81999999999994</v>
      </c>
      <c r="D24" s="196">
        <f>D14-D7</f>
        <v>656.59</v>
      </c>
      <c r="E24" s="196">
        <f>E14-E7</f>
        <v>645.86999999999989</v>
      </c>
      <c r="F24" s="196">
        <f>F14-F7</f>
        <v>997.5</v>
      </c>
      <c r="G24" s="196"/>
      <c r="H24" s="196">
        <f>H14-H7</f>
        <v>954.53997683069383</v>
      </c>
      <c r="I24" s="196">
        <f>I14-I7</f>
        <v>1045.2065848388647</v>
      </c>
      <c r="J24" s="196">
        <f>J14-J7</f>
        <v>1723.07077945489</v>
      </c>
      <c r="K24" s="196">
        <f>K14-K7</f>
        <v>2133.2927744662275</v>
      </c>
      <c r="L24" s="196">
        <f>L14-L7</f>
        <v>2396.1467389935779</v>
      </c>
    </row>
    <row r="25" spans="1:12" x14ac:dyDescent="0.25">
      <c r="A25" s="98" t="s">
        <v>203</v>
      </c>
      <c r="B25" s="196"/>
      <c r="C25" s="196">
        <f>C24-B24</f>
        <v>155.61000000000001</v>
      </c>
      <c r="D25" s="196">
        <f t="shared" ref="D25:F25" si="12">D24-C24</f>
        <v>112.7700000000001</v>
      </c>
      <c r="E25" s="196">
        <f t="shared" si="12"/>
        <v>-10.720000000000141</v>
      </c>
      <c r="F25" s="196">
        <f t="shared" si="12"/>
        <v>351.63000000000011</v>
      </c>
      <c r="G25" s="105"/>
      <c r="H25" s="196">
        <f>H24-F24</f>
        <v>-42.960023169306169</v>
      </c>
      <c r="I25" s="105">
        <f>I24-H24</f>
        <v>90.666608008170897</v>
      </c>
      <c r="J25" s="105">
        <f t="shared" ref="J25:L25" si="13">J24-I24</f>
        <v>677.86419461602532</v>
      </c>
      <c r="K25" s="105">
        <f t="shared" si="13"/>
        <v>410.22199501133741</v>
      </c>
      <c r="L25" s="105">
        <f t="shared" si="13"/>
        <v>262.8539645273504</v>
      </c>
    </row>
    <row r="26" spans="1:12" x14ac:dyDescent="0.25">
      <c r="A26" s="98"/>
      <c r="B26" s="104"/>
      <c r="C26" s="104"/>
      <c r="D26" s="104"/>
      <c r="E26" s="104"/>
      <c r="F26" s="57"/>
      <c r="G26" s="57"/>
      <c r="H26" s="57"/>
      <c r="I26" s="57"/>
      <c r="J26" s="218"/>
      <c r="K26" s="218"/>
      <c r="L26" s="112"/>
    </row>
    <row r="27" spans="1:12" x14ac:dyDescent="0.25">
      <c r="A27" s="115" t="s">
        <v>126</v>
      </c>
      <c r="B27" s="100"/>
      <c r="C27" s="100"/>
      <c r="D27" s="100"/>
      <c r="E27" s="100"/>
      <c r="F27" s="100"/>
      <c r="G27" s="100"/>
      <c r="H27" s="100"/>
      <c r="I27" s="100"/>
      <c r="J27" s="268"/>
      <c r="K27" s="268"/>
      <c r="L27" s="200"/>
    </row>
    <row r="28" spans="1:12" x14ac:dyDescent="0.25">
      <c r="A28" s="113" t="s">
        <v>88</v>
      </c>
      <c r="B28" s="270">
        <v>375</v>
      </c>
      <c r="C28" s="102">
        <f t="shared" ref="C28:E28" si="14">B30</f>
        <v>481</v>
      </c>
      <c r="D28" s="102">
        <f t="shared" si="14"/>
        <v>728</v>
      </c>
      <c r="E28" s="102">
        <f t="shared" si="14"/>
        <v>715</v>
      </c>
      <c r="F28" s="102">
        <f t="shared" ref="F28" si="15">E30</f>
        <v>794</v>
      </c>
      <c r="G28" s="102"/>
      <c r="H28" s="197">
        <f>F30</f>
        <v>844</v>
      </c>
      <c r="I28" s="102">
        <f t="shared" ref="I28" si="16">H30</f>
        <v>984.36478128700617</v>
      </c>
      <c r="J28" s="102">
        <f t="shared" ref="J28" si="17">I30</f>
        <v>1149.4353767950363</v>
      </c>
      <c r="K28" s="102">
        <f t="shared" ref="K28" si="18">J30</f>
        <v>1342.1870738818427</v>
      </c>
      <c r="L28" s="102">
        <f t="shared" ref="L28" si="19">K30</f>
        <v>1567.2617857982764</v>
      </c>
    </row>
    <row r="29" spans="1:12" x14ac:dyDescent="0.25">
      <c r="A29" s="147" t="s">
        <v>12</v>
      </c>
      <c r="B29" s="102">
        <f>'Data Sheet'!B25</f>
        <v>70.900000000000006</v>
      </c>
      <c r="C29" s="102">
        <f>'Data Sheet'!C25</f>
        <v>81.59</v>
      </c>
      <c r="D29" s="102">
        <f>'Data Sheet'!D25</f>
        <v>103.19</v>
      </c>
      <c r="E29" s="102">
        <f>'Data Sheet'!E25</f>
        <v>114.01</v>
      </c>
      <c r="F29" s="102">
        <f>'Data Sheet'!F25</f>
        <v>125.77</v>
      </c>
      <c r="G29" s="105"/>
      <c r="H29" s="105">
        <f>F29*(1+H11)</f>
        <v>146.86068628999615</v>
      </c>
      <c r="I29" s="105">
        <f>H29*(1+I11)</f>
        <v>171.48812258542313</v>
      </c>
      <c r="J29" s="105">
        <f t="shared" ref="J29:L29" si="20">I29*(1+J11)</f>
        <v>200.24539535245475</v>
      </c>
      <c r="K29" s="105">
        <f t="shared" si="20"/>
        <v>233.82504721215801</v>
      </c>
      <c r="L29" s="105">
        <f t="shared" si="20"/>
        <v>273.03575499219431</v>
      </c>
    </row>
    <row r="30" spans="1:12" x14ac:dyDescent="0.25">
      <c r="A30" s="113" t="s">
        <v>89</v>
      </c>
      <c r="B30" s="197">
        <f>SUM(B10+B12)</f>
        <v>481</v>
      </c>
      <c r="C30" s="197">
        <f>SUM(C10+C12)</f>
        <v>728</v>
      </c>
      <c r="D30" s="197">
        <f t="shared" ref="D30:L30" si="21">SUM(D10+D12)</f>
        <v>715</v>
      </c>
      <c r="E30" s="197">
        <f t="shared" si="21"/>
        <v>794</v>
      </c>
      <c r="F30" s="197">
        <f t="shared" si="21"/>
        <v>844</v>
      </c>
      <c r="H30" s="197">
        <f t="shared" si="21"/>
        <v>984.36478128700617</v>
      </c>
      <c r="I30" s="197">
        <f t="shared" si="21"/>
        <v>1149.4353767950363</v>
      </c>
      <c r="J30" s="197">
        <f t="shared" si="21"/>
        <v>1342.1870738818427</v>
      </c>
      <c r="K30" s="197">
        <f t="shared" si="21"/>
        <v>1567.2617857982764</v>
      </c>
      <c r="L30">
        <f t="shared" si="21"/>
        <v>1830.0798398538589</v>
      </c>
    </row>
    <row r="31" spans="1:12" x14ac:dyDescent="0.25">
      <c r="A31" s="113"/>
      <c r="B31" s="102"/>
      <c r="C31" s="102"/>
      <c r="D31" s="102"/>
      <c r="E31" s="102"/>
      <c r="F31" s="57"/>
      <c r="G31" s="57"/>
      <c r="H31" s="57"/>
      <c r="I31" s="57"/>
      <c r="J31" s="218"/>
      <c r="K31" s="218"/>
      <c r="L31" s="112"/>
    </row>
    <row r="32" spans="1:12" x14ac:dyDescent="0.25">
      <c r="A32" s="147" t="s">
        <v>205</v>
      </c>
      <c r="B32" s="271">
        <f>B30-B28+B29</f>
        <v>176.9</v>
      </c>
      <c r="C32" s="271">
        <f>C30-C28+C29</f>
        <v>328.59000000000003</v>
      </c>
      <c r="D32" s="271">
        <f t="shared" ref="D32:L32" si="22">D30-D28+D29</f>
        <v>90.19</v>
      </c>
      <c r="E32" s="271">
        <f t="shared" si="22"/>
        <v>193.01</v>
      </c>
      <c r="F32" s="271">
        <f t="shared" si="22"/>
        <v>175.76999999999998</v>
      </c>
      <c r="G32" s="271"/>
      <c r="H32" s="271">
        <f t="shared" si="22"/>
        <v>287.22546757700229</v>
      </c>
      <c r="I32" s="271">
        <f t="shared" si="22"/>
        <v>336.55871809345325</v>
      </c>
      <c r="J32" s="271">
        <f t="shared" si="22"/>
        <v>392.99709243926117</v>
      </c>
      <c r="K32" s="271">
        <f t="shared" si="22"/>
        <v>458.89975912859165</v>
      </c>
      <c r="L32" s="271">
        <f t="shared" si="22"/>
        <v>535.85380904777685</v>
      </c>
    </row>
    <row r="33" spans="1:12" x14ac:dyDescent="0.25">
      <c r="A33" s="113"/>
      <c r="B33" s="103"/>
      <c r="C33" s="103"/>
      <c r="D33" s="103"/>
      <c r="E33" s="103"/>
      <c r="F33" s="57"/>
      <c r="G33" s="57"/>
      <c r="H33" s="57"/>
      <c r="I33" s="57"/>
      <c r="J33" s="218"/>
      <c r="K33" s="218"/>
      <c r="L33" s="112"/>
    </row>
    <row r="34" spans="1:12" x14ac:dyDescent="0.25">
      <c r="A34" s="114"/>
      <c r="B34" s="104"/>
      <c r="C34" s="104"/>
      <c r="D34" s="104"/>
      <c r="E34" s="104"/>
      <c r="F34" s="63"/>
      <c r="G34" s="63"/>
      <c r="H34" s="63"/>
      <c r="I34" s="63"/>
      <c r="J34" s="219"/>
      <c r="K34" s="219"/>
      <c r="L34" s="112"/>
    </row>
    <row r="35" spans="1:12" x14ac:dyDescent="0.25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</row>
    <row r="36" spans="1:12" x14ac:dyDescent="0.25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</row>
    <row r="37" spans="1:12" x14ac:dyDescent="0.25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</row>
    <row r="38" spans="1:12" x14ac:dyDescent="0.25">
      <c r="A38" s="57"/>
      <c r="B38" s="57"/>
      <c r="C38" s="57"/>
      <c r="D38" s="57"/>
      <c r="E38" s="57"/>
      <c r="F38" s="57"/>
      <c r="G38" s="197"/>
      <c r="H38" s="57"/>
      <c r="I38" s="57"/>
      <c r="J38" s="57"/>
      <c r="K38" s="57"/>
      <c r="L38" s="57"/>
    </row>
    <row r="39" spans="1:12" x14ac:dyDescent="0.25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</row>
    <row r="40" spans="1:12" x14ac:dyDescent="0.25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</row>
    <row r="41" spans="1:12" x14ac:dyDescent="0.25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</row>
    <row r="42" spans="1:12" x14ac:dyDescent="0.25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</row>
    <row r="43" spans="1:12" x14ac:dyDescent="0.25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</row>
  </sheetData>
  <mergeCells count="2">
    <mergeCell ref="C1:E1"/>
    <mergeCell ref="F1:L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1"/>
  <sheetViews>
    <sheetView showGridLines="0" zoomScale="70" zoomScaleNormal="70" workbookViewId="0">
      <selection activeCell="D23" sqref="D23"/>
    </sheetView>
  </sheetViews>
  <sheetFormatPr defaultColWidth="8.85546875" defaultRowHeight="15" customHeight="1" x14ac:dyDescent="0.25"/>
  <cols>
    <col min="1" max="1" width="33.140625" customWidth="1"/>
    <col min="2" max="3" width="14.5703125" bestFit="1" customWidth="1"/>
    <col min="4" max="4" width="15" bestFit="1" customWidth="1"/>
    <col min="5" max="5" width="14.5703125" bestFit="1" customWidth="1"/>
    <col min="6" max="6" width="15" bestFit="1" customWidth="1"/>
    <col min="7" max="7" width="9.140625" bestFit="1" customWidth="1"/>
    <col min="8" max="9" width="13.85546875" customWidth="1"/>
  </cols>
  <sheetData>
    <row r="1" spans="1:9" ht="27" thickBot="1" x14ac:dyDescent="0.3">
      <c r="A1" s="305" t="s">
        <v>69</v>
      </c>
      <c r="B1" s="306"/>
      <c r="C1" s="306"/>
      <c r="D1" s="306"/>
      <c r="E1" s="306"/>
      <c r="F1" s="306"/>
      <c r="G1" s="306"/>
      <c r="H1" s="306"/>
      <c r="I1" s="307"/>
    </row>
    <row r="2" spans="1:9" ht="18.600000000000001" customHeight="1" thickBot="1" x14ac:dyDescent="0.3">
      <c r="A2" s="73" t="s">
        <v>42</v>
      </c>
      <c r="B2" s="308"/>
      <c r="C2" s="308"/>
      <c r="D2" s="308"/>
      <c r="E2" s="308"/>
      <c r="F2" s="308"/>
      <c r="G2" s="309"/>
      <c r="H2" s="310"/>
      <c r="I2" s="311"/>
    </row>
    <row r="3" spans="1:9" ht="21" customHeight="1" x14ac:dyDescent="0.25">
      <c r="A3" s="74" t="s">
        <v>43</v>
      </c>
      <c r="B3" s="75">
        <f>+'Data Sheet'!B16</f>
        <v>43921</v>
      </c>
      <c r="C3" s="75">
        <f>+'Data Sheet'!C16</f>
        <v>44286</v>
      </c>
      <c r="D3" s="75">
        <f>+'Data Sheet'!D16</f>
        <v>44651</v>
      </c>
      <c r="E3" s="75">
        <f>+'Data Sheet'!E16</f>
        <v>45016</v>
      </c>
      <c r="F3" s="75">
        <f>+'Data Sheet'!F16</f>
        <v>45382</v>
      </c>
      <c r="G3" s="75" t="s">
        <v>76</v>
      </c>
      <c r="H3" s="77">
        <v>5</v>
      </c>
      <c r="I3" s="78">
        <v>3</v>
      </c>
    </row>
    <row r="4" spans="1:9" ht="15" customHeight="1" x14ac:dyDescent="0.25">
      <c r="A4" s="16" t="s">
        <v>70</v>
      </c>
      <c r="B4" s="25">
        <f>+'Data Sheet'!B57</f>
        <v>332.8</v>
      </c>
      <c r="C4" s="25">
        <f>+'Data Sheet'!C57</f>
        <v>364.57</v>
      </c>
      <c r="D4" s="25">
        <f>+'Data Sheet'!D57</f>
        <v>448.17</v>
      </c>
      <c r="E4" s="25">
        <f>+'Data Sheet'!E57</f>
        <v>492.57</v>
      </c>
      <c r="F4" s="25">
        <f>+'Data Sheet'!F57</f>
        <v>525.89</v>
      </c>
      <c r="G4" s="9"/>
      <c r="H4" s="10"/>
      <c r="I4" s="10"/>
    </row>
    <row r="5" spans="1:9" ht="15" customHeight="1" x14ac:dyDescent="0.25">
      <c r="A5" t="s">
        <v>71</v>
      </c>
      <c r="B5" s="26">
        <f>+'Data Sheet'!B58</f>
        <v>18.29</v>
      </c>
      <c r="C5" s="26">
        <f>+'Data Sheet'!C58</f>
        <v>-4.53</v>
      </c>
      <c r="D5" s="26">
        <f>+'Data Sheet'!D58</f>
        <v>37.979999999999997</v>
      </c>
      <c r="E5" s="26">
        <f>+'Data Sheet'!E58</f>
        <v>-84.4</v>
      </c>
      <c r="F5" s="26">
        <f>+'Data Sheet'!F58</f>
        <v>-487.88</v>
      </c>
      <c r="G5" s="9"/>
      <c r="H5" s="10"/>
      <c r="I5" s="10"/>
    </row>
    <row r="6" spans="1:9" ht="15" customHeight="1" x14ac:dyDescent="0.25">
      <c r="A6" t="s">
        <v>72</v>
      </c>
      <c r="B6" s="26">
        <f>+'Data Sheet'!B59</f>
        <v>-308.24</v>
      </c>
      <c r="C6" s="26">
        <f>+'Data Sheet'!B59</f>
        <v>-308.24</v>
      </c>
      <c r="D6" s="26">
        <f>+'Data Sheet'!D59</f>
        <v>-416.34</v>
      </c>
      <c r="E6" s="26">
        <f>+'Data Sheet'!E59</f>
        <v>-440.07</v>
      </c>
      <c r="F6" s="26">
        <f>+'Data Sheet'!F59</f>
        <v>-106.51</v>
      </c>
      <c r="H6" s="10"/>
      <c r="I6" s="10"/>
    </row>
    <row r="7" spans="1:9" ht="15" customHeight="1" x14ac:dyDescent="0.25">
      <c r="A7" s="34" t="s">
        <v>73</v>
      </c>
      <c r="B7" s="35">
        <f t="shared" ref="B7:F7" si="0">SUM(B4:B6)</f>
        <v>42.850000000000023</v>
      </c>
      <c r="C7" s="35">
        <f t="shared" si="0"/>
        <v>51.800000000000011</v>
      </c>
      <c r="D7" s="35">
        <f t="shared" si="0"/>
        <v>69.810000000000059</v>
      </c>
      <c r="E7" s="35">
        <f t="shared" si="0"/>
        <v>-31.900000000000034</v>
      </c>
      <c r="F7" s="35">
        <f t="shared" si="0"/>
        <v>-68.500000000000014</v>
      </c>
      <c r="H7" s="10"/>
      <c r="I7" s="10"/>
    </row>
    <row r="8" spans="1:9" ht="15" customHeight="1" x14ac:dyDescent="0.25">
      <c r="B8" s="26"/>
      <c r="C8" s="26"/>
      <c r="D8" s="26"/>
      <c r="E8" s="26"/>
      <c r="F8" s="26"/>
      <c r="H8" s="10"/>
      <c r="I8" s="10"/>
    </row>
    <row r="9" spans="1:9" ht="15" customHeight="1" x14ac:dyDescent="0.25">
      <c r="A9" t="s">
        <v>74</v>
      </c>
      <c r="B9" s="26">
        <f>'Balance Sheet'!B18</f>
        <v>334.5</v>
      </c>
      <c r="C9" s="26">
        <f>'Balance Sheet'!C18</f>
        <v>490.86</v>
      </c>
      <c r="D9" s="26">
        <f>'Balance Sheet'!D18</f>
        <v>493.64</v>
      </c>
      <c r="E9" s="26">
        <f>'Balance Sheet'!E18</f>
        <v>427.93</v>
      </c>
      <c r="F9" s="26">
        <f>'Balance Sheet'!F18</f>
        <v>692.09</v>
      </c>
      <c r="H9" s="10"/>
      <c r="I9" s="10"/>
    </row>
    <row r="10" spans="1:9" ht="15" customHeight="1" x14ac:dyDescent="0.25">
      <c r="B10" s="26"/>
      <c r="C10" s="26"/>
      <c r="D10" s="26"/>
      <c r="E10" s="26"/>
      <c r="F10" s="26"/>
      <c r="H10" s="10"/>
      <c r="I10" s="10"/>
    </row>
    <row r="11" spans="1:9" ht="15" customHeight="1" x14ac:dyDescent="0.25">
      <c r="A11" s="14" t="s">
        <v>75</v>
      </c>
      <c r="B11" s="37">
        <f>+'Income Statement'!B12</f>
        <v>206.28000000000003</v>
      </c>
      <c r="C11" s="37">
        <f>+'Income Statement'!C12</f>
        <v>278.24999999999989</v>
      </c>
      <c r="D11" s="37">
        <f>+'Income Statement'!D12</f>
        <v>410.78</v>
      </c>
      <c r="E11" s="37">
        <f>+'Income Statement'!E12</f>
        <v>489.99999999999994</v>
      </c>
      <c r="F11" s="37">
        <f>+'Income Statement'!F12</f>
        <v>513.58999999999969</v>
      </c>
      <c r="G11" s="49">
        <f>SUM(B11:F11)</f>
        <v>1898.8999999999996</v>
      </c>
      <c r="H11" s="45">
        <f>IFERROR((F11/B11)^(1/$H$3)-1,"n/m")</f>
        <v>0.20013993502933847</v>
      </c>
      <c r="I11" s="45">
        <f>IFERROR((F11/C11)^(1/$I$3)-1,"n/m")</f>
        <v>0.2266682617789848</v>
      </c>
    </row>
    <row r="12" spans="1:9" ht="15" customHeight="1" x14ac:dyDescent="0.25">
      <c r="A12" s="1" t="s">
        <v>70</v>
      </c>
      <c r="B12" s="28">
        <f t="shared" ref="B12:F12" si="1">+B4</f>
        <v>332.8</v>
      </c>
      <c r="C12" s="28">
        <f t="shared" si="1"/>
        <v>364.57</v>
      </c>
      <c r="D12" s="28">
        <f t="shared" si="1"/>
        <v>448.17</v>
      </c>
      <c r="E12" s="28">
        <f t="shared" si="1"/>
        <v>492.57</v>
      </c>
      <c r="F12" s="28">
        <f t="shared" si="1"/>
        <v>525.89</v>
      </c>
      <c r="G12" s="50">
        <f>SUM(B12:F12)</f>
        <v>2164</v>
      </c>
      <c r="H12" s="45">
        <f>IFERROR((F12/B12)^(1/$H$3)-1,"n/m")</f>
        <v>9.5827813035694653E-2</v>
      </c>
      <c r="I12" s="45">
        <f>IFERROR((F12/C12)^(1/$I$3)-1,"n/m")</f>
        <v>0.12989476058564775</v>
      </c>
    </row>
    <row r="13" spans="1:9" ht="15" customHeight="1" x14ac:dyDescent="0.25">
      <c r="A13" s="1"/>
      <c r="B13" s="26"/>
      <c r="C13" s="26"/>
      <c r="D13" s="26"/>
      <c r="E13" s="26"/>
      <c r="F13" s="26"/>
      <c r="G13" s="42"/>
      <c r="H13" s="10"/>
      <c r="I13" s="10"/>
    </row>
    <row r="14" spans="1:9" ht="15" customHeight="1" x14ac:dyDescent="0.25">
      <c r="A14" s="1" t="s">
        <v>172</v>
      </c>
      <c r="B14" s="36">
        <f>IFERROR(B12/B11,"n/m")</f>
        <v>1.6133410897808802</v>
      </c>
      <c r="C14" s="36">
        <f t="shared" ref="C14:F14" si="2">IFERROR(C12/C11,"n/m")</f>
        <v>1.310224618149147</v>
      </c>
      <c r="D14" s="36">
        <f t="shared" si="2"/>
        <v>1.0910219582258145</v>
      </c>
      <c r="E14" s="36">
        <f t="shared" si="2"/>
        <v>1.0052448979591837</v>
      </c>
      <c r="F14" s="36">
        <f t="shared" si="2"/>
        <v>1.0239490644288252</v>
      </c>
      <c r="G14" s="43">
        <f t="shared" ref="G14" si="3">G12/G11</f>
        <v>1.1396071409763548</v>
      </c>
      <c r="H14" s="10"/>
      <c r="I14" s="10"/>
    </row>
    <row r="15" spans="1:9" ht="15" customHeight="1" x14ac:dyDescent="0.25">
      <c r="A15" s="1"/>
      <c r="B15" s="26"/>
      <c r="C15" s="26"/>
      <c r="D15" s="26"/>
      <c r="E15" s="26"/>
      <c r="F15" s="26"/>
      <c r="G15" s="42"/>
      <c r="H15" s="10"/>
      <c r="I15" s="10"/>
    </row>
    <row r="16" spans="1:9" ht="15" customHeight="1" x14ac:dyDescent="0.25">
      <c r="A16" s="1" t="s">
        <v>77</v>
      </c>
      <c r="B16" s="28">
        <f>('Balance Sheet'!C10-'Balance Sheet'!B10)+('Balance Sheet'!C11-'Balance Sheet'!B11)-'Income Statement'!B9</f>
        <v>317.89999999999998</v>
      </c>
      <c r="C16" s="28">
        <f>('Balance Sheet'!C10-'Balance Sheet'!B10)+('Balance Sheet'!C11-'Balance Sheet'!B11)-'Income Statement'!C9</f>
        <v>328.59000000000003</v>
      </c>
      <c r="D16" s="28">
        <f>('Balance Sheet'!D10-'Balance Sheet'!C10)+('Balance Sheet'!D11-'Balance Sheet'!C11)-'Income Statement'!D9</f>
        <v>90.19</v>
      </c>
      <c r="E16" s="28">
        <f>('Balance Sheet'!E10-'Balance Sheet'!D10)+('Balance Sheet'!E11-'Balance Sheet'!D11)-'Income Statement'!E9</f>
        <v>193.01</v>
      </c>
      <c r="F16" s="28">
        <f>('Balance Sheet'!F10-'Balance Sheet'!E10)+('Balance Sheet'!F11-'Balance Sheet'!E11)-'Income Statement'!F9</f>
        <v>175.76999999999998</v>
      </c>
      <c r="G16" s="42"/>
      <c r="H16" s="10"/>
      <c r="I16" s="10"/>
    </row>
    <row r="17" spans="1:9" ht="15" customHeight="1" x14ac:dyDescent="0.25">
      <c r="A17" s="1" t="s">
        <v>79</v>
      </c>
      <c r="B17" s="28">
        <f>B12-B16</f>
        <v>14.900000000000034</v>
      </c>
      <c r="C17" s="28">
        <f t="shared" ref="C17:F17" si="4">C12-C16</f>
        <v>35.979999999999961</v>
      </c>
      <c r="D17" s="28">
        <f t="shared" si="4"/>
        <v>357.98</v>
      </c>
      <c r="E17" s="28">
        <f t="shared" si="4"/>
        <v>299.56</v>
      </c>
      <c r="F17" s="28">
        <f t="shared" si="4"/>
        <v>350.12</v>
      </c>
      <c r="G17" s="42"/>
      <c r="H17" s="10"/>
      <c r="I17" s="10"/>
    </row>
    <row r="18" spans="1:9" ht="15" customHeight="1" x14ac:dyDescent="0.25">
      <c r="A18" s="1"/>
      <c r="B18" s="26"/>
      <c r="C18" s="26"/>
      <c r="D18" s="26"/>
      <c r="E18" s="26"/>
      <c r="F18" s="26"/>
      <c r="G18" s="42"/>
      <c r="H18" s="10"/>
      <c r="I18" s="10"/>
    </row>
    <row r="19" spans="1:9" ht="15" customHeight="1" x14ac:dyDescent="0.25">
      <c r="A19" s="1" t="s">
        <v>78</v>
      </c>
      <c r="B19" s="36">
        <f t="shared" ref="B19:F19" si="5">IFERROR(B16/B4,"n/m")</f>
        <v>0.95522836538461531</v>
      </c>
      <c r="C19" s="36">
        <f t="shared" si="5"/>
        <v>0.9013083907068602</v>
      </c>
      <c r="D19" s="36">
        <f t="shared" si="5"/>
        <v>0.20124060066492624</v>
      </c>
      <c r="E19" s="36">
        <f t="shared" si="5"/>
        <v>0.39184278376677423</v>
      </c>
      <c r="F19" s="36">
        <f t="shared" si="5"/>
        <v>0.33423339481640646</v>
      </c>
      <c r="G19" s="42"/>
      <c r="H19" s="10"/>
      <c r="I19" s="10"/>
    </row>
    <row r="20" spans="1:9" ht="15" customHeight="1" x14ac:dyDescent="0.25">
      <c r="A20" s="19" t="s">
        <v>80</v>
      </c>
      <c r="B20" s="51">
        <f>B17/B16</f>
        <v>4.6870084932368779E-2</v>
      </c>
      <c r="C20" s="51">
        <f t="shared" ref="C20:F20" si="6">C17/C16</f>
        <v>0.10949815879971989</v>
      </c>
      <c r="D20" s="51">
        <f t="shared" si="6"/>
        <v>3.9691761836123742</v>
      </c>
      <c r="E20" s="51">
        <f t="shared" si="6"/>
        <v>1.552043935547381</v>
      </c>
      <c r="F20" s="51">
        <f t="shared" si="6"/>
        <v>1.9919212607384653</v>
      </c>
      <c r="G20" s="51">
        <f>SUM(B17:F17)/SUM(B12:F12)</f>
        <v>0.48915896487985211</v>
      </c>
      <c r="H20" s="10"/>
      <c r="I20" s="10"/>
    </row>
    <row r="21" spans="1:9" ht="15" customHeight="1" x14ac:dyDescent="0.25">
      <c r="B21" s="26"/>
      <c r="C21" s="26"/>
      <c r="D21" s="26"/>
      <c r="E21" s="26"/>
      <c r="F21" s="26"/>
      <c r="H21" s="13"/>
      <c r="I21" s="13"/>
    </row>
  </sheetData>
  <mergeCells count="3">
    <mergeCell ref="A1:I1"/>
    <mergeCell ref="B2:G2"/>
    <mergeCell ref="H2:I2"/>
  </mergeCells>
  <conditionalFormatting sqref="B14:G14">
    <cfRule type="cellIs" dxfId="14" priority="7" operator="lessThan">
      <formula>0.8</formula>
    </cfRule>
    <cfRule type="cellIs" dxfId="13" priority="8" operator="greaterThan">
      <formula>0.8</formula>
    </cfRule>
  </conditionalFormatting>
  <conditionalFormatting sqref="B11:F12 B16:F16">
    <cfRule type="cellIs" dxfId="12" priority="130" operator="lessThan">
      <formula>#REF!</formula>
    </cfRule>
    <cfRule type="cellIs" dxfId="11" priority="131" operator="greaterThanOrEqual">
      <formula>#REF!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4"/>
  <sheetViews>
    <sheetView showGridLines="0" zoomScale="70" zoomScaleNormal="85" workbookViewId="0">
      <selection activeCell="E27" sqref="E27"/>
    </sheetView>
  </sheetViews>
  <sheetFormatPr defaultColWidth="8.85546875" defaultRowHeight="15" customHeight="1" x14ac:dyDescent="0.25"/>
  <cols>
    <col min="1" max="1" width="33.140625" customWidth="1"/>
    <col min="2" max="9" width="13.85546875" customWidth="1"/>
  </cols>
  <sheetData>
    <row r="1" spans="1:9" ht="27" thickBot="1" x14ac:dyDescent="0.3">
      <c r="A1" s="305" t="s">
        <v>44</v>
      </c>
      <c r="B1" s="306"/>
      <c r="C1" s="306"/>
      <c r="D1" s="306"/>
      <c r="E1" s="306"/>
      <c r="F1" s="306"/>
      <c r="G1" s="306"/>
      <c r="H1" s="306"/>
      <c r="I1" s="307"/>
    </row>
    <row r="2" spans="1:9" ht="18.600000000000001" customHeight="1" thickBot="1" x14ac:dyDescent="0.3">
      <c r="A2" s="73"/>
      <c r="B2" s="308"/>
      <c r="C2" s="308"/>
      <c r="D2" s="308"/>
      <c r="E2" s="308"/>
      <c r="F2" s="308"/>
      <c r="G2" s="309"/>
      <c r="H2" s="310" t="s">
        <v>171</v>
      </c>
      <c r="I2" s="311"/>
    </row>
    <row r="3" spans="1:9" ht="21" customHeight="1" x14ac:dyDescent="0.25">
      <c r="A3" s="74" t="s">
        <v>43</v>
      </c>
      <c r="B3" s="75">
        <f>+'Data Sheet'!B16</f>
        <v>43921</v>
      </c>
      <c r="C3" s="75">
        <f>+'Data Sheet'!C16</f>
        <v>44286</v>
      </c>
      <c r="D3" s="75">
        <f>+'Data Sheet'!D16</f>
        <v>44651</v>
      </c>
      <c r="E3" s="75">
        <f>+'Data Sheet'!E16</f>
        <v>45016</v>
      </c>
      <c r="F3" s="75">
        <f>+'Data Sheet'!F16</f>
        <v>45382</v>
      </c>
      <c r="G3" s="76"/>
      <c r="H3" s="77">
        <v>5</v>
      </c>
      <c r="I3" s="78">
        <v>3</v>
      </c>
    </row>
    <row r="4" spans="1:9" ht="15" customHeight="1" x14ac:dyDescent="0.25">
      <c r="A4" t="s">
        <v>6</v>
      </c>
      <c r="B4" s="9">
        <f>+'Data Sheet'!B17</f>
        <v>1436.04</v>
      </c>
      <c r="C4" s="9">
        <f>+'Data Sheet'!C17</f>
        <v>1564.49</v>
      </c>
      <c r="D4" s="9">
        <f>+'Data Sheet'!D17</f>
        <v>2160.35</v>
      </c>
      <c r="E4" s="9">
        <f>+'Data Sheet'!E17</f>
        <v>2648.71</v>
      </c>
      <c r="F4" s="9">
        <f>+'Data Sheet'!F17</f>
        <v>2925.54</v>
      </c>
      <c r="G4" s="9"/>
      <c r="H4" s="44">
        <f>IFERROR((F4/B4)^(1/$H$3)-1,"n/m")</f>
        <v>0.15294316938567909</v>
      </c>
      <c r="I4" s="44">
        <f>IFERROR((F4/C4)^(1/$I$3)-1,"n/m")</f>
        <v>0.23200106420502808</v>
      </c>
    </row>
    <row r="5" spans="1:9" ht="15" customHeight="1" x14ac:dyDescent="0.25">
      <c r="A5" t="s">
        <v>18</v>
      </c>
      <c r="B5" s="12">
        <f>SUM('Data Sheet'!B17-'Data Sheet'!B18+'Data Sheet'!B19)-SUM('Data Sheet'!B20:B23)+'Data Sheet'!B22</f>
        <v>321.99000000000007</v>
      </c>
      <c r="C5" s="12">
        <f>SUM('Data Sheet'!C17-'Data Sheet'!C18+'Data Sheet'!C19)-SUM('Data Sheet'!C20:C23)+'Data Sheet'!C22</f>
        <v>448.03</v>
      </c>
      <c r="D5" s="12">
        <f>SUM('Data Sheet'!D17-'Data Sheet'!D18+'Data Sheet'!D19)-SUM('Data Sheet'!D20:D23)+'Data Sheet'!D22</f>
        <v>660.58999999999992</v>
      </c>
      <c r="E5" s="12">
        <f>SUM('Data Sheet'!E17-'Data Sheet'!E18+'Data Sheet'!E19)-SUM('Data Sheet'!E20:E23)+'Data Sheet'!E22</f>
        <v>723.01999999999987</v>
      </c>
      <c r="F5" s="12">
        <f>SUM('Data Sheet'!F17-'Data Sheet'!F18+'Data Sheet'!F19)-SUM('Data Sheet'!F20:F23)+'Data Sheet'!F22</f>
        <v>774.79999999999973</v>
      </c>
      <c r="G5" s="9"/>
      <c r="H5" s="44">
        <f t="shared" ref="H5:H7" si="0">IFERROR((F5/B5)^(1/$H$3)-1,"n/m")</f>
        <v>0.19198130938520941</v>
      </c>
      <c r="I5" s="44">
        <f t="shared" ref="I5:I23" si="1">IFERROR((F5/C5)^(1/$I$3)-1,"n/m")</f>
        <v>0.20031206724736661</v>
      </c>
    </row>
    <row r="6" spans="1:9" ht="15" customHeight="1" x14ac:dyDescent="0.25">
      <c r="A6" t="s">
        <v>11</v>
      </c>
      <c r="B6" s="12">
        <f>+'Data Sheet'!B24</f>
        <v>46.71</v>
      </c>
      <c r="C6" s="12">
        <f>+'Data Sheet'!C24</f>
        <v>34.450000000000003</v>
      </c>
      <c r="D6" s="12">
        <f>+'Data Sheet'!D24</f>
        <v>24.62</v>
      </c>
      <c r="E6" s="12">
        <f>+'Data Sheet'!E24</f>
        <v>65.95</v>
      </c>
      <c r="F6" s="12">
        <f>+'Data Sheet'!F24</f>
        <v>65.64</v>
      </c>
      <c r="H6" s="44">
        <f t="shared" si="0"/>
        <v>7.0413902391691652E-2</v>
      </c>
      <c r="I6" s="44">
        <f t="shared" si="1"/>
        <v>0.23972811017582618</v>
      </c>
    </row>
    <row r="7" spans="1:9" ht="15" customHeight="1" x14ac:dyDescent="0.25">
      <c r="A7" s="1" t="s">
        <v>46</v>
      </c>
      <c r="B7" s="11">
        <f>+B6+B5</f>
        <v>368.70000000000005</v>
      </c>
      <c r="C7" s="11">
        <f t="shared" ref="C7:F7" si="2">+C6+C5</f>
        <v>482.47999999999996</v>
      </c>
      <c r="D7" s="11">
        <f t="shared" si="2"/>
        <v>685.20999999999992</v>
      </c>
      <c r="E7" s="11">
        <f t="shared" si="2"/>
        <v>788.96999999999991</v>
      </c>
      <c r="F7" s="11">
        <f t="shared" si="2"/>
        <v>840.43999999999971</v>
      </c>
      <c r="H7" s="44">
        <f t="shared" si="0"/>
        <v>0.17914364660411253</v>
      </c>
      <c r="I7" s="45">
        <f t="shared" si="1"/>
        <v>0.20321286325448029</v>
      </c>
    </row>
    <row r="8" spans="1:9" ht="15" customHeight="1" x14ac:dyDescent="0.25">
      <c r="A8" t="s">
        <v>13</v>
      </c>
      <c r="B8" s="12">
        <f>-'Data Sheet'!B22</f>
        <v>-18.809999999999999</v>
      </c>
      <c r="C8" s="12">
        <f>-'Data Sheet'!C22</f>
        <v>-20.28</v>
      </c>
      <c r="D8" s="12">
        <f>-'Data Sheet'!D22</f>
        <v>-21.52</v>
      </c>
      <c r="E8" s="12">
        <f>-'Data Sheet'!E22</f>
        <v>-21.16</v>
      </c>
      <c r="F8" s="12">
        <f>-'Data Sheet'!F22</f>
        <v>-23.48</v>
      </c>
      <c r="H8" s="44"/>
      <c r="I8" s="44"/>
    </row>
    <row r="9" spans="1:9" ht="15" customHeight="1" x14ac:dyDescent="0.25">
      <c r="A9" t="s">
        <v>12</v>
      </c>
      <c r="B9" s="12">
        <f>-'Data Sheet'!B25</f>
        <v>-70.900000000000006</v>
      </c>
      <c r="C9" s="12">
        <f>-'Data Sheet'!C25</f>
        <v>-81.59</v>
      </c>
      <c r="D9" s="12">
        <f>-'Data Sheet'!D25</f>
        <v>-103.19</v>
      </c>
      <c r="E9" s="12">
        <f>-'Data Sheet'!E25</f>
        <v>-114.01</v>
      </c>
      <c r="F9" s="12">
        <f>-'Data Sheet'!F25</f>
        <v>-125.77</v>
      </c>
      <c r="H9" s="44"/>
      <c r="I9" s="44"/>
    </row>
    <row r="10" spans="1:9" ht="15" customHeight="1" x14ac:dyDescent="0.25">
      <c r="A10" s="1" t="s">
        <v>47</v>
      </c>
      <c r="B10" s="11">
        <f>+B7+B8+B9</f>
        <v>278.99</v>
      </c>
      <c r="C10" s="11">
        <f t="shared" ref="C10:F10" si="3">+C7+C8+C9</f>
        <v>380.6099999999999</v>
      </c>
      <c r="D10" s="11">
        <f t="shared" si="3"/>
        <v>560.5</v>
      </c>
      <c r="E10" s="11">
        <f t="shared" si="3"/>
        <v>653.79999999999995</v>
      </c>
      <c r="F10" s="11">
        <f t="shared" si="3"/>
        <v>691.18999999999971</v>
      </c>
      <c r="G10" s="11"/>
      <c r="H10" s="44">
        <f t="shared" ref="H10" si="4">IFERROR((F10/B10)^(1/$H$3)-1,"n/m")</f>
        <v>0.19895190444186417</v>
      </c>
      <c r="I10" s="45">
        <f t="shared" si="1"/>
        <v>0.22003535803853369</v>
      </c>
    </row>
    <row r="11" spans="1:9" ht="15" customHeight="1" x14ac:dyDescent="0.25">
      <c r="A11" t="s">
        <v>15</v>
      </c>
      <c r="B11" s="12">
        <f>-'Data Sheet'!B27</f>
        <v>-72.709999999999994</v>
      </c>
      <c r="C11" s="12">
        <f>-'Data Sheet'!C27</f>
        <v>-102.36</v>
      </c>
      <c r="D11" s="12">
        <f>-'Data Sheet'!D27</f>
        <v>-149.72</v>
      </c>
      <c r="E11" s="12">
        <f>-'Data Sheet'!E27</f>
        <v>-163.80000000000001</v>
      </c>
      <c r="F11" s="12">
        <f>-'Data Sheet'!F27</f>
        <v>-177.6</v>
      </c>
      <c r="H11" s="44"/>
      <c r="I11" s="44"/>
    </row>
    <row r="12" spans="1:9" ht="15" customHeight="1" x14ac:dyDescent="0.25">
      <c r="A12" s="1" t="s">
        <v>49</v>
      </c>
      <c r="B12" s="11">
        <f>+B11+B10</f>
        <v>206.28000000000003</v>
      </c>
      <c r="C12" s="11">
        <f t="shared" ref="C12:F12" si="5">+C11+C10</f>
        <v>278.24999999999989</v>
      </c>
      <c r="D12" s="11">
        <f t="shared" si="5"/>
        <v>410.78</v>
      </c>
      <c r="E12" s="11">
        <f t="shared" si="5"/>
        <v>489.99999999999994</v>
      </c>
      <c r="F12" s="11">
        <f t="shared" si="5"/>
        <v>513.58999999999969</v>
      </c>
      <c r="G12" s="11"/>
      <c r="H12" s="44">
        <f t="shared" ref="H12" si="6">IFERROR((F12/B12)^(1/$H$3)-1,"n/m")</f>
        <v>0.20013993502933847</v>
      </c>
      <c r="I12" s="45">
        <f t="shared" si="1"/>
        <v>0.2266682617789848</v>
      </c>
    </row>
    <row r="13" spans="1:9" ht="15" customHeight="1" x14ac:dyDescent="0.25">
      <c r="H13" s="44"/>
      <c r="I13" s="44"/>
    </row>
    <row r="14" spans="1:9" ht="15" customHeight="1" x14ac:dyDescent="0.25">
      <c r="A14" s="16" t="s">
        <v>52</v>
      </c>
      <c r="B14" s="30">
        <f>+'Data Sheet'!B69</f>
        <v>5.55</v>
      </c>
      <c r="C14" s="30">
        <f>+'Data Sheet'!C69</f>
        <v>5.23</v>
      </c>
      <c r="D14" s="30">
        <f>+'Data Sheet'!D69</f>
        <v>5.07</v>
      </c>
      <c r="E14" s="30">
        <f>+'Data Sheet'!E69</f>
        <v>4.9000000000000004</v>
      </c>
      <c r="F14" s="30">
        <f>+'Data Sheet'!F69</f>
        <v>4.9000000000000004</v>
      </c>
      <c r="G14" s="16"/>
      <c r="H14" s="46"/>
      <c r="I14" s="46"/>
    </row>
    <row r="15" spans="1:9" ht="15" customHeight="1" x14ac:dyDescent="0.25">
      <c r="H15" s="44"/>
      <c r="I15" s="44"/>
    </row>
    <row r="16" spans="1:9" ht="15" customHeight="1" thickBot="1" x14ac:dyDescent="0.3">
      <c r="A16" s="31" t="s">
        <v>54</v>
      </c>
      <c r="B16" s="32">
        <f>'Data Sheet'!B66</f>
        <v>243.6</v>
      </c>
      <c r="C16" s="32">
        <f>'Data Sheet'!C66</f>
        <v>961.45</v>
      </c>
      <c r="D16" s="32">
        <f>'Data Sheet'!D66</f>
        <v>2042.4</v>
      </c>
      <c r="E16" s="32">
        <f>'Data Sheet'!E66</f>
        <v>1420</v>
      </c>
      <c r="F16" s="32">
        <f>'Data Sheet'!F66</f>
        <v>2393.25</v>
      </c>
      <c r="G16" s="31"/>
      <c r="H16" s="44">
        <f t="shared" ref="H16" si="7">IFERROR((F16/B16)^(1/$H$3)-1,"n/m")</f>
        <v>0.57929098649357869</v>
      </c>
      <c r="I16" s="47">
        <f t="shared" si="1"/>
        <v>0.35525324119941759</v>
      </c>
    </row>
    <row r="17" spans="1:9" ht="15" customHeight="1" x14ac:dyDescent="0.25">
      <c r="H17" s="44"/>
      <c r="I17" s="44"/>
    </row>
    <row r="18" spans="1:9" ht="15" customHeight="1" x14ac:dyDescent="0.25">
      <c r="H18" s="44"/>
      <c r="I18" s="44"/>
    </row>
    <row r="19" spans="1:9" ht="15" customHeight="1" x14ac:dyDescent="0.25">
      <c r="A19" s="14" t="s">
        <v>45</v>
      </c>
      <c r="B19" s="38">
        <f t="shared" ref="B19:F19" si="8">IF(B5&gt;0,B5/B4,"n/m")</f>
        <v>0.22422077379460187</v>
      </c>
      <c r="C19" s="38">
        <f t="shared" si="8"/>
        <v>0.28637447347058786</v>
      </c>
      <c r="D19" s="38">
        <f t="shared" si="8"/>
        <v>0.30577915615525258</v>
      </c>
      <c r="E19" s="38">
        <f t="shared" si="8"/>
        <v>0.27297061588471366</v>
      </c>
      <c r="F19" s="38">
        <f t="shared" si="8"/>
        <v>0.2648399953512855</v>
      </c>
      <c r="G19" s="15"/>
      <c r="H19" s="46"/>
      <c r="I19" s="46"/>
    </row>
    <row r="20" spans="1:9" ht="15" customHeight="1" x14ac:dyDescent="0.25">
      <c r="A20" s="1" t="s">
        <v>48</v>
      </c>
      <c r="B20" s="39">
        <f t="shared" ref="B20:F20" si="9">IF(B12&gt;0,B12/B4,"n/m")</f>
        <v>0.14364502381549263</v>
      </c>
      <c r="C20" s="39">
        <f t="shared" si="9"/>
        <v>0.17785348580048443</v>
      </c>
      <c r="D20" s="39">
        <f t="shared" si="9"/>
        <v>0.19014511537482351</v>
      </c>
      <c r="E20" s="39">
        <f t="shared" si="9"/>
        <v>0.18499571489517536</v>
      </c>
      <c r="F20" s="39">
        <f t="shared" si="9"/>
        <v>0.1755539148328171</v>
      </c>
      <c r="G20" s="17"/>
      <c r="H20" s="44"/>
      <c r="I20" s="44"/>
    </row>
    <row r="21" spans="1:9" ht="15" customHeight="1" x14ac:dyDescent="0.25">
      <c r="A21" s="1" t="s">
        <v>50</v>
      </c>
      <c r="B21" s="39">
        <f t="shared" ref="B21:F21" si="10">IF(B11&lt;0,-B11/B10,"n/m")</f>
        <v>0.26061866016703106</v>
      </c>
      <c r="C21" s="39">
        <f t="shared" si="10"/>
        <v>0.26893670686529525</v>
      </c>
      <c r="D21" s="39">
        <f t="shared" si="10"/>
        <v>0.26711864406779662</v>
      </c>
      <c r="E21" s="39">
        <f t="shared" si="10"/>
        <v>0.25053533190578164</v>
      </c>
      <c r="F21" s="39">
        <f t="shared" si="10"/>
        <v>0.25694816186576785</v>
      </c>
      <c r="H21" s="44"/>
      <c r="I21" s="44"/>
    </row>
    <row r="22" spans="1:9" ht="15" customHeight="1" x14ac:dyDescent="0.25">
      <c r="A22" s="1" t="s">
        <v>51</v>
      </c>
      <c r="B22" s="18">
        <f t="shared" ref="B22:F22" si="11">IFERROR((B10-B8)/(-B8),"n/m")</f>
        <v>15.832004253056887</v>
      </c>
      <c r="C22" s="18">
        <f t="shared" si="11"/>
        <v>19.767751479289934</v>
      </c>
      <c r="D22" s="18">
        <f t="shared" si="11"/>
        <v>27.045539033457249</v>
      </c>
      <c r="E22" s="18">
        <f t="shared" si="11"/>
        <v>31.89792060491493</v>
      </c>
      <c r="F22" s="18">
        <f t="shared" si="11"/>
        <v>30.43739352640544</v>
      </c>
      <c r="H22" s="44"/>
      <c r="I22" s="44"/>
    </row>
    <row r="23" spans="1:9" ht="15" customHeight="1" x14ac:dyDescent="0.25">
      <c r="A23" s="1" t="s">
        <v>53</v>
      </c>
      <c r="B23" s="40">
        <f>IFERROR(B12/B14,"n/m")</f>
        <v>37.167567567567573</v>
      </c>
      <c r="C23" s="40">
        <f t="shared" ref="B23:F23" si="12">IFERROR(C12/C14,"n/m")</f>
        <v>53.202676864244715</v>
      </c>
      <c r="D23" s="40">
        <f t="shared" si="12"/>
        <v>81.021696252465475</v>
      </c>
      <c r="E23" s="40">
        <f t="shared" si="12"/>
        <v>99.999999999999986</v>
      </c>
      <c r="F23" s="40">
        <f t="shared" si="12"/>
        <v>104.81428571428565</v>
      </c>
      <c r="H23" s="44">
        <f t="shared" ref="H23" si="13">IFERROR((F23/B23)^(1/$H$3)-1,"n/m")</f>
        <v>0.23041401098761072</v>
      </c>
      <c r="I23" s="45">
        <f t="shared" si="1"/>
        <v>0.25360966462750545</v>
      </c>
    </row>
    <row r="24" spans="1:9" ht="15" customHeight="1" x14ac:dyDescent="0.25">
      <c r="A24" s="19" t="s">
        <v>55</v>
      </c>
      <c r="B24" s="20">
        <f>IFERROR(B16/B23,"n/m")</f>
        <v>6.5541012216404875</v>
      </c>
      <c r="C24" s="20">
        <f t="shared" ref="C24:F24" si="14">IFERROR(C16/C23,"n/m")</f>
        <v>18.071459119496865</v>
      </c>
      <c r="D24" s="20">
        <f t="shared" si="14"/>
        <v>25.208062709966409</v>
      </c>
      <c r="E24" s="20">
        <f t="shared" si="14"/>
        <v>14.200000000000003</v>
      </c>
      <c r="F24" s="20">
        <f t="shared" si="14"/>
        <v>22.833242469674268</v>
      </c>
      <c r="G24" s="21"/>
      <c r="H24" s="48"/>
      <c r="I24" s="48"/>
    </row>
  </sheetData>
  <mergeCells count="3">
    <mergeCell ref="A1:I1"/>
    <mergeCell ref="H2:I2"/>
    <mergeCell ref="B2:G2"/>
  </mergeCells>
  <conditionalFormatting sqref="B21:F24">
    <cfRule type="cellIs" dxfId="10" priority="123" operator="lessThan">
      <formula>#REF!</formula>
    </cfRule>
  </conditionalFormatting>
  <conditionalFormatting sqref="B21:F24">
    <cfRule type="cellIs" dxfId="9" priority="124" operator="greaterThan">
      <formula>#REF!</formula>
    </cfRule>
  </conditionalFormatting>
  <conditionalFormatting sqref="B19:G20">
    <cfRule type="cellIs" dxfId="8" priority="126" operator="greaterThan">
      <formula>#REF!</formula>
    </cfRule>
    <cfRule type="cellIs" dxfId="7" priority="127" operator="lessThan">
      <formula>#REF!</formula>
    </cfRule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7"/>
  <sheetViews>
    <sheetView showGridLines="0" topLeftCell="A4" zoomScale="90" zoomScaleNormal="55" workbookViewId="0">
      <selection activeCell="F6" sqref="F6"/>
    </sheetView>
  </sheetViews>
  <sheetFormatPr defaultColWidth="8.85546875" defaultRowHeight="15" customHeight="1" x14ac:dyDescent="0.25"/>
  <cols>
    <col min="1" max="1" width="33.140625" customWidth="1"/>
    <col min="2" max="9" width="13.85546875" customWidth="1"/>
  </cols>
  <sheetData>
    <row r="1" spans="1:9" ht="27" thickBot="1" x14ac:dyDescent="0.3">
      <c r="A1" s="305" t="s">
        <v>56</v>
      </c>
      <c r="B1" s="306"/>
      <c r="C1" s="306"/>
      <c r="D1" s="306"/>
      <c r="E1" s="306"/>
      <c r="F1" s="306"/>
      <c r="G1" s="306"/>
      <c r="H1" s="306"/>
      <c r="I1" s="307"/>
    </row>
    <row r="2" spans="1:9" ht="18.600000000000001" customHeight="1" thickBot="1" x14ac:dyDescent="0.3">
      <c r="A2" s="73" t="s">
        <v>42</v>
      </c>
      <c r="B2" s="308"/>
      <c r="C2" s="308"/>
      <c r="D2" s="308"/>
      <c r="E2" s="308"/>
      <c r="F2" s="308"/>
      <c r="G2" s="309"/>
      <c r="H2" s="310" t="s">
        <v>170</v>
      </c>
      <c r="I2" s="311"/>
    </row>
    <row r="3" spans="1:9" ht="21" customHeight="1" x14ac:dyDescent="0.25">
      <c r="A3" s="74" t="s">
        <v>43</v>
      </c>
      <c r="B3" s="75">
        <f>+'Data Sheet'!B16</f>
        <v>43921</v>
      </c>
      <c r="C3" s="75">
        <f>+'Data Sheet'!C16</f>
        <v>44286</v>
      </c>
      <c r="D3" s="75">
        <f>+'Data Sheet'!D16</f>
        <v>44651</v>
      </c>
      <c r="E3" s="75">
        <f>+'Data Sheet'!E16</f>
        <v>45016</v>
      </c>
      <c r="F3" s="75">
        <f>+'Data Sheet'!F16</f>
        <v>45382</v>
      </c>
      <c r="G3" s="76"/>
      <c r="H3" s="77">
        <v>5</v>
      </c>
      <c r="I3" s="78">
        <v>3</v>
      </c>
    </row>
    <row r="4" spans="1:9" ht="15" customHeight="1" x14ac:dyDescent="0.25">
      <c r="A4" s="16" t="s">
        <v>20</v>
      </c>
      <c r="B4" s="25">
        <f>+'Data Sheet'!B34</f>
        <v>36.1</v>
      </c>
      <c r="C4" s="25">
        <f>+'Data Sheet'!C34</f>
        <v>34.01</v>
      </c>
      <c r="D4" s="25">
        <f>+'Data Sheet'!D34</f>
        <v>33.1</v>
      </c>
      <c r="E4" s="25">
        <f>+'Data Sheet'!E34</f>
        <v>48.03</v>
      </c>
      <c r="F4" s="25">
        <f>+'Data Sheet'!F34</f>
        <v>48.23</v>
      </c>
      <c r="G4" s="9"/>
      <c r="H4" s="10"/>
      <c r="I4" s="10"/>
    </row>
    <row r="5" spans="1:9" ht="15" customHeight="1" x14ac:dyDescent="0.25">
      <c r="A5" t="s">
        <v>21</v>
      </c>
      <c r="B5" s="26">
        <f>+'Data Sheet'!B35</f>
        <v>1270.1099999999999</v>
      </c>
      <c r="C5" s="26">
        <f>+'Data Sheet'!C35</f>
        <v>1466.81</v>
      </c>
      <c r="D5" s="26">
        <f>+'Data Sheet'!D35</f>
        <v>1534.49</v>
      </c>
      <c r="E5" s="26">
        <f>+'Data Sheet'!E35</f>
        <v>1666.84</v>
      </c>
      <c r="F5" s="26">
        <f>+'Data Sheet'!F35</f>
        <v>2199.27</v>
      </c>
      <c r="G5" s="9"/>
      <c r="H5" s="10"/>
      <c r="I5" s="10"/>
    </row>
    <row r="6" spans="1:9" ht="15" customHeight="1" x14ac:dyDescent="0.25">
      <c r="A6" t="s">
        <v>22</v>
      </c>
      <c r="B6" s="26">
        <f>+'Data Sheet'!B36</f>
        <v>0.32</v>
      </c>
      <c r="C6" s="26">
        <f>+'Data Sheet'!C36</f>
        <v>143.94</v>
      </c>
      <c r="D6" s="26">
        <f>+'Data Sheet'!D36</f>
        <v>0.05</v>
      </c>
      <c r="E6" s="26">
        <f>+'Data Sheet'!E36</f>
        <v>0.68</v>
      </c>
      <c r="F6" s="26">
        <f>+'Data Sheet'!F36</f>
        <v>0</v>
      </c>
      <c r="H6" s="10"/>
      <c r="I6" s="10"/>
    </row>
    <row r="7" spans="1:9" ht="15" customHeight="1" x14ac:dyDescent="0.25">
      <c r="A7" t="s">
        <v>23</v>
      </c>
      <c r="B7" s="26">
        <f>+'Data Sheet'!B37</f>
        <v>429.75000000000011</v>
      </c>
      <c r="C7" s="26">
        <f>+'Data Sheet'!C37</f>
        <v>507.32000000000016</v>
      </c>
      <c r="D7" s="26">
        <f>+'Data Sheet'!D37</f>
        <v>502.31999999999982</v>
      </c>
      <c r="E7" s="26">
        <f>+'Data Sheet'!E37</f>
        <v>572.86999999999989</v>
      </c>
      <c r="F7" s="26">
        <f>+'Data Sheet'!F37</f>
        <v>681.4699999999998</v>
      </c>
      <c r="H7" s="13"/>
      <c r="I7" s="13"/>
    </row>
    <row r="8" spans="1:9" ht="15" customHeight="1" x14ac:dyDescent="0.25">
      <c r="A8" s="19" t="s">
        <v>60</v>
      </c>
      <c r="B8" s="24">
        <f t="shared" ref="B8:F8" si="0">SUM(B4:B7)</f>
        <v>1736.2799999999997</v>
      </c>
      <c r="C8" s="24">
        <f t="shared" si="0"/>
        <v>2152.08</v>
      </c>
      <c r="D8" s="24">
        <f t="shared" si="0"/>
        <v>2069.9599999999996</v>
      </c>
      <c r="E8" s="24">
        <f t="shared" si="0"/>
        <v>2288.42</v>
      </c>
      <c r="F8" s="24">
        <f t="shared" si="0"/>
        <v>2928.97</v>
      </c>
    </row>
    <row r="9" spans="1:9" ht="15" customHeight="1" x14ac:dyDescent="0.25">
      <c r="B9" s="12"/>
      <c r="C9" s="12"/>
      <c r="D9" s="12"/>
      <c r="E9" s="12"/>
      <c r="F9" s="12"/>
    </row>
    <row r="10" spans="1:9" ht="15" customHeight="1" x14ac:dyDescent="0.25">
      <c r="A10" s="16" t="s">
        <v>58</v>
      </c>
      <c r="B10" s="26">
        <f>+'Data Sheet'!B39</f>
        <v>480</v>
      </c>
      <c r="C10" s="26">
        <f>+'Data Sheet'!C39</f>
        <v>728</v>
      </c>
      <c r="D10" s="26">
        <f>+'Data Sheet'!D39</f>
        <v>713</v>
      </c>
      <c r="E10" s="26">
        <f>+'Data Sheet'!E39</f>
        <v>773</v>
      </c>
      <c r="F10" s="26">
        <f>+'Data Sheet'!F39</f>
        <v>843</v>
      </c>
      <c r="G10" s="26"/>
      <c r="H10" s="13"/>
      <c r="I10" s="13"/>
    </row>
    <row r="11" spans="1:9" ht="15" customHeight="1" x14ac:dyDescent="0.25">
      <c r="A11" t="s">
        <v>59</v>
      </c>
      <c r="B11" s="26">
        <f>+'Data Sheet'!B40</f>
        <v>1</v>
      </c>
      <c r="C11" s="26">
        <f>+'Data Sheet'!C40</f>
        <v>0</v>
      </c>
      <c r="D11" s="26">
        <f>+'Data Sheet'!D40</f>
        <v>2</v>
      </c>
      <c r="E11" s="26">
        <f>+'Data Sheet'!E40</f>
        <v>21</v>
      </c>
      <c r="F11" s="26">
        <f>+'Data Sheet'!F40</f>
        <v>1</v>
      </c>
      <c r="G11" s="26"/>
    </row>
    <row r="12" spans="1:9" ht="15" customHeight="1" x14ac:dyDescent="0.25">
      <c r="A12" t="s">
        <v>27</v>
      </c>
      <c r="B12" s="26">
        <f>+'Data Sheet'!B41</f>
        <v>437</v>
      </c>
      <c r="C12" s="26">
        <f>+'Data Sheet'!C41</f>
        <v>229</v>
      </c>
      <c r="D12" s="26">
        <f>+'Data Sheet'!D41</f>
        <v>196</v>
      </c>
      <c r="E12" s="26">
        <f>+'Data Sheet'!E41</f>
        <v>275</v>
      </c>
      <c r="F12" s="26">
        <f>+'Data Sheet'!F41</f>
        <v>406</v>
      </c>
      <c r="G12" s="26"/>
      <c r="H12" s="13"/>
      <c r="I12" s="13"/>
    </row>
    <row r="13" spans="1:9" ht="15" customHeight="1" x14ac:dyDescent="0.25">
      <c r="A13" t="s">
        <v>28</v>
      </c>
      <c r="B13" s="26">
        <f>+'Data Sheet'!B42</f>
        <v>817.96</v>
      </c>
      <c r="C13" s="26">
        <f>+'Data Sheet'!C42</f>
        <v>1051.1400000000001</v>
      </c>
      <c r="D13" s="26">
        <f>+'Data Sheet'!D42</f>
        <v>1158.9099999999999</v>
      </c>
      <c r="E13" s="26">
        <f>+'Data Sheet'!E42</f>
        <v>1218.7399999999998</v>
      </c>
      <c r="F13" s="26">
        <f>+'Data Sheet'!F42</f>
        <v>1678.9699999999998</v>
      </c>
      <c r="G13" s="26"/>
    </row>
    <row r="14" spans="1:9" ht="15" customHeight="1" x14ac:dyDescent="0.25">
      <c r="A14" s="19" t="s">
        <v>61</v>
      </c>
      <c r="B14" s="28">
        <f>+'Data Sheet'!B43</f>
        <v>1735.96</v>
      </c>
      <c r="C14" s="28">
        <f>+'Data Sheet'!C43</f>
        <v>2008.14</v>
      </c>
      <c r="D14" s="28">
        <f>+'Data Sheet'!D43</f>
        <v>2069.91</v>
      </c>
      <c r="E14" s="28">
        <f>+'Data Sheet'!E43</f>
        <v>2287.7399999999998</v>
      </c>
      <c r="F14" s="28">
        <f>+'Data Sheet'!F43</f>
        <v>2928.97</v>
      </c>
      <c r="G14" s="26"/>
    </row>
    <row r="16" spans="1:9" ht="15" customHeight="1" x14ac:dyDescent="0.25">
      <c r="A16" s="16" t="s">
        <v>29</v>
      </c>
      <c r="B16" s="22">
        <f>+'Data Sheet'!B44</f>
        <v>237.78</v>
      </c>
      <c r="C16" s="22">
        <f>+'Data Sheet'!C44</f>
        <v>293.02</v>
      </c>
      <c r="D16" s="22">
        <f>+'Data Sheet'!D44</f>
        <v>329.27</v>
      </c>
      <c r="E16" s="22">
        <f>+'Data Sheet'!E44</f>
        <v>440.49</v>
      </c>
      <c r="F16" s="22">
        <f>+'Data Sheet'!F44</f>
        <v>496</v>
      </c>
      <c r="H16" s="13"/>
      <c r="I16" s="13"/>
    </row>
    <row r="17" spans="1:9" ht="15" customHeight="1" x14ac:dyDescent="0.25">
      <c r="A17" t="s">
        <v>30</v>
      </c>
      <c r="B17" s="23">
        <f>+'Data Sheet'!B45</f>
        <v>0.3</v>
      </c>
      <c r="C17" s="23">
        <f>+'Data Sheet'!C45</f>
        <v>0.32</v>
      </c>
      <c r="D17" s="23">
        <f>+'Data Sheet'!D45</f>
        <v>0.52</v>
      </c>
      <c r="E17" s="23">
        <f>+'Data Sheet'!E45</f>
        <v>0.45</v>
      </c>
      <c r="F17" s="23">
        <f>+'Data Sheet'!F45</f>
        <v>0.65</v>
      </c>
    </row>
    <row r="18" spans="1:9" ht="15" customHeight="1" x14ac:dyDescent="0.25">
      <c r="A18" t="s">
        <v>31</v>
      </c>
      <c r="B18" s="23">
        <f>+'Data Sheet'!B47</f>
        <v>334.5</v>
      </c>
      <c r="C18" s="23">
        <f>+'Data Sheet'!C47</f>
        <v>490.86</v>
      </c>
      <c r="D18" s="23">
        <f>+'Data Sheet'!D47</f>
        <v>493.64</v>
      </c>
      <c r="E18" s="23">
        <f>+'Data Sheet'!E47</f>
        <v>427.93</v>
      </c>
      <c r="F18" s="23">
        <f>+'Data Sheet'!F47</f>
        <v>692.09</v>
      </c>
    </row>
    <row r="19" spans="1:9" ht="15" customHeight="1" x14ac:dyDescent="0.25">
      <c r="A19" t="s">
        <v>57</v>
      </c>
      <c r="B19" s="23">
        <f>B13-B7</f>
        <v>388.20999999999992</v>
      </c>
      <c r="C19" s="23">
        <f t="shared" ref="C19:F19" si="1">C13-C7</f>
        <v>543.81999999999994</v>
      </c>
      <c r="D19" s="23">
        <f t="shared" si="1"/>
        <v>656.59</v>
      </c>
      <c r="E19" s="23">
        <f t="shared" si="1"/>
        <v>645.86999999999989</v>
      </c>
      <c r="F19" s="23">
        <f t="shared" si="1"/>
        <v>997.5</v>
      </c>
    </row>
    <row r="20" spans="1:9" ht="15" customHeight="1" x14ac:dyDescent="0.25">
      <c r="A20" t="s">
        <v>68</v>
      </c>
      <c r="B20" s="23">
        <f t="shared" ref="B20:F20" si="2">B4+B5+B6</f>
        <v>1306.5299999999997</v>
      </c>
      <c r="C20" s="23">
        <f t="shared" si="2"/>
        <v>1644.76</v>
      </c>
      <c r="D20" s="23">
        <f t="shared" si="2"/>
        <v>1567.6399999999999</v>
      </c>
      <c r="E20" s="23">
        <f t="shared" si="2"/>
        <v>1715.55</v>
      </c>
      <c r="F20" s="23">
        <f t="shared" si="2"/>
        <v>2247.5</v>
      </c>
    </row>
    <row r="21" spans="1:9" ht="15" customHeight="1" x14ac:dyDescent="0.25">
      <c r="A21" s="21" t="s">
        <v>62</v>
      </c>
      <c r="B21" s="27">
        <f t="shared" ref="B21:E21" si="3">B4+B5</f>
        <v>1306.2099999999998</v>
      </c>
      <c r="C21" s="27">
        <f t="shared" si="3"/>
        <v>1500.82</v>
      </c>
      <c r="D21" s="27">
        <f t="shared" si="3"/>
        <v>1567.59</v>
      </c>
      <c r="E21" s="27">
        <f t="shared" si="3"/>
        <v>1714.87</v>
      </c>
      <c r="F21" s="27">
        <f>F4+F5</f>
        <v>2247.5</v>
      </c>
    </row>
    <row r="23" spans="1:9" ht="15" customHeight="1" x14ac:dyDescent="0.25">
      <c r="A23" s="14" t="s">
        <v>63</v>
      </c>
      <c r="B23" s="29">
        <f>IFERROR('Income Statement'!B4/AVERAGE('Balance Sheet'!B10:B10),"n/m")</f>
        <v>2.9917500000000001</v>
      </c>
      <c r="C23" s="29">
        <f>IFERROR('Income Statement'!C4/AVERAGE('Balance Sheet'!B10:C10),"n/m")</f>
        <v>2.5902152317880796</v>
      </c>
      <c r="D23" s="29">
        <f>IFERROR('Income Statement'!D4/AVERAGE('Balance Sheet'!C10:D10),"n/m")</f>
        <v>2.9984038861901454</v>
      </c>
      <c r="E23" s="29">
        <f>IFERROR('Income Statement'!E4/AVERAGE('Balance Sheet'!D10:E10),"n/m")</f>
        <v>3.5648855989232842</v>
      </c>
      <c r="F23" s="29">
        <f>IFERROR('Income Statement'!F4/AVERAGE('Balance Sheet'!E10:F10),"n/m")</f>
        <v>3.6207178217821783</v>
      </c>
      <c r="H23" s="29">
        <f>SUM(B23:F23)/H$3</f>
        <v>3.1531945077367376</v>
      </c>
      <c r="I23" s="29">
        <f>SUM(D23:F23)/I$3</f>
        <v>3.3946691022985362</v>
      </c>
    </row>
    <row r="24" spans="1:9" ht="15" customHeight="1" x14ac:dyDescent="0.25">
      <c r="A24" s="1" t="s">
        <v>65</v>
      </c>
      <c r="B24" s="28">
        <f>IFERROR(365/('Income Statement'!B4/AVERAGE('Balance Sheet'!B16:B16)),"n/m")</f>
        <v>60.43682627224868</v>
      </c>
      <c r="C24" s="28">
        <f>IFERROR(365/('Income Statement'!C4/AVERAGE('Balance Sheet'!B16:C16)),"n/m")</f>
        <v>61.918580495880441</v>
      </c>
      <c r="D24" s="28">
        <f>IFERROR(365/('Income Statement'!D4/AVERAGE('Balance Sheet'!C16:D16)),"n/m")</f>
        <v>52.569224894114377</v>
      </c>
      <c r="E24" s="28">
        <f>IFERROR(365/('Income Statement'!E4/AVERAGE('Balance Sheet'!D16:E16)),"n/m")</f>
        <v>53.037591884351244</v>
      </c>
      <c r="F24" s="28">
        <f>IFERROR(365/('Income Statement'!F4/AVERAGE('Balance Sheet'!E16:F16)),"n/m")</f>
        <v>58.419787458041931</v>
      </c>
      <c r="H24" s="28">
        <f>SUM(B24:F24)/H$3</f>
        <v>57.276402200927329</v>
      </c>
      <c r="I24" s="28">
        <f>SUM(D24:F24)/I$3</f>
        <v>54.675534745502517</v>
      </c>
    </row>
    <row r="25" spans="1:9" ht="15" customHeight="1" x14ac:dyDescent="0.25">
      <c r="A25" s="1" t="s">
        <v>64</v>
      </c>
      <c r="B25" s="18">
        <f t="shared" ref="B25:F25" si="4">+IFERROR(B6/B21,"n/m")</f>
        <v>2.4498357844450746E-4</v>
      </c>
      <c r="C25" s="18">
        <f t="shared" si="4"/>
        <v>9.5907570528111302E-2</v>
      </c>
      <c r="D25" s="18">
        <f t="shared" si="4"/>
        <v>3.1896095280015825E-5</v>
      </c>
      <c r="E25" s="18">
        <f t="shared" si="4"/>
        <v>3.9653151550846425E-4</v>
      </c>
      <c r="F25" s="18">
        <f t="shared" si="4"/>
        <v>0</v>
      </c>
      <c r="H25" s="18">
        <f>SUM(B25:F25)/H$3</f>
        <v>1.9316196343468855E-2</v>
      </c>
      <c r="I25" s="18">
        <f>SUM(D25:F25)/I$3</f>
        <v>1.4280920359616001E-4</v>
      </c>
    </row>
    <row r="26" spans="1:9" ht="15" customHeight="1" x14ac:dyDescent="0.25">
      <c r="A26" s="1" t="s">
        <v>66</v>
      </c>
      <c r="B26" s="39">
        <f>IFERROR('Income Statement'!B12/AVERAGE('Balance Sheet'!B21:B21),"n/m")</f>
        <v>0.15792253925479063</v>
      </c>
      <c r="C26" s="39">
        <f>IFERROR('Income Statement'!C12/AVERAGE('Balance Sheet'!B21:C21),"n/m")</f>
        <v>0.19825224525566162</v>
      </c>
      <c r="D26" s="39">
        <f>IFERROR('Income Statement'!D12/AVERAGE('Balance Sheet'!C21:D21),"n/m")</f>
        <v>0.26774779120130621</v>
      </c>
      <c r="E26" s="39">
        <f>IFERROR('Income Statement'!E12/AVERAGE('Balance Sheet'!D21:E21),"n/m")</f>
        <v>0.29855657037709521</v>
      </c>
      <c r="F26" s="39">
        <f>IFERROR('Income Statement'!F12/AVERAGE('Balance Sheet'!E21:F21),"n/m")</f>
        <v>0.25923374142243139</v>
      </c>
      <c r="H26" s="17">
        <f>SUM(B26:F26)/H$3</f>
        <v>0.23634257750225701</v>
      </c>
      <c r="I26" s="17">
        <f>SUM(D26:F26)/I$3</f>
        <v>0.27517936766694423</v>
      </c>
    </row>
    <row r="27" spans="1:9" ht="15" customHeight="1" x14ac:dyDescent="0.25">
      <c r="A27" s="19" t="s">
        <v>67</v>
      </c>
      <c r="B27" s="41">
        <f>IFERROR(('Income Statement'!B10-'Income Statement'!B8)/AVERAGE('Balance Sheet'!B20:B20),"n/m")</f>
        <v>0.22793200309216019</v>
      </c>
      <c r="C27" s="41">
        <f>IFERROR(('Income Statement'!C10-'Income Statement'!C8)/AVERAGE('Balance Sheet'!B20:C20),"n/m")</f>
        <v>0.27167103198940118</v>
      </c>
      <c r="D27" s="41">
        <f>IFERROR(('Income Statement'!D10-'Income Statement'!D8)/AVERAGE('Balance Sheet'!C20:D20),"n/m")</f>
        <v>0.36235836134976968</v>
      </c>
      <c r="E27" s="41">
        <f>IFERROR(('Income Statement'!E10-'Income Statement'!E8)/AVERAGE('Balance Sheet'!D20:E20),"n/m")</f>
        <v>0.41116109637273507</v>
      </c>
      <c r="F27" s="41">
        <f>IFERROR(('Income Statement'!F10-'Income Statement'!F8)/AVERAGE('Balance Sheet'!E20:F20),"n/m")</f>
        <v>0.36066665825563626</v>
      </c>
      <c r="H27" s="33">
        <f>SUM(B27:F27)/H$3</f>
        <v>0.32675783021194044</v>
      </c>
      <c r="I27" s="33">
        <f>SUM(D27:F27)/I$3</f>
        <v>0.37806203865938032</v>
      </c>
    </row>
  </sheetData>
  <mergeCells count="3">
    <mergeCell ref="A1:I1"/>
    <mergeCell ref="B2:G2"/>
    <mergeCell ref="H2:I2"/>
  </mergeCells>
  <conditionalFormatting sqref="B24:F25">
    <cfRule type="cellIs" dxfId="6" priority="113" operator="greaterThan">
      <formula>#REF!</formula>
    </cfRule>
    <cfRule type="cellIs" dxfId="5" priority="114" operator="lessThan">
      <formula>#REF!</formula>
    </cfRule>
  </conditionalFormatting>
  <conditionalFormatting sqref="B23:F23">
    <cfRule type="cellIs" dxfId="4" priority="115" operator="lessThan">
      <formula>#REF!</formula>
    </cfRule>
    <cfRule type="cellIs" dxfId="3" priority="116" operator="greaterThan">
      <formula>#REF!</formula>
    </cfRule>
  </conditionalFormatting>
  <conditionalFormatting sqref="B26:F27">
    <cfRule type="cellIs" dxfId="2" priority="121" operator="greaterThan">
      <formula>#REF!</formula>
    </cfRule>
    <cfRule type="cellIs" dxfId="1" priority="122" operator="lessThan">
      <formula>#REF!</formula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BB69"/>
  <sheetViews>
    <sheetView zoomScale="71" zoomScaleNormal="71" workbookViewId="0">
      <pane xSplit="1" ySplit="1" topLeftCell="B24" activePane="bottomRight" state="frozen"/>
      <selection activeCell="C4" sqref="C4"/>
      <selection pane="topRight" activeCell="C4" sqref="C4"/>
      <selection pane="bottomLeft" activeCell="C4" sqref="C4"/>
      <selection pane="bottomRight" activeCell="F44" sqref="F44"/>
    </sheetView>
  </sheetViews>
  <sheetFormatPr defaultColWidth="9.140625" defaultRowHeight="15" x14ac:dyDescent="0.25"/>
  <cols>
    <col min="1" max="1" width="25.140625" style="4" bestFit="1" customWidth="1"/>
    <col min="2" max="2" width="26.140625" style="4" bestFit="1" customWidth="1"/>
    <col min="3" max="3" width="13" style="4" customWidth="1"/>
    <col min="4" max="6" width="16.85546875" style="4" bestFit="1" customWidth="1"/>
    <col min="7" max="11" width="13" style="4" customWidth="1"/>
    <col min="12" max="12" width="9.85546875" style="4" bestFit="1" customWidth="1"/>
    <col min="13" max="13" width="30.42578125" style="4" customWidth="1"/>
    <col min="14" max="16384" width="9.140625" style="4"/>
  </cols>
  <sheetData>
    <row r="1" spans="1:54" s="2" customFormat="1" x14ac:dyDescent="0.25">
      <c r="A1" s="2" t="s">
        <v>0</v>
      </c>
      <c r="B1" s="2" t="s">
        <v>161</v>
      </c>
      <c r="E1" s="312" t="str">
        <f>IF(B2&lt;&gt;B3, "A NEW VERSION OF THE WORKSHEET IS AVAILABLE", "")</f>
        <v/>
      </c>
      <c r="F1" s="312"/>
      <c r="G1" s="312"/>
      <c r="H1" s="312"/>
      <c r="I1" s="312"/>
      <c r="J1" s="312"/>
      <c r="K1" s="312"/>
    </row>
    <row r="2" spans="1:54" x14ac:dyDescent="0.25">
      <c r="A2" s="2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</row>
    <row r="3" spans="1:54" x14ac:dyDescent="0.25">
      <c r="A3" s="2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</row>
    <row r="4" spans="1:54" x14ac:dyDescent="0.25">
      <c r="A4" s="2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</row>
    <row r="5" spans="1:54" x14ac:dyDescent="0.25">
      <c r="A5" s="2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</row>
    <row r="6" spans="1:54" x14ac:dyDescent="0.25">
      <c r="A6" s="4" t="s">
        <v>1</v>
      </c>
      <c r="B6" s="4">
        <f>IF(B9&gt;0, B9/B8, 0)</f>
        <v>47638745.260255083</v>
      </c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</row>
    <row r="7" spans="1:54" x14ac:dyDescent="0.25">
      <c r="A7" s="4" t="s">
        <v>2</v>
      </c>
      <c r="B7" s="7">
        <v>10</v>
      </c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</row>
    <row r="8" spans="1:54" x14ac:dyDescent="0.25">
      <c r="A8" s="4" t="s">
        <v>3</v>
      </c>
      <c r="B8" s="207">
        <v>2901</v>
      </c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</row>
    <row r="9" spans="1:54" x14ac:dyDescent="0.25">
      <c r="A9" s="140" t="s">
        <v>235</v>
      </c>
      <c r="B9" s="207">
        <v>138200000000</v>
      </c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</row>
    <row r="10" spans="1:54" x14ac:dyDescent="0.25"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</row>
    <row r="11" spans="1:54" x14ac:dyDescent="0.25"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</row>
    <row r="12" spans="1:54" x14ac:dyDescent="0.25"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</row>
    <row r="13" spans="1:54" x14ac:dyDescent="0.25"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</row>
    <row r="14" spans="1:54" x14ac:dyDescent="0.25"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</row>
    <row r="15" spans="1:54" x14ac:dyDescent="0.25">
      <c r="A15" s="2" t="s">
        <v>4</v>
      </c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</row>
    <row r="16" spans="1:54" s="3" customFormat="1" x14ac:dyDescent="0.25">
      <c r="A16" s="5" t="s">
        <v>5</v>
      </c>
      <c r="B16" s="6">
        <v>43921</v>
      </c>
      <c r="C16" s="6">
        <v>44286</v>
      </c>
      <c r="D16" s="6">
        <v>44651</v>
      </c>
      <c r="E16" s="6">
        <v>45016</v>
      </c>
      <c r="F16" s="6">
        <v>45382</v>
      </c>
      <c r="L16" s="4"/>
      <c r="M16" s="4"/>
      <c r="N16" s="4"/>
      <c r="O16" s="4"/>
    </row>
    <row r="17" spans="1:54" x14ac:dyDescent="0.25">
      <c r="A17" s="4" t="s">
        <v>6</v>
      </c>
      <c r="B17" s="7">
        <v>1436.04</v>
      </c>
      <c r="C17" s="7">
        <v>1564.49</v>
      </c>
      <c r="D17" s="7">
        <v>2160.35</v>
      </c>
      <c r="E17" s="7">
        <v>2648.71</v>
      </c>
      <c r="F17" s="7">
        <v>2925.54</v>
      </c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</row>
    <row r="18" spans="1:54" x14ac:dyDescent="0.25">
      <c r="A18" s="4" t="s">
        <v>7</v>
      </c>
      <c r="B18" s="209">
        <v>0</v>
      </c>
      <c r="C18" s="209">
        <v>0</v>
      </c>
      <c r="D18" s="209">
        <v>0</v>
      </c>
      <c r="E18" s="209">
        <v>0</v>
      </c>
      <c r="F18" s="209">
        <v>0</v>
      </c>
    </row>
    <row r="19" spans="1:54" x14ac:dyDescent="0.25">
      <c r="A19" s="4" t="s">
        <v>8</v>
      </c>
      <c r="B19" s="209">
        <v>0</v>
      </c>
      <c r="C19" s="209">
        <v>0</v>
      </c>
      <c r="D19" s="209">
        <v>0</v>
      </c>
      <c r="E19" s="209">
        <v>0</v>
      </c>
      <c r="F19" s="209">
        <v>0</v>
      </c>
    </row>
    <row r="20" spans="1:54" x14ac:dyDescent="0.25">
      <c r="A20" s="140" t="s">
        <v>167</v>
      </c>
      <c r="B20" s="209">
        <v>55.44</v>
      </c>
      <c r="C20" s="209">
        <v>53.1</v>
      </c>
      <c r="D20" s="209">
        <v>82.48</v>
      </c>
      <c r="E20" s="209">
        <v>110.64</v>
      </c>
      <c r="F20" s="209">
        <v>65.8</v>
      </c>
    </row>
    <row r="21" spans="1:54" x14ac:dyDescent="0.25">
      <c r="A21" s="4" t="s">
        <v>9</v>
      </c>
      <c r="B21" s="209">
        <v>854.26</v>
      </c>
      <c r="C21" s="209">
        <v>885.31</v>
      </c>
      <c r="D21" s="209">
        <v>1195.54</v>
      </c>
      <c r="E21" s="209">
        <v>1509.53</v>
      </c>
      <c r="F21" s="209">
        <v>1738.39</v>
      </c>
    </row>
    <row r="22" spans="1:54" x14ac:dyDescent="0.25">
      <c r="A22" s="140" t="s">
        <v>168</v>
      </c>
      <c r="B22" s="209">
        <v>18.809999999999999</v>
      </c>
      <c r="C22" s="209">
        <v>20.28</v>
      </c>
      <c r="D22" s="209">
        <v>21.52</v>
      </c>
      <c r="E22" s="209">
        <v>21.16</v>
      </c>
      <c r="F22" s="209">
        <v>23.48</v>
      </c>
    </row>
    <row r="23" spans="1:54" x14ac:dyDescent="0.25">
      <c r="A23" s="4" t="s">
        <v>10</v>
      </c>
      <c r="B23" s="4">
        <v>204.35</v>
      </c>
      <c r="C23" s="4">
        <v>178.05</v>
      </c>
      <c r="D23" s="4">
        <v>221.74</v>
      </c>
      <c r="E23" s="4">
        <v>305.52</v>
      </c>
      <c r="F23" s="4">
        <v>346.55</v>
      </c>
    </row>
    <row r="24" spans="1:54" x14ac:dyDescent="0.25">
      <c r="A24" s="4" t="s">
        <v>11</v>
      </c>
      <c r="B24" s="209">
        <v>46.71</v>
      </c>
      <c r="C24" s="209">
        <v>34.450000000000003</v>
      </c>
      <c r="D24" s="209">
        <v>24.62</v>
      </c>
      <c r="E24" s="209">
        <v>65.95</v>
      </c>
      <c r="F24" s="209">
        <v>65.64</v>
      </c>
    </row>
    <row r="25" spans="1:54" x14ac:dyDescent="0.25">
      <c r="A25" s="4" t="s">
        <v>12</v>
      </c>
      <c r="B25" s="209">
        <v>70.900000000000006</v>
      </c>
      <c r="C25" s="209">
        <v>81.59</v>
      </c>
      <c r="D25" s="209">
        <v>103.19</v>
      </c>
      <c r="E25" s="209">
        <v>114.01</v>
      </c>
      <c r="F25" s="209">
        <v>125.77</v>
      </c>
    </row>
    <row r="26" spans="1:54" x14ac:dyDescent="0.25">
      <c r="A26" s="4" t="s">
        <v>14</v>
      </c>
      <c r="B26" s="7">
        <f>(B17+B24-SUM(B18:B23)-B25)</f>
        <v>278.99000000000012</v>
      </c>
      <c r="C26" s="7">
        <f t="shared" ref="C26:F26" si="0">(C17+C24-SUM(C18:C23)-C25)</f>
        <v>380.61</v>
      </c>
      <c r="D26" s="7">
        <f t="shared" si="0"/>
        <v>560.49999999999977</v>
      </c>
      <c r="E26" s="7">
        <f t="shared" si="0"/>
        <v>653.79999999999973</v>
      </c>
      <c r="F26" s="7">
        <f t="shared" si="0"/>
        <v>691.1899999999996</v>
      </c>
    </row>
    <row r="27" spans="1:54" x14ac:dyDescent="0.25">
      <c r="A27" s="4" t="s">
        <v>15</v>
      </c>
      <c r="B27" s="209">
        <v>72.709999999999994</v>
      </c>
      <c r="C27" s="209">
        <v>102.36</v>
      </c>
      <c r="D27" s="209">
        <v>149.72</v>
      </c>
      <c r="E27" s="209">
        <v>163.80000000000001</v>
      </c>
      <c r="F27" s="209">
        <v>177.6</v>
      </c>
    </row>
    <row r="28" spans="1:54" x14ac:dyDescent="0.25">
      <c r="A28" s="4" t="s">
        <v>16</v>
      </c>
      <c r="B28" s="7">
        <f>(B17+B24-SUM(B18:B23)-B25-B27)</f>
        <v>206.28000000000014</v>
      </c>
      <c r="C28" s="7">
        <f>(C17+C24-SUM(C18:C23)-C25-C27)</f>
        <v>278.25</v>
      </c>
      <c r="D28" s="7">
        <f>(D17+D24-SUM(D18:D23)-D25-D27)</f>
        <v>410.77999999999975</v>
      </c>
      <c r="E28" s="7">
        <f>(E17+E24-SUM(E18:E23)-E25-E27)</f>
        <v>489.99999999999972</v>
      </c>
      <c r="F28" s="7">
        <f>(F17+F24-SUM(F18:F23)-F25-F27)</f>
        <v>513.58999999999958</v>
      </c>
    </row>
    <row r="29" spans="1:54" x14ac:dyDescent="0.25">
      <c r="A29" s="4" t="s">
        <v>17</v>
      </c>
      <c r="B29" s="209">
        <v>4.37</v>
      </c>
      <c r="C29" s="209">
        <v>3.4</v>
      </c>
      <c r="D29" s="209">
        <v>3.42</v>
      </c>
      <c r="E29" s="209">
        <v>3.31</v>
      </c>
      <c r="F29" s="209">
        <v>4.82</v>
      </c>
    </row>
    <row r="32" spans="1:54" x14ac:dyDescent="0.25">
      <c r="A32" s="2" t="s">
        <v>19</v>
      </c>
    </row>
    <row r="33" spans="1:20" s="3" customFormat="1" x14ac:dyDescent="0.25">
      <c r="A33" s="5" t="s">
        <v>5</v>
      </c>
      <c r="B33" s="6">
        <v>43921</v>
      </c>
      <c r="C33" s="6">
        <v>44286</v>
      </c>
      <c r="D33" s="6">
        <v>44651</v>
      </c>
      <c r="E33" s="6">
        <v>45016</v>
      </c>
      <c r="F33" s="6">
        <v>45382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20" x14ac:dyDescent="0.25">
      <c r="A34" s="4" t="s">
        <v>20</v>
      </c>
      <c r="B34" s="7">
        <v>36.1</v>
      </c>
      <c r="C34" s="7">
        <v>34.01</v>
      </c>
      <c r="D34" s="7">
        <v>33.1</v>
      </c>
      <c r="E34" s="7">
        <v>48.03</v>
      </c>
      <c r="F34" s="7">
        <v>48.23</v>
      </c>
      <c r="T34" s="208"/>
    </row>
    <row r="35" spans="1:20" x14ac:dyDescent="0.25">
      <c r="A35" s="140" t="s">
        <v>163</v>
      </c>
      <c r="B35" s="7">
        <v>1270.1099999999999</v>
      </c>
      <c r="C35" s="7">
        <v>1466.81</v>
      </c>
      <c r="D35" s="7">
        <v>1534.49</v>
      </c>
      <c r="E35" s="7">
        <v>1666.84</v>
      </c>
      <c r="F35" s="7">
        <v>2199.27</v>
      </c>
      <c r="T35" s="208"/>
    </row>
    <row r="36" spans="1:20" x14ac:dyDescent="0.25">
      <c r="A36" s="140" t="s">
        <v>164</v>
      </c>
      <c r="B36" s="7">
        <v>0.32</v>
      </c>
      <c r="C36" s="7">
        <v>143.94</v>
      </c>
      <c r="D36" s="7">
        <v>0.05</v>
      </c>
      <c r="E36" s="7">
        <v>0.68</v>
      </c>
      <c r="F36" s="7">
        <v>0</v>
      </c>
      <c r="T36" s="208"/>
    </row>
    <row r="37" spans="1:20" x14ac:dyDescent="0.25">
      <c r="A37" s="4" t="s">
        <v>23</v>
      </c>
      <c r="B37" s="7">
        <v>429.75000000000011</v>
      </c>
      <c r="C37" s="7">
        <v>507.32000000000016</v>
      </c>
      <c r="D37" s="7">
        <v>502.31999999999982</v>
      </c>
      <c r="E37" s="7">
        <v>572.86999999999989</v>
      </c>
      <c r="F37" s="7">
        <v>681.4699999999998</v>
      </c>
      <c r="T37" s="208"/>
    </row>
    <row r="38" spans="1:20" s="2" customFormat="1" x14ac:dyDescent="0.25">
      <c r="A38" s="2" t="s">
        <v>24</v>
      </c>
      <c r="B38" s="1">
        <v>1735.96</v>
      </c>
      <c r="C38" s="1">
        <v>2008.14</v>
      </c>
      <c r="D38" s="1">
        <v>2069.91</v>
      </c>
      <c r="E38" s="1">
        <v>2287.7399999999998</v>
      </c>
      <c r="F38" s="1">
        <v>2928.97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208"/>
    </row>
    <row r="39" spans="1:20" x14ac:dyDescent="0.25">
      <c r="A39" s="4" t="s">
        <v>25</v>
      </c>
      <c r="B39" s="221">
        <v>480</v>
      </c>
      <c r="C39" s="221">
        <v>728</v>
      </c>
      <c r="D39" s="221">
        <v>713</v>
      </c>
      <c r="E39" s="221">
        <v>773</v>
      </c>
      <c r="F39" s="221">
        <v>843</v>
      </c>
    </row>
    <row r="40" spans="1:20" x14ac:dyDescent="0.25">
      <c r="A40" s="4" t="s">
        <v>26</v>
      </c>
      <c r="B40" s="221">
        <v>1</v>
      </c>
      <c r="C40" s="221">
        <v>0</v>
      </c>
      <c r="D40" s="221">
        <v>2</v>
      </c>
      <c r="E40" s="221">
        <v>21</v>
      </c>
      <c r="F40" s="221">
        <v>1</v>
      </c>
    </row>
    <row r="41" spans="1:20" x14ac:dyDescent="0.25">
      <c r="A41" s="140" t="s">
        <v>174</v>
      </c>
      <c r="B41" s="221">
        <v>437</v>
      </c>
      <c r="C41" s="221">
        <v>229</v>
      </c>
      <c r="D41" s="221">
        <v>196</v>
      </c>
      <c r="E41" s="221">
        <v>275</v>
      </c>
      <c r="F41" s="221">
        <v>406</v>
      </c>
    </row>
    <row r="42" spans="1:20" x14ac:dyDescent="0.25">
      <c r="A42" s="4" t="s">
        <v>28</v>
      </c>
      <c r="B42" s="221">
        <v>817.96</v>
      </c>
      <c r="C42" s="221">
        <v>1051.1400000000001</v>
      </c>
      <c r="D42" s="221">
        <v>1158.9099999999999</v>
      </c>
      <c r="E42" s="221">
        <v>1218.7399999999998</v>
      </c>
      <c r="F42" s="221">
        <v>1678.9699999999998</v>
      </c>
    </row>
    <row r="43" spans="1:20" s="2" customFormat="1" x14ac:dyDescent="0.25">
      <c r="A43" s="2" t="s">
        <v>195</v>
      </c>
      <c r="B43" s="1">
        <v>1735.96</v>
      </c>
      <c r="C43" s="1">
        <v>2008.14</v>
      </c>
      <c r="D43" s="1">
        <v>2069.91</v>
      </c>
      <c r="E43" s="1">
        <v>2287.7399999999998</v>
      </c>
      <c r="F43" s="1">
        <v>2928.97</v>
      </c>
      <c r="H43" s="4"/>
      <c r="I43" s="4"/>
      <c r="M43" s="4"/>
      <c r="N43" s="4"/>
      <c r="O43" s="4"/>
      <c r="P43" s="4"/>
      <c r="Q43" s="4"/>
      <c r="R43" s="4"/>
      <c r="S43" s="4"/>
    </row>
    <row r="44" spans="1:20" x14ac:dyDescent="0.25">
      <c r="A44" s="4" t="s">
        <v>29</v>
      </c>
      <c r="B44" s="7">
        <v>237.78</v>
      </c>
      <c r="C44" s="7">
        <v>293.02</v>
      </c>
      <c r="D44" s="7">
        <v>329.27</v>
      </c>
      <c r="E44" s="209">
        <v>440.49</v>
      </c>
      <c r="F44" s="209">
        <v>496</v>
      </c>
    </row>
    <row r="45" spans="1:20" x14ac:dyDescent="0.25">
      <c r="A45" s="4" t="s">
        <v>30</v>
      </c>
      <c r="B45" s="209">
        <v>0.3</v>
      </c>
      <c r="C45" s="209">
        <v>0.32</v>
      </c>
      <c r="D45" s="209">
        <v>0.52</v>
      </c>
      <c r="E45" s="209">
        <v>0.45</v>
      </c>
      <c r="F45" s="209">
        <v>0.65</v>
      </c>
    </row>
    <row r="46" spans="1:20" x14ac:dyDescent="0.25">
      <c r="A46" s="140" t="s">
        <v>162</v>
      </c>
      <c r="B46" s="209">
        <v>436.55</v>
      </c>
      <c r="C46" s="209">
        <v>228.38</v>
      </c>
      <c r="D46" s="209">
        <v>193.92</v>
      </c>
      <c r="E46" s="209">
        <v>262.18</v>
      </c>
      <c r="F46" s="209">
        <v>392.42</v>
      </c>
    </row>
    <row r="47" spans="1:20" x14ac:dyDescent="0.25">
      <c r="A47" s="4" t="s">
        <v>31</v>
      </c>
      <c r="B47" s="209">
        <v>334.5</v>
      </c>
      <c r="C47" s="209">
        <v>490.86</v>
      </c>
      <c r="D47" s="209">
        <v>493.64</v>
      </c>
      <c r="E47" s="209">
        <v>427.93</v>
      </c>
      <c r="F47" s="209">
        <v>692.09</v>
      </c>
    </row>
    <row r="48" spans="1:20" x14ac:dyDescent="0.25">
      <c r="A48" s="140" t="s">
        <v>166</v>
      </c>
      <c r="B48" s="209">
        <v>165.57</v>
      </c>
      <c r="C48" s="209">
        <v>190.74</v>
      </c>
      <c r="D48" s="209">
        <v>252.55</v>
      </c>
      <c r="E48" s="209">
        <v>240.36</v>
      </c>
      <c r="F48" s="209">
        <v>368.59</v>
      </c>
    </row>
    <row r="49" spans="1:19" x14ac:dyDescent="0.25">
      <c r="A49" s="2" t="s">
        <v>165</v>
      </c>
      <c r="B49" s="1">
        <v>1174.7</v>
      </c>
      <c r="C49" s="1">
        <v>1203.33</v>
      </c>
      <c r="D49" s="1">
        <v>1269.9100000000001</v>
      </c>
      <c r="E49" s="1">
        <v>1371.41</v>
      </c>
      <c r="F49" s="1">
        <v>1949.75</v>
      </c>
    </row>
    <row r="50" spans="1:19" x14ac:dyDescent="0.25">
      <c r="A50" s="4" t="s">
        <v>32</v>
      </c>
      <c r="B50" s="287">
        <v>38989909</v>
      </c>
      <c r="C50" s="206">
        <v>33600000</v>
      </c>
      <c r="D50" s="289">
        <f>E50</f>
        <v>47638745.260255083</v>
      </c>
      <c r="E50" s="289">
        <f>F50</f>
        <v>47638745.260255083</v>
      </c>
      <c r="F50" s="4">
        <v>47638745.260255083</v>
      </c>
    </row>
    <row r="51" spans="1:19" x14ac:dyDescent="0.25">
      <c r="E51"/>
    </row>
    <row r="52" spans="1:19" x14ac:dyDescent="0.25">
      <c r="A52" s="4" t="s">
        <v>33</v>
      </c>
      <c r="B52" s="7">
        <v>10</v>
      </c>
      <c r="C52" s="7">
        <v>10</v>
      </c>
      <c r="D52" s="7">
        <v>10</v>
      </c>
      <c r="E52" s="7">
        <v>10</v>
      </c>
      <c r="F52" s="7">
        <v>10</v>
      </c>
    </row>
    <row r="55" spans="1:19" x14ac:dyDescent="0.25">
      <c r="A55" s="2" t="s">
        <v>34</v>
      </c>
    </row>
    <row r="56" spans="1:19" s="3" customFormat="1" x14ac:dyDescent="0.25">
      <c r="A56" s="5" t="s">
        <v>5</v>
      </c>
      <c r="B56" s="6">
        <v>43921</v>
      </c>
      <c r="C56" s="6">
        <v>44286</v>
      </c>
      <c r="D56" s="6">
        <v>44651</v>
      </c>
      <c r="E56" s="6">
        <v>45016</v>
      </c>
      <c r="F56" s="6">
        <v>45382</v>
      </c>
      <c r="L56" s="8"/>
      <c r="M56" s="4"/>
      <c r="N56" s="4"/>
      <c r="O56" s="4"/>
      <c r="P56" s="4"/>
      <c r="Q56" s="4"/>
      <c r="R56" s="4"/>
      <c r="S56" s="4"/>
    </row>
    <row r="57" spans="1:19" s="2" customFormat="1" x14ac:dyDescent="0.25">
      <c r="A57" s="4" t="s">
        <v>35</v>
      </c>
      <c r="B57" s="7">
        <v>332.8</v>
      </c>
      <c r="C57" s="7">
        <v>364.57</v>
      </c>
      <c r="D57" s="7">
        <v>448.17</v>
      </c>
      <c r="E57" s="7">
        <v>492.57</v>
      </c>
      <c r="F57" s="7">
        <v>525.89</v>
      </c>
      <c r="M57" s="4"/>
      <c r="N57" s="4"/>
      <c r="O57" s="4"/>
      <c r="P57" s="4"/>
      <c r="Q57" s="4"/>
      <c r="R57" s="4"/>
      <c r="S57" s="4"/>
    </row>
    <row r="58" spans="1:19" x14ac:dyDescent="0.25">
      <c r="A58" s="4" t="s">
        <v>36</v>
      </c>
      <c r="B58" s="7">
        <v>18.29</v>
      </c>
      <c r="C58" s="7">
        <v>-4.53</v>
      </c>
      <c r="D58" s="7">
        <v>37.979999999999997</v>
      </c>
      <c r="E58" s="7">
        <v>-84.4</v>
      </c>
      <c r="F58" s="7">
        <v>-487.88</v>
      </c>
    </row>
    <row r="59" spans="1:19" x14ac:dyDescent="0.25">
      <c r="A59" s="4" t="s">
        <v>37</v>
      </c>
      <c r="B59" s="7">
        <v>-308.24</v>
      </c>
      <c r="C59" s="4">
        <v>-188.31</v>
      </c>
      <c r="D59" s="7">
        <v>-416.34</v>
      </c>
      <c r="E59" s="7">
        <v>-440.07</v>
      </c>
      <c r="F59" s="7">
        <v>-106.51</v>
      </c>
    </row>
    <row r="60" spans="1:19" x14ac:dyDescent="0.25">
      <c r="A60" s="140" t="s">
        <v>169</v>
      </c>
      <c r="B60" s="209">
        <v>6.08</v>
      </c>
      <c r="C60" s="4">
        <v>2.72</v>
      </c>
      <c r="D60" s="209">
        <v>1.47</v>
      </c>
      <c r="E60" s="209">
        <v>29.59</v>
      </c>
      <c r="F60" s="209">
        <v>4.4400000000000004</v>
      </c>
    </row>
    <row r="61" spans="1:19" s="2" customFormat="1" x14ac:dyDescent="0.25">
      <c r="A61" s="4" t="s">
        <v>38</v>
      </c>
      <c r="B61" s="7">
        <f>SUM(B57:B60)</f>
        <v>48.930000000000021</v>
      </c>
      <c r="C61" s="7">
        <f t="shared" ref="C61:F61" si="1">SUM(C57:C60)</f>
        <v>174.45000000000002</v>
      </c>
      <c r="D61" s="7">
        <f t="shared" si="1"/>
        <v>71.280000000000058</v>
      </c>
      <c r="E61" s="7">
        <f t="shared" si="1"/>
        <v>-2.3100000000000342</v>
      </c>
      <c r="F61" s="7">
        <f t="shared" si="1"/>
        <v>-64.060000000000016</v>
      </c>
      <c r="M61" s="4"/>
      <c r="N61" s="4"/>
      <c r="O61" s="4"/>
      <c r="P61" s="4"/>
      <c r="Q61" s="4"/>
      <c r="R61" s="4"/>
      <c r="S61" s="4"/>
    </row>
    <row r="66" spans="1:19" s="2" customFormat="1" x14ac:dyDescent="0.25">
      <c r="A66" s="2" t="s">
        <v>39</v>
      </c>
      <c r="B66" s="7">
        <v>243.6</v>
      </c>
      <c r="C66" s="7">
        <v>961.45</v>
      </c>
      <c r="D66" s="7">
        <v>2042.4</v>
      </c>
      <c r="E66" s="7">
        <v>1420</v>
      </c>
      <c r="F66" s="7">
        <v>2393.25</v>
      </c>
      <c r="M66" s="4"/>
      <c r="N66" s="4"/>
      <c r="O66" s="4"/>
      <c r="P66" s="4"/>
      <c r="Q66" s="4"/>
      <c r="R66" s="4"/>
      <c r="S66" s="4"/>
    </row>
    <row r="68" spans="1:19" s="2" customFormat="1" x14ac:dyDescent="0.25">
      <c r="A68" s="2" t="s">
        <v>40</v>
      </c>
      <c r="M68" s="4"/>
      <c r="N68" s="4"/>
      <c r="O68" s="4"/>
      <c r="P68" s="4"/>
      <c r="Q68" s="4"/>
      <c r="R68" s="4"/>
      <c r="S68" s="4"/>
    </row>
    <row r="69" spans="1:19" x14ac:dyDescent="0.25">
      <c r="A69" s="4" t="s">
        <v>41</v>
      </c>
      <c r="B69" s="348">
        <v>5.55</v>
      </c>
      <c r="C69" s="348">
        <v>5.23</v>
      </c>
      <c r="D69" s="348">
        <v>5.07</v>
      </c>
      <c r="E69" s="348">
        <v>4.9000000000000004</v>
      </c>
      <c r="F69" s="348">
        <v>4.9000000000000004</v>
      </c>
    </row>
  </sheetData>
  <mergeCells count="1">
    <mergeCell ref="E1:K1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7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Ratio Analysis</vt:lpstr>
      <vt:lpstr>WACC Calculations</vt:lpstr>
      <vt:lpstr>FCFF Forecast and DCF</vt:lpstr>
      <vt:lpstr>Relative Valuation</vt:lpstr>
      <vt:lpstr>Weighted Valuation</vt:lpstr>
      <vt:lpstr>Football Field</vt:lpstr>
      <vt:lpstr>Balance Sheet Forecast</vt:lpstr>
      <vt:lpstr>Cashflow Statement</vt:lpstr>
      <vt:lpstr>Income Statement</vt:lpstr>
      <vt:lpstr>Balance Sheet</vt:lpstr>
      <vt:lpstr>Data Sheet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TechnoFunda Investing Excel Template</dc:title>
  <dc:subject>TechnoFunda Investing</dc:subject>
  <dc:creator>Vivek Mashrani</dc:creator>
  <cp:keywords>TechnoFunda;Screener;Investing</cp:keywords>
  <cp:lastModifiedBy>HP</cp:lastModifiedBy>
  <dcterms:created xsi:type="dcterms:W3CDTF">2020-12-23T10:12:59Z</dcterms:created>
  <dcterms:modified xsi:type="dcterms:W3CDTF">2024-09-08T10:35:57Z</dcterms:modified>
</cp:coreProperties>
</file>