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morganauto-my.sharepoint.com/personal/mbeckwith_morganautogroup_com/Documents/Documents/PROG/Skrips4Sam/"/>
    </mc:Choice>
  </mc:AlternateContent>
  <xr:revisionPtr revIDLastSave="103557" documentId="8_{98358E52-A369-47DB-A707-FE240B85D629}" xr6:coauthVersionLast="47" xr6:coauthVersionMax="47" xr10:uidLastSave="{3335AED9-E34F-48BD-B4B2-99E5386EBE7E}"/>
  <bookViews>
    <workbookView xWindow="28830" yWindow="15" windowWidth="28770" windowHeight="15450" firstSheet="5" activeTab="5" xr2:uid="{0CBCE198-B928-416F-8037-AAFA1B097BA3}"/>
  </bookViews>
  <sheets>
    <sheet name="0432" sheetId="1" r:id="rId1"/>
    <sheet name="90" sheetId="6" r:id="rId2"/>
    <sheet name="3213" sheetId="2" r:id="rId3"/>
    <sheet name="SPIFFS" sheetId="71" r:id="rId4"/>
    <sheet name="NPS Sheet" sheetId="52" r:id="rId5"/>
    <sheet name="Look Up Table" sheetId="626" r:id="rId6"/>
    <sheet name="NPS" sheetId="2171" r:id="rId7"/>
    <sheet name="Pay Summary" sheetId="2172" r:id="rId8"/>
    <sheet name="JV Posting" sheetId="2173" r:id="rId9"/>
    <sheet name="HOUSE EMPLOYEE" sheetId="2174" r:id="rId10"/>
    <sheet name="JOHN SINDONI" sheetId="2175" r:id="rId11"/>
    <sheet name="HUGO GONZALEZ" sheetId="2176" r:id="rId12"/>
    <sheet name="DANIEL GARCIA" sheetId="2177" r:id="rId13"/>
    <sheet name="RICARDO PEREZ" sheetId="2178" r:id="rId14"/>
    <sheet name="JEAN FREZIN" sheetId="2179" r:id="rId15"/>
    <sheet name="FREDDY JUAREZ" sheetId="2180" r:id="rId16"/>
    <sheet name="MICHAEL LAZO" sheetId="2181" r:id="rId17"/>
    <sheet name="JOVAN MANZANARES" sheetId="2182" r:id="rId18"/>
    <sheet name="BRYAN ALTUNAGA" sheetId="2183" r:id="rId19"/>
    <sheet name="CARLOS CORNIELES" sheetId="2184" r:id="rId20"/>
    <sheet name="RAFAEL FIGUEREDO DE SANTIAGO" sheetId="2185" r:id="rId21"/>
    <sheet name="MAXIMILIANO TORIANO" sheetId="2186" r:id="rId22"/>
    <sheet name="LUCAS BUCCI ODDO" sheetId="2187" r:id="rId23"/>
    <sheet name="SERGIO BETANCOURT" sheetId="2188" r:id="rId24"/>
    <sheet name="ARMAND PERRIER" sheetId="2189" r:id="rId25"/>
    <sheet name="ADAM PARTRIDGE" sheetId="2190" r:id="rId26"/>
    <sheet name="WEBER GUILBAUD" sheetId="2191" r:id="rId27"/>
    <sheet name="GONZALO SOSA" sheetId="2192" r:id="rId28"/>
    <sheet name="OMAR CRUZ" sheetId="2193" r:id="rId29"/>
    <sheet name="PATRICK MCCLOSKEY" sheetId="2194" r:id="rId30"/>
    <sheet name="MANUEL GINORI" sheetId="2195" r:id="rId31"/>
    <sheet name="ALEX PALACIOS" sheetId="2196" r:id="rId32"/>
    <sheet name="FRANCISCO LLANO" sheetId="2197" r:id="rId33"/>
    <sheet name="FRANCESCO DIAZ" sheetId="2198" r:id="rId34"/>
    <sheet name="ROBERT HUNTER" sheetId="2199" r:id="rId35"/>
    <sheet name="NIMA ZARE" sheetId="2200" r:id="rId36"/>
    <sheet name="FRANK GARCIA ECHEMENDIA" sheetId="2201" r:id="rId37"/>
    <sheet name="CHRISTOPHER MANNING" sheetId="2202" r:id="rId38"/>
    <sheet name="PEDRO CANAS" sheetId="2203" r:id="rId39"/>
    <sheet name="JORGE SUAREZ" sheetId="2204" r:id="rId40"/>
    <sheet name="JAIME WEVER" sheetId="2205" r:id="rId41"/>
    <sheet name="MARLON BOSCH" sheetId="2206" r:id="rId42"/>
    <sheet name="ALEJANDRO DE LA TERGA" sheetId="2207" r:id="rId43"/>
    <sheet name="ANTHONY CERRUELA" sheetId="2208" r:id="rId44"/>
  </sheets>
  <externalReferences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8" i="2208" l="1"/>
  <c r="M56" i="2208"/>
  <c r="M54" i="2208"/>
  <c r="M52" i="2208"/>
  <c r="K50" i="2208"/>
  <c r="M50" i="2208"/>
  <c r="O50" i="2208"/>
  <c r="K48" i="2208"/>
  <c r="M48" i="2208"/>
  <c r="K46" i="2208"/>
  <c r="M46" i="2208" s="1"/>
  <c r="M44" i="2208"/>
  <c r="M42" i="2208"/>
  <c r="M40" i="2208"/>
  <c r="M38" i="2208"/>
  <c r="M36" i="2208"/>
  <c r="M34" i="2208"/>
  <c r="K32" i="2208"/>
  <c r="M32" i="2208"/>
  <c r="M30" i="2208"/>
  <c r="M28" i="2208"/>
  <c r="J26" i="2208"/>
  <c r="K26" i="2208"/>
  <c r="L26" i="2208"/>
  <c r="M26" i="2208"/>
  <c r="N26" i="2208"/>
  <c r="O26" i="2208"/>
  <c r="P26" i="2208"/>
  <c r="N25" i="2208"/>
  <c r="O25" i="2208" s="1"/>
  <c r="N24" i="2208"/>
  <c r="O24" i="2208" s="1"/>
  <c r="N23" i="2208"/>
  <c r="O23" i="2208" s="1"/>
  <c r="N22" i="2208"/>
  <c r="O22" i="2208" s="1"/>
  <c r="N21" i="2208"/>
  <c r="O21" i="2208" s="1"/>
  <c r="N20" i="2208"/>
  <c r="O20" i="2208" s="1"/>
  <c r="N19" i="2208"/>
  <c r="O19" i="2208" s="1"/>
  <c r="N18" i="2208"/>
  <c r="O18" i="2208" s="1"/>
  <c r="N17" i="2208"/>
  <c r="P17" i="2208" s="1"/>
  <c r="O17" i="2208"/>
  <c r="N16" i="2208"/>
  <c r="P16" i="2208" s="1"/>
  <c r="O16" i="2208"/>
  <c r="N15" i="2208"/>
  <c r="O15" i="2208" s="1"/>
  <c r="N14" i="2208"/>
  <c r="O14" i="2208" s="1"/>
  <c r="N13" i="2208"/>
  <c r="O13" i="2208" s="1"/>
  <c r="N12" i="2208"/>
  <c r="P12" i="2208" s="1"/>
  <c r="O12" i="2208"/>
  <c r="N11" i="2208"/>
  <c r="O11" i="2208" s="1"/>
  <c r="N10" i="2208"/>
  <c r="P10" i="2208" s="1"/>
  <c r="O10" i="2208"/>
  <c r="N9" i="2208"/>
  <c r="O9" i="2208" s="1"/>
  <c r="P9" i="2208"/>
  <c r="N8" i="2208"/>
  <c r="O8" i="2208" s="1"/>
  <c r="P8" i="2208"/>
  <c r="B6" i="2208"/>
  <c r="O40" i="2207"/>
  <c r="M28" i="2207"/>
  <c r="M18" i="2207"/>
  <c r="J16" i="2207"/>
  <c r="K16" i="2207"/>
  <c r="L16" i="2207"/>
  <c r="K38" i="2207" s="1"/>
  <c r="M38" i="2207" s="1"/>
  <c r="M16" i="2207"/>
  <c r="M20" i="2207" s="1"/>
  <c r="N15" i="2207"/>
  <c r="O15" i="2207" s="1"/>
  <c r="N11" i="2207"/>
  <c r="O11" i="2207"/>
  <c r="P11" i="2207"/>
  <c r="N10" i="2207"/>
  <c r="O10" i="2207"/>
  <c r="N9" i="2207"/>
  <c r="O9" i="2207" s="1"/>
  <c r="B6" i="2207"/>
  <c r="K22" i="2207" s="1"/>
  <c r="M37" i="2206"/>
  <c r="O33" i="2206"/>
  <c r="M21" i="2206"/>
  <c r="M11" i="2206"/>
  <c r="J9" i="2206"/>
  <c r="K9" i="2206"/>
  <c r="L9" i="2206"/>
  <c r="K31" i="2206" s="1"/>
  <c r="M31" i="2206" s="1"/>
  <c r="M9" i="2206"/>
  <c r="M13" i="2206" s="1"/>
  <c r="N8" i="2206"/>
  <c r="O8" i="2206" s="1"/>
  <c r="O9" i="2206" s="1"/>
  <c r="M17" i="2206" s="1"/>
  <c r="B3" i="2206"/>
  <c r="B6" i="2206"/>
  <c r="K15" i="2206" s="1"/>
  <c r="M51" i="2205"/>
  <c r="O47" i="2205"/>
  <c r="M35" i="2205"/>
  <c r="M25" i="2205"/>
  <c r="J23" i="2205"/>
  <c r="K23" i="2205"/>
  <c r="L23" i="2205"/>
  <c r="K45" i="2205" s="1"/>
  <c r="M45" i="2205" s="1"/>
  <c r="M23" i="2205"/>
  <c r="M27" i="2205" s="1"/>
  <c r="N22" i="2205"/>
  <c r="O22" i="2205" s="1"/>
  <c r="N17" i="2205"/>
  <c r="O17" i="2205"/>
  <c r="N14" i="2205"/>
  <c r="O14" i="2205" s="1"/>
  <c r="N13" i="2205"/>
  <c r="O13" i="2205" s="1"/>
  <c r="N9" i="2205"/>
  <c r="O9" i="2205"/>
  <c r="B6" i="2205"/>
  <c r="K29" i="2205" s="1"/>
  <c r="O49" i="2204"/>
  <c r="M27" i="2204"/>
  <c r="J25" i="2204"/>
  <c r="M37" i="2204" s="1"/>
  <c r="K25" i="2204"/>
  <c r="L25" i="2204"/>
  <c r="K47" i="2204" s="1"/>
  <c r="M47" i="2204" s="1"/>
  <c r="M25" i="2204"/>
  <c r="M29" i="2204" s="1"/>
  <c r="N24" i="2204"/>
  <c r="O24" i="2204" s="1"/>
  <c r="N23" i="2204"/>
  <c r="O23" i="2204" s="1"/>
  <c r="P23" i="2204"/>
  <c r="N21" i="2204"/>
  <c r="O21" i="2204"/>
  <c r="N20" i="2204"/>
  <c r="O20" i="2204" s="1"/>
  <c r="N18" i="2204"/>
  <c r="O18" i="2204" s="1"/>
  <c r="N10" i="2204"/>
  <c r="O10" i="2204" s="1"/>
  <c r="B6" i="2204"/>
  <c r="K31" i="2204" s="1"/>
  <c r="O40" i="2203"/>
  <c r="M18" i="2203"/>
  <c r="J16" i="2203"/>
  <c r="M28" i="2203" s="1"/>
  <c r="M30" i="2203" s="1"/>
  <c r="K16" i="2203"/>
  <c r="L16" i="2203"/>
  <c r="K38" i="2203" s="1"/>
  <c r="M38" i="2203" s="1"/>
  <c r="M16" i="2203"/>
  <c r="M20" i="2203" s="1"/>
  <c r="N14" i="2203"/>
  <c r="O14" i="2203" s="1"/>
  <c r="N13" i="2203"/>
  <c r="B6" i="2203"/>
  <c r="K22" i="2203" s="1"/>
  <c r="O37" i="2202"/>
  <c r="M15" i="2202"/>
  <c r="J13" i="2202"/>
  <c r="M25" i="2202" s="1"/>
  <c r="M27" i="2202" s="1"/>
  <c r="M29" i="2202" s="1"/>
  <c r="M31" i="2202" s="1"/>
  <c r="K13" i="2202"/>
  <c r="L13" i="2202"/>
  <c r="K35" i="2202" s="1"/>
  <c r="M35" i="2202" s="1"/>
  <c r="M13" i="2202"/>
  <c r="M17" i="2202" s="1"/>
  <c r="N11" i="2202"/>
  <c r="O11" i="2202" s="1"/>
  <c r="N9" i="2202"/>
  <c r="O9" i="2202" s="1"/>
  <c r="B6" i="2202"/>
  <c r="K19" i="2202" s="1"/>
  <c r="M56" i="2201"/>
  <c r="O52" i="2201"/>
  <c r="M30" i="2201"/>
  <c r="J28" i="2201"/>
  <c r="M40" i="2201" s="1"/>
  <c r="K28" i="2201"/>
  <c r="L28" i="2201"/>
  <c r="K50" i="2201" s="1"/>
  <c r="M50" i="2201" s="1"/>
  <c r="M28" i="2201"/>
  <c r="M32" i="2201" s="1"/>
  <c r="N27" i="2201"/>
  <c r="O27" i="2201" s="1"/>
  <c r="N25" i="2201"/>
  <c r="O25" i="2201" s="1"/>
  <c r="N24" i="2201"/>
  <c r="O24" i="2201" s="1"/>
  <c r="N20" i="2201"/>
  <c r="O20" i="2201" s="1"/>
  <c r="N16" i="2201"/>
  <c r="O16" i="2201" s="1"/>
  <c r="N13" i="2201"/>
  <c r="O13" i="2201" s="1"/>
  <c r="N8" i="2201"/>
  <c r="O8" i="2201" s="1"/>
  <c r="B6" i="2201"/>
  <c r="K34" i="2201" s="1"/>
  <c r="M37" i="2200"/>
  <c r="O33" i="2200"/>
  <c r="M21" i="2200"/>
  <c r="M23" i="2200" s="1"/>
  <c r="M25" i="2200" s="1"/>
  <c r="M27" i="2200" s="1"/>
  <c r="M11" i="2200"/>
  <c r="J9" i="2200"/>
  <c r="K9" i="2200"/>
  <c r="L9" i="2200"/>
  <c r="K31" i="2200" s="1"/>
  <c r="M31" i="2200" s="1"/>
  <c r="M9" i="2200"/>
  <c r="M13" i="2200" s="1"/>
  <c r="B6" i="2200"/>
  <c r="K15" i="2200" s="1"/>
  <c r="M49" i="2199"/>
  <c r="O45" i="2199"/>
  <c r="M23" i="2199"/>
  <c r="J21" i="2199"/>
  <c r="M33" i="2199" s="1"/>
  <c r="M35" i="2199" s="1"/>
  <c r="K21" i="2199"/>
  <c r="L21" i="2199"/>
  <c r="K43" i="2199" s="1"/>
  <c r="M43" i="2199" s="1"/>
  <c r="M21" i="2199"/>
  <c r="M25" i="2199" s="1"/>
  <c r="N19" i="2199"/>
  <c r="O19" i="2199" s="1"/>
  <c r="N18" i="2199"/>
  <c r="O18" i="2199" s="1"/>
  <c r="N17" i="2199"/>
  <c r="O17" i="2199" s="1"/>
  <c r="N16" i="2199"/>
  <c r="O16" i="2199" s="1"/>
  <c r="N15" i="2199"/>
  <c r="O15" i="2199" s="1"/>
  <c r="N14" i="2199"/>
  <c r="O14" i="2199" s="1"/>
  <c r="N13" i="2199"/>
  <c r="N10" i="2199"/>
  <c r="O10" i="2199" s="1"/>
  <c r="B6" i="2199"/>
  <c r="K27" i="2199" s="1"/>
  <c r="O41" i="2198"/>
  <c r="M19" i="2198"/>
  <c r="J17" i="2198"/>
  <c r="M29" i="2198" s="1"/>
  <c r="M31" i="2198" s="1"/>
  <c r="K17" i="2198"/>
  <c r="L17" i="2198"/>
  <c r="K39" i="2198" s="1"/>
  <c r="M39" i="2198" s="1"/>
  <c r="M17" i="2198"/>
  <c r="M21" i="2198" s="1"/>
  <c r="N11" i="2198"/>
  <c r="O11" i="2198" s="1"/>
  <c r="B6" i="2198"/>
  <c r="K23" i="2198" s="1"/>
  <c r="M47" i="2197"/>
  <c r="O43" i="2197"/>
  <c r="M21" i="2197"/>
  <c r="J19" i="2197"/>
  <c r="M31" i="2197" s="1"/>
  <c r="K19" i="2197"/>
  <c r="L19" i="2197"/>
  <c r="K41" i="2197" s="1"/>
  <c r="M41" i="2197" s="1"/>
  <c r="M19" i="2197"/>
  <c r="M23" i="2197" s="1"/>
  <c r="N18" i="2197"/>
  <c r="O18" i="2197" s="1"/>
  <c r="N12" i="2197"/>
  <c r="O12" i="2197" s="1"/>
  <c r="N11" i="2197"/>
  <c r="O11" i="2197" s="1"/>
  <c r="N9" i="2197"/>
  <c r="O9" i="2197" s="1"/>
  <c r="B6" i="2197"/>
  <c r="K25" i="2197" s="1"/>
  <c r="O49" i="2196"/>
  <c r="M27" i="2196"/>
  <c r="J25" i="2196"/>
  <c r="M37" i="2196" s="1"/>
  <c r="K25" i="2196"/>
  <c r="L25" i="2196"/>
  <c r="K47" i="2196" s="1"/>
  <c r="M47" i="2196" s="1"/>
  <c r="M25" i="2196"/>
  <c r="M29" i="2196" s="1"/>
  <c r="N24" i="2196"/>
  <c r="O24" i="2196" s="1"/>
  <c r="N18" i="2196"/>
  <c r="O18" i="2196" s="1"/>
  <c r="N11" i="2196"/>
  <c r="O11" i="2196" s="1"/>
  <c r="N10" i="2196"/>
  <c r="O10" i="2196" s="1"/>
  <c r="B6" i="2196"/>
  <c r="K31" i="2196" s="1"/>
  <c r="O50" i="2195"/>
  <c r="M28" i="2195"/>
  <c r="J26" i="2195"/>
  <c r="M38" i="2195" s="1"/>
  <c r="M40" i="2195" s="1"/>
  <c r="M42" i="2195" s="1"/>
  <c r="M44" i="2195" s="1"/>
  <c r="K26" i="2195"/>
  <c r="L26" i="2195"/>
  <c r="K48" i="2195" s="1"/>
  <c r="M48" i="2195" s="1"/>
  <c r="M26" i="2195"/>
  <c r="M30" i="2195" s="1"/>
  <c r="N24" i="2195"/>
  <c r="O24" i="2195" s="1"/>
  <c r="N23" i="2195"/>
  <c r="N22" i="2195"/>
  <c r="N17" i="2195"/>
  <c r="N15" i="2195"/>
  <c r="O15" i="2195" s="1"/>
  <c r="N12" i="2195"/>
  <c r="O12" i="2195" s="1"/>
  <c r="N10" i="2195"/>
  <c r="O10" i="2195" s="1"/>
  <c r="N9" i="2195"/>
  <c r="O9" i="2195" s="1"/>
  <c r="N8" i="2195"/>
  <c r="O8" i="2195" s="1"/>
  <c r="B6" i="2195"/>
  <c r="K32" i="2195" s="1"/>
  <c r="M45" i="2194"/>
  <c r="O41" i="2194"/>
  <c r="M19" i="2194"/>
  <c r="J17" i="2194"/>
  <c r="M29" i="2194" s="1"/>
  <c r="K17" i="2194"/>
  <c r="L17" i="2194"/>
  <c r="K39" i="2194" s="1"/>
  <c r="M39" i="2194" s="1"/>
  <c r="M17" i="2194"/>
  <c r="M21" i="2194" s="1"/>
  <c r="N16" i="2194"/>
  <c r="O16" i="2194" s="1"/>
  <c r="N15" i="2194"/>
  <c r="O15" i="2194" s="1"/>
  <c r="N14" i="2194"/>
  <c r="N8" i="2194"/>
  <c r="O8" i="2194" s="1"/>
  <c r="B6" i="2194"/>
  <c r="K23" i="2194" s="1"/>
  <c r="O43" i="2193"/>
  <c r="M21" i="2193"/>
  <c r="J19" i="2193"/>
  <c r="M31" i="2193" s="1"/>
  <c r="K19" i="2193"/>
  <c r="L19" i="2193"/>
  <c r="K41" i="2193" s="1"/>
  <c r="M41" i="2193" s="1"/>
  <c r="M19" i="2193"/>
  <c r="M23" i="2193" s="1"/>
  <c r="N14" i="2193"/>
  <c r="N13" i="2193"/>
  <c r="N10" i="2193"/>
  <c r="O10" i="2193" s="1"/>
  <c r="N8" i="2193"/>
  <c r="O8" i="2193" s="1"/>
  <c r="B6" i="2193"/>
  <c r="K25" i="2193" s="1"/>
  <c r="O40" i="2192"/>
  <c r="M18" i="2192"/>
  <c r="J16" i="2192"/>
  <c r="M28" i="2192" s="1"/>
  <c r="M30" i="2192" s="1"/>
  <c r="M32" i="2192" s="1"/>
  <c r="M34" i="2192" s="1"/>
  <c r="K16" i="2192"/>
  <c r="L16" i="2192"/>
  <c r="K38" i="2192" s="1"/>
  <c r="M38" i="2192" s="1"/>
  <c r="M16" i="2192"/>
  <c r="M20" i="2192" s="1"/>
  <c r="N11" i="2192"/>
  <c r="O11" i="2192" s="1"/>
  <c r="N10" i="2192"/>
  <c r="N9" i="2192"/>
  <c r="O9" i="2192" s="1"/>
  <c r="N8" i="2192"/>
  <c r="O8" i="2192" s="1"/>
  <c r="B6" i="2192"/>
  <c r="K22" i="2192" s="1"/>
  <c r="O38" i="2191"/>
  <c r="M16" i="2191"/>
  <c r="J14" i="2191"/>
  <c r="M26" i="2191" s="1"/>
  <c r="K14" i="2191"/>
  <c r="L14" i="2191"/>
  <c r="K36" i="2191" s="1"/>
  <c r="M36" i="2191" s="1"/>
  <c r="M14" i="2191"/>
  <c r="M18" i="2191" s="1"/>
  <c r="N13" i="2191"/>
  <c r="O13" i="2191" s="1"/>
  <c r="N8" i="2191"/>
  <c r="O8" i="2191" s="1"/>
  <c r="B6" i="2191"/>
  <c r="K20" i="2191" s="1"/>
  <c r="O47" i="2190"/>
  <c r="M25" i="2190"/>
  <c r="J23" i="2190"/>
  <c r="M35" i="2190" s="1"/>
  <c r="M37" i="2190" s="1"/>
  <c r="K23" i="2190"/>
  <c r="L23" i="2190"/>
  <c r="K45" i="2190" s="1"/>
  <c r="M45" i="2190" s="1"/>
  <c r="M23" i="2190"/>
  <c r="M27" i="2190" s="1"/>
  <c r="N22" i="2190"/>
  <c r="O22" i="2190" s="1"/>
  <c r="N20" i="2190"/>
  <c r="O20" i="2190" s="1"/>
  <c r="N16" i="2190"/>
  <c r="O16" i="2190" s="1"/>
  <c r="N15" i="2190"/>
  <c r="O15" i="2190" s="1"/>
  <c r="N14" i="2190"/>
  <c r="O14" i="2190" s="1"/>
  <c r="N13" i="2190"/>
  <c r="O13" i="2190" s="1"/>
  <c r="N10" i="2190"/>
  <c r="O10" i="2190" s="1"/>
  <c r="N9" i="2190"/>
  <c r="O9" i="2190" s="1"/>
  <c r="B6" i="2190"/>
  <c r="K29" i="2190" s="1"/>
  <c r="O37" i="2189"/>
  <c r="M15" i="2189"/>
  <c r="J13" i="2189"/>
  <c r="M25" i="2189" s="1"/>
  <c r="K13" i="2189"/>
  <c r="L13" i="2189"/>
  <c r="K35" i="2189" s="1"/>
  <c r="M35" i="2189" s="1"/>
  <c r="M13" i="2189"/>
  <c r="M17" i="2189" s="1"/>
  <c r="N10" i="2189"/>
  <c r="O10" i="2189" s="1"/>
  <c r="N9" i="2189"/>
  <c r="O9" i="2189" s="1"/>
  <c r="N8" i="2189"/>
  <c r="O8" i="2189" s="1"/>
  <c r="B6" i="2189"/>
  <c r="K19" i="2189" s="1"/>
  <c r="O47" i="2188"/>
  <c r="M25" i="2188"/>
  <c r="J23" i="2188"/>
  <c r="M35" i="2188" s="1"/>
  <c r="K23" i="2188"/>
  <c r="L23" i="2188"/>
  <c r="K45" i="2188" s="1"/>
  <c r="M45" i="2188" s="1"/>
  <c r="M23" i="2188"/>
  <c r="M27" i="2188" s="1"/>
  <c r="N22" i="2188"/>
  <c r="O22" i="2188" s="1"/>
  <c r="N19" i="2188"/>
  <c r="O19" i="2188" s="1"/>
  <c r="N15" i="2188"/>
  <c r="O15" i="2188" s="1"/>
  <c r="N13" i="2188"/>
  <c r="O13" i="2188" s="1"/>
  <c r="N12" i="2188"/>
  <c r="O12" i="2188" s="1"/>
  <c r="N9" i="2188"/>
  <c r="O9" i="2188" s="1"/>
  <c r="B6" i="2188"/>
  <c r="O49" i="2187"/>
  <c r="M27" i="2187"/>
  <c r="J25" i="2187"/>
  <c r="M37" i="2187" s="1"/>
  <c r="K25" i="2187"/>
  <c r="L25" i="2187"/>
  <c r="K47" i="2187" s="1"/>
  <c r="M47" i="2187" s="1"/>
  <c r="M25" i="2187"/>
  <c r="M29" i="2187" s="1"/>
  <c r="N20" i="2187"/>
  <c r="O20" i="2187" s="1"/>
  <c r="N10" i="2187"/>
  <c r="O10" i="2187" s="1"/>
  <c r="B6" i="2187"/>
  <c r="K31" i="2187" s="1"/>
  <c r="O47" i="2186"/>
  <c r="M25" i="2186"/>
  <c r="J23" i="2186"/>
  <c r="M35" i="2186" s="1"/>
  <c r="K23" i="2186"/>
  <c r="L23" i="2186"/>
  <c r="K45" i="2186" s="1"/>
  <c r="M45" i="2186" s="1"/>
  <c r="M23" i="2186"/>
  <c r="M27" i="2186" s="1"/>
  <c r="N22" i="2186"/>
  <c r="O22" i="2186" s="1"/>
  <c r="N17" i="2186"/>
  <c r="O17" i="2186" s="1"/>
  <c r="N14" i="2186"/>
  <c r="O14" i="2186" s="1"/>
  <c r="N13" i="2186"/>
  <c r="O13" i="2186" s="1"/>
  <c r="B6" i="2186"/>
  <c r="K29" i="2186" s="1"/>
  <c r="O46" i="2185"/>
  <c r="M24" i="2185"/>
  <c r="J22" i="2185"/>
  <c r="M34" i="2185" s="1"/>
  <c r="M36" i="2185" s="1"/>
  <c r="K22" i="2185"/>
  <c r="L22" i="2185"/>
  <c r="K44" i="2185" s="1"/>
  <c r="M44" i="2185" s="1"/>
  <c r="M22" i="2185"/>
  <c r="M26" i="2185" s="1"/>
  <c r="N8" i="2185"/>
  <c r="O8" i="2185" s="1"/>
  <c r="B6" i="2185"/>
  <c r="K28" i="2185" s="1"/>
  <c r="M51" i="2184"/>
  <c r="O47" i="2184"/>
  <c r="M25" i="2184"/>
  <c r="J23" i="2184"/>
  <c r="M35" i="2184" s="1"/>
  <c r="M37" i="2184" s="1"/>
  <c r="K23" i="2184"/>
  <c r="L23" i="2184"/>
  <c r="K45" i="2184" s="1"/>
  <c r="M45" i="2184" s="1"/>
  <c r="M23" i="2184"/>
  <c r="M27" i="2184" s="1"/>
  <c r="N19" i="2184"/>
  <c r="O19" i="2184" s="1"/>
  <c r="N18" i="2184"/>
  <c r="O18" i="2184" s="1"/>
  <c r="N17" i="2184"/>
  <c r="O17" i="2184" s="1"/>
  <c r="N16" i="2184"/>
  <c r="O16" i="2184" s="1"/>
  <c r="N15" i="2184"/>
  <c r="O15" i="2184" s="1"/>
  <c r="N12" i="2184"/>
  <c r="O12" i="2184" s="1"/>
  <c r="N10" i="2184"/>
  <c r="O10" i="2184" s="1"/>
  <c r="N8" i="2184"/>
  <c r="B6" i="2184"/>
  <c r="K29" i="2184" s="1"/>
  <c r="M45" i="2183"/>
  <c r="O41" i="2183"/>
  <c r="M19" i="2183"/>
  <c r="J17" i="2183"/>
  <c r="M29" i="2183" s="1"/>
  <c r="M31" i="2183" s="1"/>
  <c r="K17" i="2183"/>
  <c r="L17" i="2183"/>
  <c r="K39" i="2183" s="1"/>
  <c r="M39" i="2183" s="1"/>
  <c r="M17" i="2183"/>
  <c r="M21" i="2183" s="1"/>
  <c r="N13" i="2183"/>
  <c r="O13" i="2183" s="1"/>
  <c r="N9" i="2183"/>
  <c r="O9" i="2183" s="1"/>
  <c r="N8" i="2183"/>
  <c r="O8" i="2183" s="1"/>
  <c r="B6" i="2183"/>
  <c r="K23" i="2183" s="1"/>
  <c r="O50" i="2182"/>
  <c r="M28" i="2182"/>
  <c r="J26" i="2182"/>
  <c r="M38" i="2182" s="1"/>
  <c r="M40" i="2182" s="1"/>
  <c r="K26" i="2182"/>
  <c r="L26" i="2182"/>
  <c r="K48" i="2182" s="1"/>
  <c r="M48" i="2182" s="1"/>
  <c r="M26" i="2182"/>
  <c r="M30" i="2182" s="1"/>
  <c r="N22" i="2182"/>
  <c r="O22" i="2182" s="1"/>
  <c r="N19" i="2182"/>
  <c r="O19" i="2182" s="1"/>
  <c r="N18" i="2182"/>
  <c r="O18" i="2182" s="1"/>
  <c r="N17" i="2182"/>
  <c r="O17" i="2182" s="1"/>
  <c r="N16" i="2182"/>
  <c r="O16" i="2182" s="1"/>
  <c r="N15" i="2182"/>
  <c r="O15" i="2182" s="1"/>
  <c r="N13" i="2182"/>
  <c r="O13" i="2182" s="1"/>
  <c r="N11" i="2182"/>
  <c r="O11" i="2182" s="1"/>
  <c r="N9" i="2182"/>
  <c r="B6" i="2182"/>
  <c r="K32" i="2182" s="1"/>
  <c r="O53" i="2181"/>
  <c r="M31" i="2181"/>
  <c r="J29" i="2181"/>
  <c r="M41" i="2181" s="1"/>
  <c r="K29" i="2181"/>
  <c r="L29" i="2181"/>
  <c r="K51" i="2181" s="1"/>
  <c r="M51" i="2181" s="1"/>
  <c r="M29" i="2181"/>
  <c r="M33" i="2181" s="1"/>
  <c r="N26" i="2181"/>
  <c r="O26" i="2181" s="1"/>
  <c r="N24" i="2181"/>
  <c r="O24" i="2181" s="1"/>
  <c r="N22" i="2181"/>
  <c r="O22" i="2181" s="1"/>
  <c r="N21" i="2181"/>
  <c r="O21" i="2181" s="1"/>
  <c r="N15" i="2181"/>
  <c r="O15" i="2181" s="1"/>
  <c r="N13" i="2181"/>
  <c r="O13" i="2181" s="1"/>
  <c r="N10" i="2181"/>
  <c r="O10" i="2181" s="1"/>
  <c r="N9" i="2181"/>
  <c r="O9" i="2181" s="1"/>
  <c r="B6" i="2181"/>
  <c r="K35" i="2181" s="1"/>
  <c r="O46" i="2180"/>
  <c r="M24" i="2180"/>
  <c r="J22" i="2180"/>
  <c r="M34" i="2180" s="1"/>
  <c r="M36" i="2180" s="1"/>
  <c r="M38" i="2180" s="1"/>
  <c r="M40" i="2180" s="1"/>
  <c r="K22" i="2180"/>
  <c r="L22" i="2180"/>
  <c r="K44" i="2180" s="1"/>
  <c r="M44" i="2180" s="1"/>
  <c r="M22" i="2180"/>
  <c r="M26" i="2180" s="1"/>
  <c r="N21" i="2180"/>
  <c r="N20" i="2180"/>
  <c r="O20" i="2180" s="1"/>
  <c r="N18" i="2180"/>
  <c r="O18" i="2180" s="1"/>
  <c r="N17" i="2180"/>
  <c r="O17" i="2180" s="1"/>
  <c r="N12" i="2180"/>
  <c r="O12" i="2180" s="1"/>
  <c r="N10" i="2180"/>
  <c r="O10" i="2180" s="1"/>
  <c r="N9" i="2180"/>
  <c r="B6" i="2180"/>
  <c r="K28" i="2180" s="1"/>
  <c r="O46" i="2179"/>
  <c r="M24" i="2179"/>
  <c r="J22" i="2179"/>
  <c r="M34" i="2179" s="1"/>
  <c r="M36" i="2179" s="1"/>
  <c r="M38" i="2179" s="1"/>
  <c r="M40" i="2179" s="1"/>
  <c r="K22" i="2179"/>
  <c r="L22" i="2179"/>
  <c r="K44" i="2179" s="1"/>
  <c r="M44" i="2179" s="1"/>
  <c r="M22" i="2179"/>
  <c r="M26" i="2179" s="1"/>
  <c r="N17" i="2179"/>
  <c r="N16" i="2179"/>
  <c r="N15" i="2179"/>
  <c r="O15" i="2179" s="1"/>
  <c r="N13" i="2179"/>
  <c r="O13" i="2179" s="1"/>
  <c r="N10" i="2179"/>
  <c r="O10" i="2179" s="1"/>
  <c r="B6" i="2179"/>
  <c r="K28" i="2179" s="1"/>
  <c r="O41" i="2178"/>
  <c r="M19" i="2178"/>
  <c r="J17" i="2178"/>
  <c r="M29" i="2178" s="1"/>
  <c r="M31" i="2178" s="1"/>
  <c r="K17" i="2178"/>
  <c r="L17" i="2178"/>
  <c r="K39" i="2178" s="1"/>
  <c r="M39" i="2178" s="1"/>
  <c r="M17" i="2178"/>
  <c r="M21" i="2178" s="1"/>
  <c r="N15" i="2178"/>
  <c r="O15" i="2178" s="1"/>
  <c r="N14" i="2178"/>
  <c r="O14" i="2178" s="1"/>
  <c r="N11" i="2178"/>
  <c r="O11" i="2178" s="1"/>
  <c r="N9" i="2178"/>
  <c r="O9" i="2178" s="1"/>
  <c r="B6" i="2178"/>
  <c r="K23" i="2178" s="1"/>
  <c r="O49" i="2177"/>
  <c r="M27" i="2177"/>
  <c r="J25" i="2177"/>
  <c r="M37" i="2177" s="1"/>
  <c r="M39" i="2177" s="1"/>
  <c r="M41" i="2177" s="1"/>
  <c r="M43" i="2177" s="1"/>
  <c r="K25" i="2177"/>
  <c r="L25" i="2177"/>
  <c r="K47" i="2177" s="1"/>
  <c r="M47" i="2177" s="1"/>
  <c r="M25" i="2177"/>
  <c r="M29" i="2177" s="1"/>
  <c r="N22" i="2177"/>
  <c r="O22" i="2177" s="1"/>
  <c r="N18" i="2177"/>
  <c r="O18" i="2177" s="1"/>
  <c r="N16" i="2177"/>
  <c r="O16" i="2177" s="1"/>
  <c r="N15" i="2177"/>
  <c r="O15" i="2177" s="1"/>
  <c r="N14" i="2177"/>
  <c r="O14" i="2177" s="1"/>
  <c r="N8" i="2177"/>
  <c r="O8" i="2177" s="1"/>
  <c r="B6" i="2177"/>
  <c r="K31" i="2177" s="1"/>
  <c r="M47" i="2176"/>
  <c r="O43" i="2176"/>
  <c r="M21" i="2176"/>
  <c r="J19" i="2176"/>
  <c r="M31" i="2176" s="1"/>
  <c r="K19" i="2176"/>
  <c r="L19" i="2176"/>
  <c r="K41" i="2176" s="1"/>
  <c r="M41" i="2176" s="1"/>
  <c r="M19" i="2176"/>
  <c r="M23" i="2176" s="1"/>
  <c r="N18" i="2176"/>
  <c r="O18" i="2176" s="1"/>
  <c r="N17" i="2176"/>
  <c r="O17" i="2176" s="1"/>
  <c r="N13" i="2176"/>
  <c r="O13" i="2176" s="1"/>
  <c r="N10" i="2176"/>
  <c r="O10" i="2176" s="1"/>
  <c r="B6" i="2176"/>
  <c r="K25" i="2176" s="1"/>
  <c r="O45" i="2175"/>
  <c r="M23" i="2175"/>
  <c r="J21" i="2175"/>
  <c r="M33" i="2175" s="1"/>
  <c r="M35" i="2175" s="1"/>
  <c r="M37" i="2175" s="1"/>
  <c r="M39" i="2175" s="1"/>
  <c r="K21" i="2175"/>
  <c r="L21" i="2175"/>
  <c r="K43" i="2175" s="1"/>
  <c r="M43" i="2175" s="1"/>
  <c r="M21" i="2175"/>
  <c r="M25" i="2175" s="1"/>
  <c r="N14" i="2175"/>
  <c r="O14" i="2175" s="1"/>
  <c r="N11" i="2175"/>
  <c r="O11" i="2175" s="1"/>
  <c r="N10" i="2175"/>
  <c r="O10" i="2175" s="1"/>
  <c r="B6" i="2175"/>
  <c r="K27" i="2175" s="1"/>
  <c r="O33" i="2174"/>
  <c r="M11" i="2174"/>
  <c r="J9" i="2174"/>
  <c r="M21" i="2174" s="1"/>
  <c r="K9" i="2174"/>
  <c r="L9" i="2174"/>
  <c r="K31" i="2174" s="1"/>
  <c r="M31" i="2174" s="1"/>
  <c r="M9" i="2174"/>
  <c r="M13" i="2174" s="1"/>
  <c r="B6" i="2174"/>
  <c r="K15" i="2174" s="1"/>
  <c r="D37" i="2172"/>
  <c r="E37" i="2172"/>
  <c r="G37" i="2172"/>
  <c r="D36" i="2172"/>
  <c r="K36" i="2207" s="1"/>
  <c r="M36" i="2207" s="1"/>
  <c r="G36" i="2172"/>
  <c r="D35" i="2172"/>
  <c r="K29" i="2206" s="1"/>
  <c r="M29" i="2206" s="1"/>
  <c r="E35" i="2172"/>
  <c r="G35" i="2172"/>
  <c r="D34" i="2172"/>
  <c r="K43" i="2205" s="1"/>
  <c r="M43" i="2205" s="1"/>
  <c r="E34" i="2172"/>
  <c r="G34" i="2172"/>
  <c r="D33" i="2172"/>
  <c r="K45" i="2204" s="1"/>
  <c r="M45" i="2204" s="1"/>
  <c r="G33" i="2172"/>
  <c r="D32" i="2172"/>
  <c r="K36" i="2203" s="1"/>
  <c r="M36" i="2203" s="1"/>
  <c r="G32" i="2172"/>
  <c r="D31" i="2172"/>
  <c r="K33" i="2202" s="1"/>
  <c r="M33" i="2202" s="1"/>
  <c r="G31" i="2172"/>
  <c r="D30" i="2172"/>
  <c r="K48" i="2201" s="1"/>
  <c r="M48" i="2201" s="1"/>
  <c r="E30" i="2172"/>
  <c r="G30" i="2172"/>
  <c r="D29" i="2172"/>
  <c r="K29" i="2200" s="1"/>
  <c r="M29" i="2200" s="1"/>
  <c r="E29" i="2172"/>
  <c r="G29" i="2172"/>
  <c r="D28" i="2172"/>
  <c r="K41" i="2199" s="1"/>
  <c r="M41" i="2199" s="1"/>
  <c r="E28" i="2172"/>
  <c r="G28" i="2172"/>
  <c r="D27" i="2172"/>
  <c r="K37" i="2198" s="1"/>
  <c r="M37" i="2198" s="1"/>
  <c r="G27" i="2172"/>
  <c r="D26" i="2172"/>
  <c r="K39" i="2197" s="1"/>
  <c r="M39" i="2197" s="1"/>
  <c r="E26" i="2172"/>
  <c r="G26" i="2172"/>
  <c r="D25" i="2172"/>
  <c r="K45" i="2196" s="1"/>
  <c r="M45" i="2196" s="1"/>
  <c r="G25" i="2172"/>
  <c r="D24" i="2172"/>
  <c r="K46" i="2195" s="1"/>
  <c r="M46" i="2195" s="1"/>
  <c r="G24" i="2172"/>
  <c r="D23" i="2172"/>
  <c r="K37" i="2194" s="1"/>
  <c r="M37" i="2194" s="1"/>
  <c r="E23" i="2172"/>
  <c r="G23" i="2172"/>
  <c r="D22" i="2172"/>
  <c r="K39" i="2193" s="1"/>
  <c r="M39" i="2193" s="1"/>
  <c r="G22" i="2172"/>
  <c r="D21" i="2172"/>
  <c r="K36" i="2192" s="1"/>
  <c r="M36" i="2192" s="1"/>
  <c r="G21" i="2172"/>
  <c r="D20" i="2172"/>
  <c r="K34" i="2191" s="1"/>
  <c r="M34" i="2191" s="1"/>
  <c r="G20" i="2172"/>
  <c r="D19" i="2172"/>
  <c r="K43" i="2190" s="1"/>
  <c r="M43" i="2190" s="1"/>
  <c r="G19" i="2172"/>
  <c r="D18" i="2172"/>
  <c r="K33" i="2189" s="1"/>
  <c r="M33" i="2189" s="1"/>
  <c r="G18" i="2172"/>
  <c r="D17" i="2172"/>
  <c r="K43" i="2188" s="1"/>
  <c r="M43" i="2188" s="1"/>
  <c r="G17" i="2172"/>
  <c r="D16" i="2172"/>
  <c r="K45" i="2187" s="1"/>
  <c r="M45" i="2187" s="1"/>
  <c r="G16" i="2172"/>
  <c r="D15" i="2172"/>
  <c r="K43" i="2186" s="1"/>
  <c r="M43" i="2186" s="1"/>
  <c r="G15" i="2172"/>
  <c r="D14" i="2172"/>
  <c r="K42" i="2185" s="1"/>
  <c r="M42" i="2185" s="1"/>
  <c r="G14" i="2172"/>
  <c r="D13" i="2172"/>
  <c r="K43" i="2184" s="1"/>
  <c r="M43" i="2184" s="1"/>
  <c r="E13" i="2172"/>
  <c r="G13" i="2172"/>
  <c r="D12" i="2172"/>
  <c r="K37" i="2183" s="1"/>
  <c r="M37" i="2183" s="1"/>
  <c r="E12" i="2172"/>
  <c r="G12" i="2172"/>
  <c r="D11" i="2172"/>
  <c r="K46" i="2182" s="1"/>
  <c r="M46" i="2182" s="1"/>
  <c r="G11" i="2172"/>
  <c r="D10" i="2172"/>
  <c r="K49" i="2181" s="1"/>
  <c r="M49" i="2181" s="1"/>
  <c r="G10" i="2172"/>
  <c r="D9" i="2172"/>
  <c r="K42" i="2180" s="1"/>
  <c r="M42" i="2180" s="1"/>
  <c r="G9" i="2172"/>
  <c r="D8" i="2172"/>
  <c r="K42" i="2179" s="1"/>
  <c r="M42" i="2179" s="1"/>
  <c r="G8" i="2172"/>
  <c r="D7" i="2172"/>
  <c r="K37" i="2178" s="1"/>
  <c r="M37" i="2178" s="1"/>
  <c r="G7" i="2172"/>
  <c r="D6" i="2172"/>
  <c r="K45" i="2177" s="1"/>
  <c r="M45" i="2177" s="1"/>
  <c r="G6" i="2172"/>
  <c r="D5" i="2172"/>
  <c r="K39" i="2176" s="1"/>
  <c r="M39" i="2176" s="1"/>
  <c r="E5" i="2172"/>
  <c r="G5" i="2172"/>
  <c r="D4" i="2172"/>
  <c r="G4" i="2172"/>
  <c r="D3" i="2172"/>
  <c r="K41" i="2175" s="1"/>
  <c r="M41" i="2175" s="1"/>
  <c r="G3" i="2172"/>
  <c r="D2" i="2172"/>
  <c r="K29" i="2174" s="1"/>
  <c r="M29" i="2174" s="1"/>
  <c r="G2" i="2172"/>
  <c r="D37" i="2171"/>
  <c r="B5" i="2208" s="1"/>
  <c r="E37" i="2171"/>
  <c r="F37" i="2171"/>
  <c r="D36" i="2171"/>
  <c r="B5" i="2207" s="1"/>
  <c r="M40" i="2207" s="1"/>
  <c r="E36" i="2171"/>
  <c r="F36" i="2171"/>
  <c r="D35" i="2171"/>
  <c r="B5" i="2206" s="1"/>
  <c r="M33" i="2206" s="1"/>
  <c r="E35" i="2171"/>
  <c r="F35" i="2171"/>
  <c r="D34" i="2171"/>
  <c r="B5" i="2205" s="1"/>
  <c r="E34" i="2171"/>
  <c r="F34" i="2171"/>
  <c r="D33" i="2171"/>
  <c r="B5" i="2204" s="1"/>
  <c r="E33" i="2171"/>
  <c r="F33" i="2171"/>
  <c r="D32" i="2171"/>
  <c r="B5" i="2203" s="1"/>
  <c r="E32" i="2171"/>
  <c r="F32" i="2171"/>
  <c r="D31" i="2171"/>
  <c r="B5" i="2202" s="1"/>
  <c r="M37" i="2202" s="1"/>
  <c r="E31" i="2171"/>
  <c r="F31" i="2171"/>
  <c r="D30" i="2171"/>
  <c r="B5" i="2201" s="1"/>
  <c r="E30" i="2171"/>
  <c r="F30" i="2171"/>
  <c r="D29" i="2171"/>
  <c r="B5" i="2200" s="1"/>
  <c r="M33" i="2200" s="1"/>
  <c r="E29" i="2171"/>
  <c r="F29" i="2171"/>
  <c r="D28" i="2171"/>
  <c r="B5" i="2199" s="1"/>
  <c r="E28" i="2171"/>
  <c r="F28" i="2171"/>
  <c r="D27" i="2171"/>
  <c r="B5" i="2198" s="1"/>
  <c r="E27" i="2171"/>
  <c r="F27" i="2171"/>
  <c r="D26" i="2171"/>
  <c r="B5" i="2197" s="1"/>
  <c r="E26" i="2171"/>
  <c r="F26" i="2171"/>
  <c r="D25" i="2171"/>
  <c r="B5" i="2196" s="1"/>
  <c r="E25" i="2171"/>
  <c r="F25" i="2171"/>
  <c r="D24" i="2171"/>
  <c r="B5" i="2195" s="1"/>
  <c r="E24" i="2171"/>
  <c r="F24" i="2171"/>
  <c r="D23" i="2171"/>
  <c r="B5" i="2194" s="1"/>
  <c r="E23" i="2171"/>
  <c r="F23" i="2171"/>
  <c r="D22" i="2171"/>
  <c r="B5" i="2193" s="1"/>
  <c r="E22" i="2171"/>
  <c r="F22" i="2171"/>
  <c r="D21" i="2171"/>
  <c r="B5" i="2192" s="1"/>
  <c r="M40" i="2192" s="1"/>
  <c r="E21" i="2171"/>
  <c r="F21" i="2171"/>
  <c r="D20" i="2171"/>
  <c r="B5" i="2191" s="1"/>
  <c r="M38" i="2191" s="1"/>
  <c r="E20" i="2171"/>
  <c r="F20" i="2171"/>
  <c r="D19" i="2171"/>
  <c r="B5" i="2190" s="1"/>
  <c r="E19" i="2171"/>
  <c r="F19" i="2171"/>
  <c r="D18" i="2171"/>
  <c r="B5" i="2189" s="1"/>
  <c r="M37" i="2189" s="1"/>
  <c r="E18" i="2171"/>
  <c r="F18" i="2171"/>
  <c r="D17" i="2171"/>
  <c r="B5" i="2188" s="1"/>
  <c r="E17" i="2171"/>
  <c r="F17" i="2171"/>
  <c r="D16" i="2171"/>
  <c r="B5" i="2187" s="1"/>
  <c r="E16" i="2171"/>
  <c r="F16" i="2171"/>
  <c r="D15" i="2171"/>
  <c r="B5" i="2186" s="1"/>
  <c r="E15" i="2171"/>
  <c r="F15" i="2171"/>
  <c r="D14" i="2171"/>
  <c r="B5" i="2185" s="1"/>
  <c r="E14" i="2171"/>
  <c r="F14" i="2171"/>
  <c r="D13" i="2171"/>
  <c r="B5" i="2184" s="1"/>
  <c r="E13" i="2171"/>
  <c r="F13" i="2171"/>
  <c r="D12" i="2171"/>
  <c r="B5" i="2183" s="1"/>
  <c r="M41" i="2183" s="1"/>
  <c r="E12" i="2171"/>
  <c r="F12" i="2171"/>
  <c r="D11" i="2171"/>
  <c r="B5" i="2182" s="1"/>
  <c r="E11" i="2171"/>
  <c r="F11" i="2171"/>
  <c r="D10" i="2171"/>
  <c r="B5" i="2181" s="1"/>
  <c r="E10" i="2171"/>
  <c r="F10" i="2171"/>
  <c r="D9" i="2171"/>
  <c r="B5" i="2180" s="1"/>
  <c r="E9" i="2171"/>
  <c r="F9" i="2171"/>
  <c r="D8" i="2171"/>
  <c r="B5" i="2179" s="1"/>
  <c r="E8" i="2171"/>
  <c r="F8" i="2171"/>
  <c r="D7" i="2171"/>
  <c r="B5" i="2178" s="1"/>
  <c r="M41" i="2178" s="1"/>
  <c r="E7" i="2171"/>
  <c r="F7" i="2171"/>
  <c r="D6" i="2171"/>
  <c r="B5" i="2177" s="1"/>
  <c r="E6" i="2171"/>
  <c r="F6" i="2171"/>
  <c r="D5" i="2171"/>
  <c r="B5" i="2176" s="1"/>
  <c r="E5" i="2171"/>
  <c r="F5" i="2171"/>
  <c r="D4" i="2171"/>
  <c r="E4" i="2171"/>
  <c r="F4" i="2171"/>
  <c r="D3" i="2171"/>
  <c r="B5" i="2175" s="1"/>
  <c r="E3" i="2171"/>
  <c r="F3" i="2171"/>
  <c r="D2" i="2171"/>
  <c r="B5" i="2174" s="1"/>
  <c r="M33" i="2174" s="1"/>
  <c r="E2" i="2171"/>
  <c r="F2" i="2171"/>
  <c r="H793" i="71"/>
  <c r="H794" i="71"/>
  <c r="H795" i="71"/>
  <c r="H796" i="71"/>
  <c r="H797" i="71"/>
  <c r="H798" i="71"/>
  <c r="H799" i="71"/>
  <c r="H800" i="71"/>
  <c r="H29" i="71"/>
  <c r="H30" i="71"/>
  <c r="H31" i="71"/>
  <c r="H32" i="71"/>
  <c r="H33" i="71"/>
  <c r="H34" i="71"/>
  <c r="H35" i="71"/>
  <c r="H36" i="71"/>
  <c r="H37" i="71"/>
  <c r="H38" i="71"/>
  <c r="H39" i="71"/>
  <c r="H40" i="71"/>
  <c r="H41" i="71"/>
  <c r="H42" i="71"/>
  <c r="H43" i="71"/>
  <c r="H44" i="71"/>
  <c r="H45" i="71"/>
  <c r="H46" i="71"/>
  <c r="H47" i="71"/>
  <c r="H48" i="71"/>
  <c r="H49" i="71"/>
  <c r="H50" i="71"/>
  <c r="H51" i="71"/>
  <c r="H52" i="71"/>
  <c r="H53" i="71"/>
  <c r="H54" i="71"/>
  <c r="H55" i="71"/>
  <c r="H56" i="71"/>
  <c r="H57" i="71"/>
  <c r="H58" i="71"/>
  <c r="H59" i="71"/>
  <c r="H60" i="71"/>
  <c r="H61" i="71"/>
  <c r="H62" i="71"/>
  <c r="H63" i="71"/>
  <c r="H64" i="71"/>
  <c r="H65" i="71"/>
  <c r="H66" i="71"/>
  <c r="H67" i="71"/>
  <c r="H68" i="71"/>
  <c r="H69" i="71"/>
  <c r="H70" i="71"/>
  <c r="H71" i="71"/>
  <c r="H72" i="71"/>
  <c r="H73" i="71"/>
  <c r="H74" i="71"/>
  <c r="H75" i="71"/>
  <c r="H76" i="71"/>
  <c r="H77" i="71"/>
  <c r="H78" i="71"/>
  <c r="H79" i="71"/>
  <c r="H80" i="71"/>
  <c r="H81" i="71"/>
  <c r="H82" i="71"/>
  <c r="H83" i="71"/>
  <c r="H84" i="71"/>
  <c r="H85" i="71"/>
  <c r="H86" i="71"/>
  <c r="H87" i="71"/>
  <c r="H88" i="71"/>
  <c r="H89" i="71"/>
  <c r="H90" i="71"/>
  <c r="H91" i="71"/>
  <c r="H92" i="71"/>
  <c r="H93" i="71"/>
  <c r="H94" i="71"/>
  <c r="H95" i="71"/>
  <c r="H96" i="71"/>
  <c r="H97" i="71"/>
  <c r="H98" i="71"/>
  <c r="H99" i="71"/>
  <c r="H100" i="71"/>
  <c r="H101" i="71"/>
  <c r="H102" i="71"/>
  <c r="H103" i="71"/>
  <c r="H104" i="71"/>
  <c r="H105" i="71"/>
  <c r="H106" i="71"/>
  <c r="H107" i="71"/>
  <c r="H108" i="71"/>
  <c r="H109" i="71"/>
  <c r="H110" i="71"/>
  <c r="H111" i="71"/>
  <c r="H112" i="71"/>
  <c r="H113" i="71"/>
  <c r="H114" i="71"/>
  <c r="H115" i="71"/>
  <c r="H116" i="71"/>
  <c r="H117" i="71"/>
  <c r="H118" i="71"/>
  <c r="H119" i="71"/>
  <c r="H120" i="71"/>
  <c r="H121" i="71"/>
  <c r="H122" i="71"/>
  <c r="H123" i="71"/>
  <c r="H124" i="71"/>
  <c r="H125" i="71"/>
  <c r="H126" i="71"/>
  <c r="H127" i="71"/>
  <c r="H128" i="71"/>
  <c r="H129" i="71"/>
  <c r="H130" i="71"/>
  <c r="H131" i="71"/>
  <c r="H132" i="71"/>
  <c r="H133" i="71"/>
  <c r="H134" i="71"/>
  <c r="H135" i="71"/>
  <c r="H136" i="71"/>
  <c r="H137" i="71"/>
  <c r="H138" i="71"/>
  <c r="H139" i="71"/>
  <c r="H140" i="71"/>
  <c r="H141" i="71"/>
  <c r="H142" i="71"/>
  <c r="H143" i="71"/>
  <c r="H144" i="71"/>
  <c r="H145" i="71"/>
  <c r="H146" i="71"/>
  <c r="H147" i="71"/>
  <c r="H148" i="71"/>
  <c r="H149" i="71"/>
  <c r="H150" i="71"/>
  <c r="H151" i="71"/>
  <c r="H152" i="71"/>
  <c r="H153" i="71"/>
  <c r="H154" i="71"/>
  <c r="H155" i="71"/>
  <c r="H156" i="71"/>
  <c r="H157" i="71"/>
  <c r="H158" i="71"/>
  <c r="H159" i="71"/>
  <c r="H160" i="71"/>
  <c r="H161" i="71"/>
  <c r="H162" i="71"/>
  <c r="H163" i="71"/>
  <c r="H164" i="71"/>
  <c r="H165" i="71"/>
  <c r="H166" i="71"/>
  <c r="H167" i="71"/>
  <c r="H168" i="71"/>
  <c r="H169" i="71"/>
  <c r="H170" i="71"/>
  <c r="H171" i="71"/>
  <c r="H172" i="71"/>
  <c r="H173" i="71"/>
  <c r="H174" i="71"/>
  <c r="H175" i="71"/>
  <c r="H176" i="71"/>
  <c r="H177" i="71"/>
  <c r="H178" i="71"/>
  <c r="H179" i="71"/>
  <c r="H180" i="71"/>
  <c r="H181" i="71"/>
  <c r="H182" i="71"/>
  <c r="H183" i="71"/>
  <c r="H184" i="71"/>
  <c r="H185" i="71"/>
  <c r="H186" i="71"/>
  <c r="H187" i="71"/>
  <c r="H188" i="71"/>
  <c r="H189" i="71"/>
  <c r="H190" i="71"/>
  <c r="H191" i="71"/>
  <c r="H192" i="71"/>
  <c r="H193" i="71"/>
  <c r="H194" i="71"/>
  <c r="H195" i="71"/>
  <c r="H196" i="71"/>
  <c r="H197" i="71"/>
  <c r="H198" i="71"/>
  <c r="H199" i="71"/>
  <c r="H200" i="71"/>
  <c r="H201" i="71"/>
  <c r="H202" i="71"/>
  <c r="H203" i="71"/>
  <c r="H204" i="71"/>
  <c r="H205" i="71"/>
  <c r="H206" i="71"/>
  <c r="H207" i="71"/>
  <c r="H208" i="71"/>
  <c r="H209" i="71"/>
  <c r="H210" i="71"/>
  <c r="H211" i="71"/>
  <c r="H212" i="71"/>
  <c r="H213" i="71"/>
  <c r="H214" i="71"/>
  <c r="H215" i="71"/>
  <c r="H216" i="71"/>
  <c r="H217" i="71"/>
  <c r="H218" i="71"/>
  <c r="H219" i="71"/>
  <c r="H220" i="71"/>
  <c r="H221" i="71"/>
  <c r="H222" i="71"/>
  <c r="H223" i="71"/>
  <c r="H224" i="71"/>
  <c r="H225" i="71"/>
  <c r="H226" i="71"/>
  <c r="H227" i="71"/>
  <c r="H228" i="71"/>
  <c r="H229" i="71"/>
  <c r="H230" i="71"/>
  <c r="H231" i="71"/>
  <c r="H232" i="71"/>
  <c r="H233" i="71"/>
  <c r="H234" i="71"/>
  <c r="H235" i="71"/>
  <c r="H236" i="71"/>
  <c r="H237" i="71"/>
  <c r="H238" i="71"/>
  <c r="H239" i="71"/>
  <c r="H240" i="71"/>
  <c r="H241" i="71"/>
  <c r="H242" i="71"/>
  <c r="H243" i="71"/>
  <c r="H244" i="71"/>
  <c r="H245" i="71"/>
  <c r="H246" i="71"/>
  <c r="H247" i="71"/>
  <c r="H248" i="71"/>
  <c r="H249" i="71"/>
  <c r="H250" i="71"/>
  <c r="H251" i="71"/>
  <c r="H252" i="71"/>
  <c r="H253" i="71"/>
  <c r="H254" i="71"/>
  <c r="H255" i="71"/>
  <c r="H256" i="71"/>
  <c r="H257" i="71"/>
  <c r="H258" i="71"/>
  <c r="H259" i="71"/>
  <c r="H260" i="71"/>
  <c r="H261" i="71"/>
  <c r="H262" i="71"/>
  <c r="H263" i="71"/>
  <c r="H264" i="71"/>
  <c r="H265" i="71"/>
  <c r="H266" i="71"/>
  <c r="H267" i="71"/>
  <c r="H268" i="71"/>
  <c r="H269" i="71"/>
  <c r="H270" i="71"/>
  <c r="H271" i="71"/>
  <c r="H272" i="71"/>
  <c r="H273" i="71"/>
  <c r="H274" i="71"/>
  <c r="H275" i="71"/>
  <c r="H276" i="71"/>
  <c r="H277" i="71"/>
  <c r="H278" i="71"/>
  <c r="H279" i="71"/>
  <c r="H280" i="71"/>
  <c r="H281" i="71"/>
  <c r="H282" i="71"/>
  <c r="H283" i="71"/>
  <c r="H284" i="71"/>
  <c r="H285" i="71"/>
  <c r="H286" i="71"/>
  <c r="H287" i="71"/>
  <c r="H288" i="71"/>
  <c r="H289" i="71"/>
  <c r="H290" i="71"/>
  <c r="H291" i="71"/>
  <c r="H292" i="71"/>
  <c r="H293" i="71"/>
  <c r="H294" i="71"/>
  <c r="H295" i="71"/>
  <c r="H296" i="71"/>
  <c r="H297" i="71"/>
  <c r="H298" i="71"/>
  <c r="H299" i="71"/>
  <c r="H300" i="71"/>
  <c r="H301" i="71"/>
  <c r="H302" i="71"/>
  <c r="H303" i="71"/>
  <c r="H304" i="71"/>
  <c r="H305" i="71"/>
  <c r="H306" i="71"/>
  <c r="H307" i="71"/>
  <c r="H308" i="71"/>
  <c r="H309" i="71"/>
  <c r="H310" i="71"/>
  <c r="H311" i="71"/>
  <c r="H312" i="71"/>
  <c r="H313" i="71"/>
  <c r="H314" i="71"/>
  <c r="H315" i="71"/>
  <c r="H316" i="71"/>
  <c r="H317" i="71"/>
  <c r="H318" i="71"/>
  <c r="H319" i="71"/>
  <c r="H320" i="71"/>
  <c r="H321" i="71"/>
  <c r="H322" i="71"/>
  <c r="H323" i="71"/>
  <c r="H324" i="71"/>
  <c r="H325" i="71"/>
  <c r="H326" i="71"/>
  <c r="H327" i="71"/>
  <c r="H328" i="71"/>
  <c r="H329" i="71"/>
  <c r="H330" i="71"/>
  <c r="H331" i="71"/>
  <c r="H332" i="71"/>
  <c r="H333" i="71"/>
  <c r="H334" i="71"/>
  <c r="H335" i="71"/>
  <c r="H336" i="71"/>
  <c r="H337" i="71"/>
  <c r="H338" i="71"/>
  <c r="H339" i="71"/>
  <c r="H340" i="71"/>
  <c r="H341" i="71"/>
  <c r="H342" i="71"/>
  <c r="H343" i="71"/>
  <c r="H344" i="71"/>
  <c r="H345" i="71"/>
  <c r="H346" i="71"/>
  <c r="H347" i="71"/>
  <c r="H348" i="71"/>
  <c r="H349" i="71"/>
  <c r="H350" i="71"/>
  <c r="H351" i="71"/>
  <c r="H352" i="71"/>
  <c r="H353" i="71"/>
  <c r="H354" i="71"/>
  <c r="H355" i="71"/>
  <c r="H356" i="71"/>
  <c r="H357" i="71"/>
  <c r="H358" i="71"/>
  <c r="H359" i="71"/>
  <c r="H360" i="71"/>
  <c r="H361" i="71"/>
  <c r="H362" i="71"/>
  <c r="H363" i="71"/>
  <c r="H364" i="71"/>
  <c r="H365" i="71"/>
  <c r="H366" i="71"/>
  <c r="H367" i="71"/>
  <c r="H368" i="71"/>
  <c r="H369" i="71"/>
  <c r="H370" i="71"/>
  <c r="H371" i="71"/>
  <c r="H372" i="71"/>
  <c r="H373" i="71"/>
  <c r="H374" i="71"/>
  <c r="H375" i="71"/>
  <c r="H376" i="71"/>
  <c r="H377" i="71"/>
  <c r="H378" i="71"/>
  <c r="H379" i="71"/>
  <c r="H380" i="71"/>
  <c r="H381" i="71"/>
  <c r="H382" i="71"/>
  <c r="H383" i="71"/>
  <c r="H384" i="71"/>
  <c r="H385" i="71"/>
  <c r="H386" i="71"/>
  <c r="H387" i="71"/>
  <c r="H388" i="71"/>
  <c r="H389" i="71"/>
  <c r="H390" i="71"/>
  <c r="H391" i="71"/>
  <c r="H392" i="71"/>
  <c r="H393" i="71"/>
  <c r="H394" i="71"/>
  <c r="H395" i="71"/>
  <c r="H396" i="71"/>
  <c r="H397" i="71"/>
  <c r="H398" i="71"/>
  <c r="H399" i="71"/>
  <c r="H400" i="71"/>
  <c r="H401" i="71"/>
  <c r="H402" i="71"/>
  <c r="H403" i="71"/>
  <c r="H404" i="71"/>
  <c r="H405" i="71"/>
  <c r="H406" i="71"/>
  <c r="H407" i="71"/>
  <c r="H408" i="71"/>
  <c r="H409" i="71"/>
  <c r="H410" i="71"/>
  <c r="H411" i="71"/>
  <c r="H412" i="71"/>
  <c r="H413" i="71"/>
  <c r="H414" i="71"/>
  <c r="H415" i="71"/>
  <c r="H416" i="71"/>
  <c r="H417" i="71"/>
  <c r="H418" i="71"/>
  <c r="H419" i="71"/>
  <c r="H420" i="71"/>
  <c r="H421" i="71"/>
  <c r="H422" i="71"/>
  <c r="H423" i="71"/>
  <c r="H424" i="71"/>
  <c r="H425" i="71"/>
  <c r="H426" i="71"/>
  <c r="H427" i="71"/>
  <c r="H428" i="71"/>
  <c r="H429" i="71"/>
  <c r="H430" i="71"/>
  <c r="H431" i="71"/>
  <c r="H432" i="71"/>
  <c r="H433" i="71"/>
  <c r="H434" i="71"/>
  <c r="H435" i="71"/>
  <c r="H436" i="71"/>
  <c r="H437" i="71"/>
  <c r="H438" i="71"/>
  <c r="H439" i="71"/>
  <c r="H440" i="71"/>
  <c r="H441" i="71"/>
  <c r="H442" i="71"/>
  <c r="H443" i="71"/>
  <c r="H444" i="71"/>
  <c r="H445" i="71"/>
  <c r="H446" i="71"/>
  <c r="H447" i="71"/>
  <c r="H448" i="71"/>
  <c r="H449" i="71"/>
  <c r="H450" i="71"/>
  <c r="H451" i="71"/>
  <c r="H452" i="71"/>
  <c r="H453" i="71"/>
  <c r="H454" i="71"/>
  <c r="H455" i="71"/>
  <c r="H456" i="71"/>
  <c r="H457" i="71"/>
  <c r="H458" i="71"/>
  <c r="H459" i="71"/>
  <c r="H460" i="71"/>
  <c r="H461" i="71"/>
  <c r="H462" i="71"/>
  <c r="H463" i="71"/>
  <c r="H464" i="71"/>
  <c r="H465" i="71"/>
  <c r="H466" i="71"/>
  <c r="H467" i="71"/>
  <c r="H468" i="71"/>
  <c r="H469" i="71"/>
  <c r="H470" i="71"/>
  <c r="H471" i="71"/>
  <c r="H472" i="71"/>
  <c r="H473" i="71"/>
  <c r="H474" i="71"/>
  <c r="H475" i="71"/>
  <c r="H476" i="71"/>
  <c r="H477" i="71"/>
  <c r="H478" i="71"/>
  <c r="H479" i="71"/>
  <c r="H480" i="71"/>
  <c r="H481" i="71"/>
  <c r="H482" i="71"/>
  <c r="H483" i="71"/>
  <c r="H484" i="71"/>
  <c r="H485" i="71"/>
  <c r="H486" i="71"/>
  <c r="H487" i="71"/>
  <c r="H488" i="71"/>
  <c r="H489" i="71"/>
  <c r="H490" i="71"/>
  <c r="H491" i="71"/>
  <c r="H492" i="71"/>
  <c r="H493" i="71"/>
  <c r="H494" i="71"/>
  <c r="H495" i="71"/>
  <c r="H496" i="71"/>
  <c r="H497" i="71"/>
  <c r="H498" i="71"/>
  <c r="H499" i="71"/>
  <c r="H500" i="71"/>
  <c r="H501" i="71"/>
  <c r="H502" i="71"/>
  <c r="H503" i="71"/>
  <c r="H504" i="71"/>
  <c r="H505" i="71"/>
  <c r="H506" i="71"/>
  <c r="H507" i="71"/>
  <c r="H508" i="71"/>
  <c r="H509" i="71"/>
  <c r="H510" i="71"/>
  <c r="H511" i="71"/>
  <c r="H512" i="71"/>
  <c r="H513" i="71"/>
  <c r="H514" i="71"/>
  <c r="H515" i="71"/>
  <c r="H516" i="71"/>
  <c r="H517" i="71"/>
  <c r="H518" i="71"/>
  <c r="H519" i="71"/>
  <c r="H520" i="71"/>
  <c r="H521" i="71"/>
  <c r="H522" i="71"/>
  <c r="H523" i="71"/>
  <c r="H524" i="71"/>
  <c r="H525" i="71"/>
  <c r="H526" i="71"/>
  <c r="H527" i="71"/>
  <c r="H528" i="71"/>
  <c r="H529" i="71"/>
  <c r="H530" i="71"/>
  <c r="H531" i="71"/>
  <c r="H532" i="71"/>
  <c r="H533" i="71"/>
  <c r="H534" i="71"/>
  <c r="H535" i="71"/>
  <c r="H536" i="71"/>
  <c r="H537" i="71"/>
  <c r="H538" i="71"/>
  <c r="H539" i="71"/>
  <c r="H540" i="71"/>
  <c r="H541" i="71"/>
  <c r="H542" i="71"/>
  <c r="H543" i="71"/>
  <c r="H544" i="71"/>
  <c r="H545" i="71"/>
  <c r="H546" i="71"/>
  <c r="H547" i="71"/>
  <c r="H548" i="71"/>
  <c r="H549" i="71"/>
  <c r="H550" i="71"/>
  <c r="H551" i="71"/>
  <c r="H552" i="71"/>
  <c r="H553" i="71"/>
  <c r="H554" i="71"/>
  <c r="H555" i="71"/>
  <c r="H556" i="71"/>
  <c r="H557" i="71"/>
  <c r="H558" i="71"/>
  <c r="H559" i="71"/>
  <c r="H560" i="71"/>
  <c r="H561" i="71"/>
  <c r="H562" i="71"/>
  <c r="H563" i="71"/>
  <c r="H564" i="71"/>
  <c r="H565" i="71"/>
  <c r="H566" i="71"/>
  <c r="H567" i="71"/>
  <c r="H568" i="71"/>
  <c r="H569" i="71"/>
  <c r="H570" i="71"/>
  <c r="H571" i="71"/>
  <c r="H572" i="71"/>
  <c r="H573" i="71"/>
  <c r="H574" i="71"/>
  <c r="H575" i="71"/>
  <c r="H576" i="71"/>
  <c r="H577" i="71"/>
  <c r="H578" i="71"/>
  <c r="H579" i="71"/>
  <c r="H580" i="71"/>
  <c r="H581" i="71"/>
  <c r="H582" i="71"/>
  <c r="H583" i="71"/>
  <c r="H584" i="71"/>
  <c r="H585" i="71"/>
  <c r="H586" i="71"/>
  <c r="H587" i="71"/>
  <c r="H588" i="71"/>
  <c r="H589" i="71"/>
  <c r="H590" i="71"/>
  <c r="H591" i="71"/>
  <c r="H592" i="71"/>
  <c r="H593" i="71"/>
  <c r="H594" i="71"/>
  <c r="H595" i="71"/>
  <c r="H596" i="71"/>
  <c r="H597" i="71"/>
  <c r="H598" i="71"/>
  <c r="H599" i="71"/>
  <c r="H600" i="71"/>
  <c r="H601" i="71"/>
  <c r="H602" i="71"/>
  <c r="H603" i="71"/>
  <c r="H604" i="71"/>
  <c r="H605" i="71"/>
  <c r="H606" i="71"/>
  <c r="H607" i="71"/>
  <c r="H608" i="71"/>
  <c r="H609" i="71"/>
  <c r="H610" i="71"/>
  <c r="H611" i="71"/>
  <c r="H612" i="71"/>
  <c r="H613" i="71"/>
  <c r="H614" i="71"/>
  <c r="H615" i="71"/>
  <c r="H616" i="71"/>
  <c r="H617" i="71"/>
  <c r="H618" i="71"/>
  <c r="H619" i="71"/>
  <c r="H620" i="71"/>
  <c r="H621" i="71"/>
  <c r="H622" i="71"/>
  <c r="H623" i="71"/>
  <c r="H624" i="71"/>
  <c r="H625" i="71"/>
  <c r="H626" i="71"/>
  <c r="H627" i="71"/>
  <c r="H628" i="71"/>
  <c r="H629" i="71"/>
  <c r="H630" i="71"/>
  <c r="H631" i="71"/>
  <c r="H632" i="71"/>
  <c r="H633" i="71"/>
  <c r="H634" i="71"/>
  <c r="H635" i="71"/>
  <c r="H636" i="71"/>
  <c r="H637" i="71"/>
  <c r="H638" i="71"/>
  <c r="H639" i="71"/>
  <c r="H640" i="71"/>
  <c r="H641" i="71"/>
  <c r="H642" i="71"/>
  <c r="H643" i="71"/>
  <c r="H644" i="71"/>
  <c r="H645" i="71"/>
  <c r="H646" i="71"/>
  <c r="H647" i="71"/>
  <c r="H648" i="71"/>
  <c r="H649" i="71"/>
  <c r="H650" i="71"/>
  <c r="H651" i="71"/>
  <c r="H652" i="71"/>
  <c r="H653" i="71"/>
  <c r="H654" i="71"/>
  <c r="H655" i="71"/>
  <c r="H656" i="71"/>
  <c r="H657" i="71"/>
  <c r="H658" i="71"/>
  <c r="H659" i="71"/>
  <c r="H660" i="71"/>
  <c r="H661" i="71"/>
  <c r="H662" i="71"/>
  <c r="H663" i="71"/>
  <c r="H664" i="71"/>
  <c r="H665" i="71"/>
  <c r="H666" i="71"/>
  <c r="H667" i="71"/>
  <c r="H668" i="71"/>
  <c r="H669" i="71"/>
  <c r="H670" i="71"/>
  <c r="H671" i="71"/>
  <c r="H672" i="71"/>
  <c r="H673" i="71"/>
  <c r="H674" i="71"/>
  <c r="H675" i="71"/>
  <c r="H676" i="71"/>
  <c r="H677" i="71"/>
  <c r="H678" i="71"/>
  <c r="H679" i="71"/>
  <c r="H680" i="71"/>
  <c r="H681" i="71"/>
  <c r="H682" i="71"/>
  <c r="H683" i="71"/>
  <c r="H684" i="71"/>
  <c r="H685" i="71"/>
  <c r="H686" i="71"/>
  <c r="H687" i="71"/>
  <c r="H688" i="71"/>
  <c r="H689" i="71"/>
  <c r="H690" i="71"/>
  <c r="H691" i="71"/>
  <c r="H692" i="71"/>
  <c r="H693" i="71"/>
  <c r="H694" i="71"/>
  <c r="H695" i="71"/>
  <c r="H696" i="71"/>
  <c r="H697" i="71"/>
  <c r="H698" i="71"/>
  <c r="H699" i="71"/>
  <c r="H700" i="71"/>
  <c r="H701" i="71"/>
  <c r="H702" i="71"/>
  <c r="H703" i="71"/>
  <c r="H704" i="71"/>
  <c r="H705" i="71"/>
  <c r="H706" i="71"/>
  <c r="H707" i="71"/>
  <c r="H708" i="71"/>
  <c r="H709" i="71"/>
  <c r="H710" i="71"/>
  <c r="H711" i="71"/>
  <c r="H712" i="71"/>
  <c r="H713" i="71"/>
  <c r="H714" i="71"/>
  <c r="H715" i="71"/>
  <c r="H716" i="71"/>
  <c r="H717" i="71"/>
  <c r="H718" i="71"/>
  <c r="H719" i="71"/>
  <c r="H720" i="71"/>
  <c r="H721" i="71"/>
  <c r="H722" i="71"/>
  <c r="H723" i="71"/>
  <c r="H724" i="71"/>
  <c r="H725" i="71"/>
  <c r="H726" i="71"/>
  <c r="H727" i="71"/>
  <c r="H728" i="71"/>
  <c r="H729" i="71"/>
  <c r="H730" i="71"/>
  <c r="H731" i="71"/>
  <c r="H732" i="71"/>
  <c r="H733" i="71"/>
  <c r="H734" i="71"/>
  <c r="H735" i="71"/>
  <c r="H736" i="71"/>
  <c r="H737" i="71"/>
  <c r="H738" i="71"/>
  <c r="H739" i="71"/>
  <c r="H740" i="71"/>
  <c r="H741" i="71"/>
  <c r="H742" i="71"/>
  <c r="H743" i="71"/>
  <c r="H744" i="71"/>
  <c r="H745" i="71"/>
  <c r="H746" i="71"/>
  <c r="H747" i="71"/>
  <c r="H748" i="71"/>
  <c r="H749" i="71"/>
  <c r="H750" i="71"/>
  <c r="H751" i="71"/>
  <c r="H752" i="71"/>
  <c r="H753" i="71"/>
  <c r="H754" i="71"/>
  <c r="H755" i="71"/>
  <c r="H756" i="71"/>
  <c r="H757" i="71"/>
  <c r="H758" i="71"/>
  <c r="H759" i="71"/>
  <c r="H760" i="71"/>
  <c r="H761" i="71"/>
  <c r="H762" i="71"/>
  <c r="H763" i="71"/>
  <c r="H764" i="71"/>
  <c r="H765" i="71"/>
  <c r="H766" i="71"/>
  <c r="H767" i="71"/>
  <c r="H768" i="71"/>
  <c r="H769" i="71"/>
  <c r="H770" i="71"/>
  <c r="H771" i="71"/>
  <c r="H772" i="71"/>
  <c r="H773" i="71"/>
  <c r="H774" i="71"/>
  <c r="H775" i="71"/>
  <c r="H776" i="71"/>
  <c r="H777" i="71"/>
  <c r="H778" i="71"/>
  <c r="H779" i="71"/>
  <c r="H780" i="71"/>
  <c r="H781" i="71"/>
  <c r="H782" i="71"/>
  <c r="H783" i="71"/>
  <c r="H784" i="71"/>
  <c r="H785" i="71"/>
  <c r="H786" i="71"/>
  <c r="H787" i="71"/>
  <c r="H788" i="71"/>
  <c r="H789" i="71"/>
  <c r="H790" i="71"/>
  <c r="H791" i="71"/>
  <c r="H792" i="71"/>
  <c r="H27" i="71"/>
  <c r="E36" i="2172" s="1"/>
  <c r="H28" i="71"/>
  <c r="H12" i="71"/>
  <c r="E15" i="2172" s="1"/>
  <c r="H13" i="71"/>
  <c r="H14" i="71"/>
  <c r="E16" i="2172" s="1"/>
  <c r="H15" i="71"/>
  <c r="E17" i="2172" s="1"/>
  <c r="H16" i="71"/>
  <c r="E18" i="2172" s="1"/>
  <c r="H17" i="71"/>
  <c r="E19" i="2172" s="1"/>
  <c r="H18" i="71"/>
  <c r="E20" i="2172" s="1"/>
  <c r="H19" i="71"/>
  <c r="E21" i="2172" s="1"/>
  <c r="H20" i="71"/>
  <c r="E22" i="2172" s="1"/>
  <c r="H21" i="71"/>
  <c r="E24" i="2172" s="1"/>
  <c r="H22" i="71"/>
  <c r="E25" i="2172" s="1"/>
  <c r="H23" i="71"/>
  <c r="E27" i="2172" s="1"/>
  <c r="H24" i="71"/>
  <c r="E31" i="2172" s="1"/>
  <c r="H25" i="71"/>
  <c r="E32" i="2172" s="1"/>
  <c r="H26" i="71"/>
  <c r="E33" i="2172" s="1"/>
  <c r="H3" i="71"/>
  <c r="E3" i="2172" s="1"/>
  <c r="H4" i="71"/>
  <c r="E4" i="2172" s="1"/>
  <c r="H5" i="71"/>
  <c r="E6" i="2172" s="1"/>
  <c r="H6" i="71"/>
  <c r="E7" i="2172" s="1"/>
  <c r="H7" i="71"/>
  <c r="E8" i="2172" s="1"/>
  <c r="H8" i="71"/>
  <c r="E9" i="2172" s="1"/>
  <c r="H9" i="71"/>
  <c r="E10" i="2172" s="1"/>
  <c r="H10" i="71"/>
  <c r="E11" i="2172" s="1"/>
  <c r="H11" i="71"/>
  <c r="E14" i="2172" s="1"/>
  <c r="H2" i="71"/>
  <c r="E2" i="2172" s="1"/>
  <c r="C3" i="6"/>
  <c r="E3" i="6" s="1"/>
  <c r="B3" i="2196" s="1"/>
  <c r="N19" i="2196" s="1"/>
  <c r="O19" i="2196" s="1"/>
  <c r="C4" i="6"/>
  <c r="E4" i="6" s="1"/>
  <c r="B3" i="2208" s="1"/>
  <c r="C5" i="6"/>
  <c r="E5" i="6" s="1"/>
  <c r="B3" i="2189" s="1"/>
  <c r="N12" i="2189" s="1"/>
  <c r="C6" i="6"/>
  <c r="E6" i="6" s="1"/>
  <c r="F6" i="6" s="1"/>
  <c r="C7" i="6"/>
  <c r="E7" i="6" s="1"/>
  <c r="B3" i="2183" s="1"/>
  <c r="N10" i="2183" s="1"/>
  <c r="C8" i="6"/>
  <c r="E8" i="6" s="1"/>
  <c r="B3" i="2184" s="1"/>
  <c r="N14" i="2184" s="1"/>
  <c r="C9" i="6"/>
  <c r="E9" i="6" s="1"/>
  <c r="F9" i="6" s="1"/>
  <c r="C10" i="6"/>
  <c r="E10" i="6" s="1"/>
  <c r="F10" i="6" s="1"/>
  <c r="C11" i="6"/>
  <c r="E11" i="6" s="1"/>
  <c r="B3" i="2202" s="1"/>
  <c r="N12" i="2202" s="1"/>
  <c r="O12" i="2202" s="1"/>
  <c r="C12" i="6"/>
  <c r="E12" i="6" s="1"/>
  <c r="F12" i="6" s="1"/>
  <c r="C13" i="6"/>
  <c r="E13" i="6" s="1"/>
  <c r="B3" i="2198" s="1"/>
  <c r="N10" i="2198" s="1"/>
  <c r="O10" i="2198" s="1"/>
  <c r="C14" i="6"/>
  <c r="E14" i="6" s="1"/>
  <c r="B3" i="2197" s="1"/>
  <c r="N10" i="2197" s="1"/>
  <c r="O10" i="2197" s="1"/>
  <c r="C15" i="6"/>
  <c r="E15" i="6" s="1"/>
  <c r="B3" i="2201" s="1"/>
  <c r="N10" i="2201" s="1"/>
  <c r="O10" i="2201" s="1"/>
  <c r="C16" i="6"/>
  <c r="E16" i="6" s="1"/>
  <c r="B3" i="2180" s="1"/>
  <c r="N8" i="2180" s="1"/>
  <c r="C17" i="6"/>
  <c r="E17" i="6" s="1"/>
  <c r="B3" i="2192" s="1"/>
  <c r="N15" i="2192" s="1"/>
  <c r="O15" i="2192" s="1"/>
  <c r="C18" i="6"/>
  <c r="E18" i="6" s="1"/>
  <c r="F18" i="6" s="1"/>
  <c r="C19" i="6"/>
  <c r="E19" i="6" s="1"/>
  <c r="B3" i="2176" s="1"/>
  <c r="N15" i="2176" s="1"/>
  <c r="O15" i="2176" s="1"/>
  <c r="C20" i="6"/>
  <c r="E20" i="6" s="1"/>
  <c r="B3" i="2205" s="1"/>
  <c r="N16" i="2205" s="1"/>
  <c r="O16" i="2205" s="1"/>
  <c r="C21" i="6"/>
  <c r="E21" i="6" s="1"/>
  <c r="B3" i="2179" s="1"/>
  <c r="N18" i="2179" s="1"/>
  <c r="O18" i="2179" s="1"/>
  <c r="C22" i="6"/>
  <c r="E22" i="6" s="1"/>
  <c r="B3" i="2175" s="1"/>
  <c r="N17" i="2175" s="1"/>
  <c r="C23" i="6"/>
  <c r="E23" i="6" s="1"/>
  <c r="B3" i="2204" s="1"/>
  <c r="N8" i="2204" s="1"/>
  <c r="C24" i="6"/>
  <c r="E24" i="6" s="1"/>
  <c r="B3" i="2182" s="1"/>
  <c r="N10" i="2182" s="1"/>
  <c r="O10" i="2182" s="1"/>
  <c r="C25" i="6"/>
  <c r="E25" i="6" s="1"/>
  <c r="B3" i="2187" s="1"/>
  <c r="N17" i="2187" s="1"/>
  <c r="C26" i="6"/>
  <c r="E26" i="6" s="1"/>
  <c r="B3" i="2195" s="1"/>
  <c r="N21" i="2195" s="1"/>
  <c r="O21" i="2195" s="1"/>
  <c r="C27" i="6"/>
  <c r="E27" i="6" s="1"/>
  <c r="F27" i="6" s="1"/>
  <c r="C28" i="6"/>
  <c r="E28" i="6" s="1"/>
  <c r="B3" i="2186" s="1"/>
  <c r="N16" i="2186" s="1"/>
  <c r="O16" i="2186" s="1"/>
  <c r="C29" i="6"/>
  <c r="E29" i="6" s="1"/>
  <c r="B3" i="2181" s="1"/>
  <c r="N23" i="2181" s="1"/>
  <c r="O23" i="2181" s="1"/>
  <c r="C30" i="6"/>
  <c r="E30" i="6" s="1"/>
  <c r="B3" i="2200" s="1"/>
  <c r="N8" i="2200" s="1"/>
  <c r="C31" i="6"/>
  <c r="E31" i="6" s="1"/>
  <c r="B3" i="2193" s="1"/>
  <c r="N12" i="2193" s="1"/>
  <c r="C32" i="6"/>
  <c r="E32" i="6" s="1"/>
  <c r="F32" i="6" s="1"/>
  <c r="C33" i="6"/>
  <c r="E33" i="6" s="1"/>
  <c r="B3" i="2194" s="1"/>
  <c r="N11" i="2194" s="1"/>
  <c r="O11" i="2194" s="1"/>
  <c r="C34" i="6"/>
  <c r="E34" i="6" s="1"/>
  <c r="B3" i="2203" s="1"/>
  <c r="N8" i="2203" s="1"/>
  <c r="C35" i="6"/>
  <c r="E35" i="6" s="1"/>
  <c r="B3" i="2185" s="1"/>
  <c r="N14" i="2185" s="1"/>
  <c r="O14" i="2185" s="1"/>
  <c r="C36" i="6"/>
  <c r="E36" i="6" s="1"/>
  <c r="B3" i="2178" s="1"/>
  <c r="N12" i="2178" s="1"/>
  <c r="O12" i="2178" s="1"/>
  <c r="C37" i="6"/>
  <c r="E37" i="6" s="1"/>
  <c r="B3" i="2199" s="1"/>
  <c r="N20" i="2199" s="1"/>
  <c r="C38" i="6"/>
  <c r="E38" i="6" s="1"/>
  <c r="F38" i="6" s="1"/>
  <c r="C39" i="6"/>
  <c r="E39" i="6" s="1"/>
  <c r="F39" i="6" s="1"/>
  <c r="C40" i="6"/>
  <c r="E40" i="6" s="1"/>
  <c r="B3" i="2191" s="1"/>
  <c r="N9" i="2191" s="1"/>
  <c r="C41" i="6"/>
  <c r="E41" i="6" s="1"/>
  <c r="B3" i="2207" s="1"/>
  <c r="N8" i="2207" s="1"/>
  <c r="C2" i="6"/>
  <c r="E2" i="6" s="1"/>
  <c r="B3" i="2190" s="1"/>
  <c r="N12" i="2190" s="1"/>
  <c r="O12" i="2190" s="1"/>
  <c r="P25" i="2208" l="1"/>
  <c r="P24" i="2208"/>
  <c r="P23" i="2208"/>
  <c r="P22" i="2208"/>
  <c r="P21" i="2208"/>
  <c r="P20" i="2208"/>
  <c r="P19" i="2208"/>
  <c r="P18" i="2208"/>
  <c r="P15" i="2208"/>
  <c r="P14" i="2208"/>
  <c r="P13" i="2208"/>
  <c r="P11" i="2208"/>
  <c r="O8" i="2207"/>
  <c r="P8" i="2207"/>
  <c r="M42" i="2207"/>
  <c r="N9" i="2206"/>
  <c r="N12" i="2207"/>
  <c r="O12" i="2207" s="1"/>
  <c r="M30" i="2207"/>
  <c r="M32" i="2207" s="1"/>
  <c r="M34" i="2207" s="1"/>
  <c r="N13" i="2207"/>
  <c r="O13" i="2207" s="1"/>
  <c r="N14" i="2207"/>
  <c r="O14" i="2207" s="1"/>
  <c r="P15" i="2207"/>
  <c r="M44" i="2207"/>
  <c r="P10" i="2207"/>
  <c r="P13" i="2207"/>
  <c r="P12" i="2207"/>
  <c r="P9" i="2207"/>
  <c r="M35" i="2206"/>
  <c r="M23" i="2206"/>
  <c r="M25" i="2206" s="1"/>
  <c r="M27" i="2206" s="1"/>
  <c r="P8" i="2206"/>
  <c r="P9" i="2206" s="1"/>
  <c r="P10" i="2204"/>
  <c r="P14" i="2205"/>
  <c r="M39" i="2204"/>
  <c r="M41" i="2204" s="1"/>
  <c r="M43" i="2204" s="1"/>
  <c r="N18" i="2205"/>
  <c r="O18" i="2205" s="1"/>
  <c r="N19" i="2205"/>
  <c r="O19" i="2205" s="1"/>
  <c r="N8" i="2205"/>
  <c r="P8" i="2205" s="1"/>
  <c r="P20" i="2204"/>
  <c r="P9" i="2205"/>
  <c r="N20" i="2205"/>
  <c r="M37" i="2205"/>
  <c r="M39" i="2205" s="1"/>
  <c r="M41" i="2205" s="1"/>
  <c r="N21" i="2205"/>
  <c r="N10" i="2205"/>
  <c r="O10" i="2205" s="1"/>
  <c r="P22" i="2205"/>
  <c r="P21" i="2204"/>
  <c r="N11" i="2205"/>
  <c r="O11" i="2205" s="1"/>
  <c r="N12" i="2205"/>
  <c r="O12" i="2205" s="1"/>
  <c r="P13" i="2203"/>
  <c r="P13" i="2205"/>
  <c r="N15" i="2205"/>
  <c r="O15" i="2205" s="1"/>
  <c r="P17" i="2205"/>
  <c r="N9" i="2204"/>
  <c r="O9" i="2204" s="1"/>
  <c r="P16" i="2205"/>
  <c r="O8" i="2204"/>
  <c r="N22" i="2204"/>
  <c r="O22" i="2204" s="1"/>
  <c r="N11" i="2204"/>
  <c r="O11" i="2204" s="1"/>
  <c r="N12" i="2204"/>
  <c r="O12" i="2204" s="1"/>
  <c r="N9" i="2203"/>
  <c r="O9" i="2203" s="1"/>
  <c r="N13" i="2204"/>
  <c r="O13" i="2204" s="1"/>
  <c r="P24" i="2204"/>
  <c r="O13" i="2203"/>
  <c r="N14" i="2204"/>
  <c r="O14" i="2204" s="1"/>
  <c r="N15" i="2204"/>
  <c r="O15" i="2204" s="1"/>
  <c r="N16" i="2204"/>
  <c r="O16" i="2204" s="1"/>
  <c r="N17" i="2204"/>
  <c r="O17" i="2204" s="1"/>
  <c r="P18" i="2204"/>
  <c r="M53" i="2204"/>
  <c r="N19" i="2204"/>
  <c r="P9" i="2204"/>
  <c r="P8" i="2204"/>
  <c r="O8" i="2203"/>
  <c r="N10" i="2203"/>
  <c r="O10" i="2203" s="1"/>
  <c r="N11" i="2203"/>
  <c r="O11" i="2203" s="1"/>
  <c r="M32" i="2203"/>
  <c r="M34" i="2203" s="1"/>
  <c r="N8" i="2202"/>
  <c r="O8" i="2202" s="1"/>
  <c r="P14" i="2203"/>
  <c r="P9" i="2202"/>
  <c r="N15" i="2203"/>
  <c r="O15" i="2203" s="1"/>
  <c r="N21" i="2201"/>
  <c r="O21" i="2201" s="1"/>
  <c r="M44" i="2203"/>
  <c r="N12" i="2203"/>
  <c r="O12" i="2203" s="1"/>
  <c r="P8" i="2203"/>
  <c r="M39" i="2202"/>
  <c r="P20" i="2201"/>
  <c r="N10" i="2202"/>
  <c r="O10" i="2202" s="1"/>
  <c r="P24" i="2201"/>
  <c r="P11" i="2202"/>
  <c r="P10" i="2199"/>
  <c r="P25" i="2201"/>
  <c r="M41" i="2202"/>
  <c r="P18" i="2199"/>
  <c r="P8" i="2201"/>
  <c r="N11" i="2201"/>
  <c r="O11" i="2201" s="1"/>
  <c r="N12" i="2201"/>
  <c r="O12" i="2201" s="1"/>
  <c r="P8" i="2202"/>
  <c r="P12" i="2202"/>
  <c r="M42" i="2201"/>
  <c r="M44" i="2201" s="1"/>
  <c r="M46" i="2201" s="1"/>
  <c r="G4" i="2171"/>
  <c r="H4" i="2171" s="1"/>
  <c r="P13" i="2201"/>
  <c r="P13" i="2199"/>
  <c r="N15" i="2201"/>
  <c r="O15" i="2201" s="1"/>
  <c r="N26" i="2201"/>
  <c r="O26" i="2201" s="1"/>
  <c r="N14" i="2201"/>
  <c r="O14" i="2201" s="1"/>
  <c r="P16" i="2201"/>
  <c r="P27" i="2201"/>
  <c r="N17" i="2201"/>
  <c r="O17" i="2201" s="1"/>
  <c r="P16" i="2199"/>
  <c r="N18" i="2201"/>
  <c r="P17" i="2199"/>
  <c r="N19" i="2201"/>
  <c r="O19" i="2201" s="1"/>
  <c r="N22" i="2201"/>
  <c r="N9" i="2201"/>
  <c r="N23" i="2201"/>
  <c r="O23" i="2201" s="1"/>
  <c r="P10" i="2201"/>
  <c r="M35" i="2200"/>
  <c r="O8" i="2200"/>
  <c r="O9" i="2200" s="1"/>
  <c r="M17" i="2200" s="1"/>
  <c r="N9" i="2200"/>
  <c r="N8" i="2199"/>
  <c r="O13" i="2199"/>
  <c r="N9" i="2199"/>
  <c r="O9" i="2199" s="1"/>
  <c r="P24" i="2196"/>
  <c r="P11" i="2198"/>
  <c r="P8" i="2200"/>
  <c r="P9" i="2200" s="1"/>
  <c r="O20" i="2199"/>
  <c r="P20" i="2199"/>
  <c r="M37" i="2199"/>
  <c r="M39" i="2199" s="1"/>
  <c r="N11" i="2199"/>
  <c r="O11" i="2199" s="1"/>
  <c r="N12" i="2199"/>
  <c r="O12" i="2199" s="1"/>
  <c r="P17" i="2195"/>
  <c r="N12" i="2198"/>
  <c r="O12" i="2198" s="1"/>
  <c r="P23" i="2195"/>
  <c r="P14" i="2199"/>
  <c r="P15" i="2199"/>
  <c r="N13" i="2197"/>
  <c r="O13" i="2197" s="1"/>
  <c r="N15" i="2197"/>
  <c r="P15" i="2197" s="1"/>
  <c r="P19" i="2199"/>
  <c r="N16" i="2197"/>
  <c r="O16" i="2197" s="1"/>
  <c r="N13" i="2198"/>
  <c r="O13" i="2198" s="1"/>
  <c r="M33" i="2198"/>
  <c r="M35" i="2198" s="1"/>
  <c r="N14" i="2198"/>
  <c r="O14" i="2198" s="1"/>
  <c r="N15" i="2198"/>
  <c r="O15" i="2198" s="1"/>
  <c r="P18" i="2196"/>
  <c r="N16" i="2198"/>
  <c r="O17" i="2195"/>
  <c r="M45" i="2198"/>
  <c r="P22" i="2195"/>
  <c r="O23" i="2195"/>
  <c r="N8" i="2198"/>
  <c r="N9" i="2198"/>
  <c r="O9" i="2198" s="1"/>
  <c r="P10" i="2198"/>
  <c r="M33" i="2197"/>
  <c r="M35" i="2197" s="1"/>
  <c r="M37" i="2197" s="1"/>
  <c r="N14" i="2197"/>
  <c r="O14" i="2197" s="1"/>
  <c r="N22" i="2196"/>
  <c r="O22" i="2196" s="1"/>
  <c r="N17" i="2197"/>
  <c r="O17" i="2197" s="1"/>
  <c r="P18" i="2197"/>
  <c r="N8" i="2197"/>
  <c r="P10" i="2196"/>
  <c r="P11" i="2197"/>
  <c r="P11" i="2196"/>
  <c r="P12" i="2197"/>
  <c r="P10" i="2197"/>
  <c r="P9" i="2197"/>
  <c r="M39" i="2196"/>
  <c r="M41" i="2196" s="1"/>
  <c r="M43" i="2196" s="1"/>
  <c r="N20" i="2196"/>
  <c r="O20" i="2196" s="1"/>
  <c r="O22" i="2195"/>
  <c r="N21" i="2196"/>
  <c r="N23" i="2196"/>
  <c r="P24" i="2195"/>
  <c r="N12" i="2196"/>
  <c r="O12" i="2196" s="1"/>
  <c r="P13" i="2193"/>
  <c r="P14" i="2193"/>
  <c r="N13" i="2196"/>
  <c r="P9" i="2195"/>
  <c r="N14" i="2196"/>
  <c r="N15" i="2196"/>
  <c r="O15" i="2196" s="1"/>
  <c r="M53" i="2196"/>
  <c r="N16" i="2196"/>
  <c r="O16" i="2196" s="1"/>
  <c r="N17" i="2196"/>
  <c r="O17" i="2196" s="1"/>
  <c r="P12" i="2195"/>
  <c r="N13" i="2195"/>
  <c r="O13" i="2195" s="1"/>
  <c r="P14" i="2194"/>
  <c r="N8" i="2196"/>
  <c r="P8" i="2196" s="1"/>
  <c r="P15" i="2194"/>
  <c r="N9" i="2196"/>
  <c r="O9" i="2196" s="1"/>
  <c r="P19" i="2196"/>
  <c r="N11" i="2195"/>
  <c r="O11" i="2195" s="1"/>
  <c r="O14" i="2194"/>
  <c r="N14" i="2195"/>
  <c r="P15" i="2195"/>
  <c r="N25" i="2195"/>
  <c r="O25" i="2195" s="1"/>
  <c r="O13" i="2193"/>
  <c r="N16" i="2195"/>
  <c r="O16" i="2195" s="1"/>
  <c r="M54" i="2195"/>
  <c r="N18" i="2195"/>
  <c r="O18" i="2195" s="1"/>
  <c r="N19" i="2195"/>
  <c r="O19" i="2195" s="1"/>
  <c r="N20" i="2195"/>
  <c r="O20" i="2195" s="1"/>
  <c r="P10" i="2192"/>
  <c r="P10" i="2195"/>
  <c r="P21" i="2195"/>
  <c r="P8" i="2195"/>
  <c r="M31" i="2194"/>
  <c r="M33" i="2194" s="1"/>
  <c r="M35" i="2194" s="1"/>
  <c r="P10" i="2193"/>
  <c r="N13" i="2194"/>
  <c r="O13" i="2194" s="1"/>
  <c r="N12" i="2194"/>
  <c r="O12" i="2194" s="1"/>
  <c r="O14" i="2193"/>
  <c r="P9" i="2192"/>
  <c r="N9" i="2194"/>
  <c r="O9" i="2194" s="1"/>
  <c r="N10" i="2194"/>
  <c r="O10" i="2194" s="1"/>
  <c r="P16" i="2194"/>
  <c r="P11" i="2194"/>
  <c r="P8" i="2194"/>
  <c r="M33" i="2193"/>
  <c r="M35" i="2193" s="1"/>
  <c r="M37" i="2193" s="1"/>
  <c r="O12" i="2193"/>
  <c r="P12" i="2193"/>
  <c r="N12" i="2192"/>
  <c r="O12" i="2192" s="1"/>
  <c r="N15" i="2193"/>
  <c r="O15" i="2193" s="1"/>
  <c r="P13" i="2191"/>
  <c r="N16" i="2193"/>
  <c r="O16" i="2193" s="1"/>
  <c r="N17" i="2193"/>
  <c r="O17" i="2193" s="1"/>
  <c r="N18" i="2193"/>
  <c r="O18" i="2193" s="1"/>
  <c r="P14" i="2190"/>
  <c r="N9" i="2193"/>
  <c r="O9" i="2193" s="1"/>
  <c r="M47" i="2193"/>
  <c r="N11" i="2193"/>
  <c r="O11" i="2193" s="1"/>
  <c r="O10" i="2192"/>
  <c r="P8" i="2193"/>
  <c r="M42" i="2192"/>
  <c r="N10" i="2191"/>
  <c r="O10" i="2191" s="1"/>
  <c r="P22" i="2188"/>
  <c r="N11" i="2191"/>
  <c r="O11" i="2191" s="1"/>
  <c r="P11" i="2192"/>
  <c r="N12" i="2191"/>
  <c r="O12" i="2191" s="1"/>
  <c r="N13" i="2192"/>
  <c r="O13" i="2192" s="1"/>
  <c r="N14" i="2192"/>
  <c r="O14" i="2192" s="1"/>
  <c r="P16" i="2190"/>
  <c r="M44" i="2192"/>
  <c r="P8" i="2192"/>
  <c r="P15" i="2192"/>
  <c r="M40" i="2191"/>
  <c r="P9" i="2191"/>
  <c r="O9" i="2191"/>
  <c r="M28" i="2191"/>
  <c r="M30" i="2191" s="1"/>
  <c r="M32" i="2191" s="1"/>
  <c r="N18" i="2190"/>
  <c r="O18" i="2190" s="1"/>
  <c r="N17" i="2190"/>
  <c r="O17" i="2190" s="1"/>
  <c r="M42" i="2191"/>
  <c r="P8" i="2191"/>
  <c r="M39" i="2190"/>
  <c r="M41" i="2190" s="1"/>
  <c r="P20" i="2190"/>
  <c r="N19" i="2190"/>
  <c r="O19" i="2190" s="1"/>
  <c r="N8" i="2190"/>
  <c r="N21" i="2190"/>
  <c r="O21" i="2190" s="1"/>
  <c r="P10" i="2190"/>
  <c r="N11" i="2190"/>
  <c r="O11" i="2190" s="1"/>
  <c r="M51" i="2190"/>
  <c r="P13" i="2190"/>
  <c r="N11" i="2189"/>
  <c r="N13" i="2189" s="1"/>
  <c r="P12" i="2188"/>
  <c r="P15" i="2190"/>
  <c r="P22" i="2190"/>
  <c r="P12" i="2190"/>
  <c r="P9" i="2190"/>
  <c r="O12" i="2189"/>
  <c r="P12" i="2189"/>
  <c r="M27" i="2189"/>
  <c r="M29" i="2189" s="1"/>
  <c r="M31" i="2189" s="1"/>
  <c r="M39" i="2189"/>
  <c r="P10" i="2189"/>
  <c r="P19" i="2188"/>
  <c r="K29" i="2188"/>
  <c r="M41" i="2189"/>
  <c r="P8" i="2189"/>
  <c r="P9" i="2189"/>
  <c r="M37" i="2188"/>
  <c r="M39" i="2188" s="1"/>
  <c r="M41" i="2188" s="1"/>
  <c r="N8" i="2187"/>
  <c r="O8" i="2187" s="1"/>
  <c r="N9" i="2187"/>
  <c r="O9" i="2187" s="1"/>
  <c r="N18" i="2187"/>
  <c r="O18" i="2187" s="1"/>
  <c r="M51" i="2188"/>
  <c r="N19" i="2187"/>
  <c r="P13" i="2188"/>
  <c r="N22" i="2187"/>
  <c r="O22" i="2187" s="1"/>
  <c r="N23" i="2187"/>
  <c r="O23" i="2187" s="1"/>
  <c r="P15" i="2188"/>
  <c r="P9" i="2188"/>
  <c r="O17" i="2187"/>
  <c r="P17" i="2187"/>
  <c r="P10" i="2187"/>
  <c r="P20" i="2187"/>
  <c r="P17" i="2186"/>
  <c r="M39" i="2187"/>
  <c r="M41" i="2187" s="1"/>
  <c r="M43" i="2187" s="1"/>
  <c r="N18" i="2186"/>
  <c r="O18" i="2186" s="1"/>
  <c r="N19" i="2186"/>
  <c r="O19" i="2186" s="1"/>
  <c r="N11" i="2187"/>
  <c r="O11" i="2187" s="1"/>
  <c r="N21" i="2187"/>
  <c r="O21" i="2187" s="1"/>
  <c r="N12" i="2187"/>
  <c r="N24" i="2187"/>
  <c r="O24" i="2187" s="1"/>
  <c r="N13" i="2187"/>
  <c r="N14" i="2187"/>
  <c r="O14" i="2187" s="1"/>
  <c r="M53" i="2187"/>
  <c r="N15" i="2187"/>
  <c r="N16" i="2187"/>
  <c r="O16" i="2187" s="1"/>
  <c r="B3" i="2188"/>
  <c r="N21" i="2186"/>
  <c r="O21" i="2186" s="1"/>
  <c r="N9" i="2186"/>
  <c r="N10" i="2186"/>
  <c r="O10" i="2186" s="1"/>
  <c r="N11" i="2186"/>
  <c r="O11" i="2186" s="1"/>
  <c r="P22" i="2186"/>
  <c r="N13" i="2184"/>
  <c r="O13" i="2184" s="1"/>
  <c r="N12" i="2186"/>
  <c r="O12" i="2186" s="1"/>
  <c r="M37" i="2186"/>
  <c r="M39" i="2186" s="1"/>
  <c r="M41" i="2186" s="1"/>
  <c r="P13" i="2186"/>
  <c r="N20" i="2186"/>
  <c r="O20" i="2186" s="1"/>
  <c r="M51" i="2186"/>
  <c r="N8" i="2186"/>
  <c r="N15" i="2185"/>
  <c r="O15" i="2185" s="1"/>
  <c r="P14" i="2186"/>
  <c r="N16" i="2185"/>
  <c r="O16" i="2185" s="1"/>
  <c r="N17" i="2185"/>
  <c r="O17" i="2185" s="1"/>
  <c r="P18" i="2184"/>
  <c r="N18" i="2185"/>
  <c r="O18" i="2185" s="1"/>
  <c r="N15" i="2186"/>
  <c r="O15" i="2186" s="1"/>
  <c r="P16" i="2186"/>
  <c r="N12" i="2182"/>
  <c r="O12" i="2182" s="1"/>
  <c r="P13" i="2182"/>
  <c r="N19" i="2185"/>
  <c r="O19" i="2185" s="1"/>
  <c r="M38" i="2185"/>
  <c r="M40" i="2185" s="1"/>
  <c r="N20" i="2185"/>
  <c r="O20" i="2185" s="1"/>
  <c r="P13" i="2181"/>
  <c r="P17" i="2184"/>
  <c r="P8" i="2185"/>
  <c r="N16" i="2181"/>
  <c r="O16" i="2181" s="1"/>
  <c r="N21" i="2185"/>
  <c r="P16" i="2182"/>
  <c r="P19" i="2184"/>
  <c r="N9" i="2185"/>
  <c r="N21" i="2184"/>
  <c r="O21" i="2184" s="1"/>
  <c r="N10" i="2185"/>
  <c r="M50" i="2185"/>
  <c r="N22" i="2184"/>
  <c r="O22" i="2184" s="1"/>
  <c r="P8" i="2184"/>
  <c r="N11" i="2185"/>
  <c r="N9" i="2184"/>
  <c r="O9" i="2184" s="1"/>
  <c r="N12" i="2185"/>
  <c r="N11" i="2184"/>
  <c r="O11" i="2184" s="1"/>
  <c r="N13" i="2185"/>
  <c r="O13" i="2185" s="1"/>
  <c r="P12" i="2184"/>
  <c r="P14" i="2185"/>
  <c r="P14" i="2184"/>
  <c r="O14" i="2184"/>
  <c r="P15" i="2182"/>
  <c r="M39" i="2184"/>
  <c r="M41" i="2184" s="1"/>
  <c r="N11" i="2183"/>
  <c r="O11" i="2183" s="1"/>
  <c r="N12" i="2183"/>
  <c r="O12" i="2183" s="1"/>
  <c r="N20" i="2184"/>
  <c r="O20" i="2184" s="1"/>
  <c r="P15" i="2184"/>
  <c r="P22" i="2182"/>
  <c r="P16" i="2184"/>
  <c r="N23" i="2182"/>
  <c r="O23" i="2182" s="1"/>
  <c r="P13" i="2183"/>
  <c r="P11" i="2182"/>
  <c r="O8" i="2184"/>
  <c r="P22" i="2184"/>
  <c r="P10" i="2184"/>
  <c r="M43" i="2183"/>
  <c r="P10" i="2183"/>
  <c r="O10" i="2183"/>
  <c r="M33" i="2183"/>
  <c r="M35" i="2183" s="1"/>
  <c r="N14" i="2183"/>
  <c r="O14" i="2183" s="1"/>
  <c r="N14" i="2182"/>
  <c r="O14" i="2182" s="1"/>
  <c r="N15" i="2183"/>
  <c r="O15" i="2183" s="1"/>
  <c r="P24" i="2181"/>
  <c r="N16" i="2183"/>
  <c r="N28" i="2181"/>
  <c r="O28" i="2181" s="1"/>
  <c r="P19" i="2182"/>
  <c r="P9" i="2183"/>
  <c r="N11" i="2181"/>
  <c r="O11" i="2181" s="1"/>
  <c r="N12" i="2181"/>
  <c r="O12" i="2181" s="1"/>
  <c r="P9" i="2182"/>
  <c r="N20" i="2182"/>
  <c r="O20" i="2182" s="1"/>
  <c r="P10" i="2180"/>
  <c r="N21" i="2182"/>
  <c r="O21" i="2182" s="1"/>
  <c r="P8" i="2183"/>
  <c r="M42" i="2182"/>
  <c r="M44" i="2182" s="1"/>
  <c r="P20" i="2180"/>
  <c r="N17" i="2181"/>
  <c r="O17" i="2181" s="1"/>
  <c r="N24" i="2182"/>
  <c r="N25" i="2182"/>
  <c r="O25" i="2182" s="1"/>
  <c r="P21" i="2180"/>
  <c r="P16" i="2179"/>
  <c r="P22" i="2181"/>
  <c r="P17" i="2179"/>
  <c r="P17" i="2182"/>
  <c r="N8" i="2182"/>
  <c r="M54" i="2182"/>
  <c r="O9" i="2182"/>
  <c r="P18" i="2182"/>
  <c r="N25" i="2181"/>
  <c r="O25" i="2181" s="1"/>
  <c r="P26" i="2181"/>
  <c r="P9" i="2180"/>
  <c r="N27" i="2181"/>
  <c r="O27" i="2181" s="1"/>
  <c r="P10" i="2182"/>
  <c r="N14" i="2181"/>
  <c r="O14" i="2181" s="1"/>
  <c r="M43" i="2181"/>
  <c r="M45" i="2181" s="1"/>
  <c r="M47" i="2181" s="1"/>
  <c r="O9" i="2180"/>
  <c r="N18" i="2181"/>
  <c r="O18" i="2181" s="1"/>
  <c r="N11" i="2180"/>
  <c r="O11" i="2180" s="1"/>
  <c r="N19" i="2181"/>
  <c r="P10" i="2179"/>
  <c r="P12" i="2180"/>
  <c r="N20" i="2181"/>
  <c r="O20" i="2181" s="1"/>
  <c r="N8" i="2181"/>
  <c r="P21" i="2181"/>
  <c r="M57" i="2181"/>
  <c r="P9" i="2181"/>
  <c r="O17" i="2179"/>
  <c r="P10" i="2181"/>
  <c r="O21" i="2180"/>
  <c r="P23" i="2181"/>
  <c r="P15" i="2181"/>
  <c r="O8" i="2180"/>
  <c r="P8" i="2180"/>
  <c r="O16" i="2179"/>
  <c r="N19" i="2180"/>
  <c r="P14" i="2178"/>
  <c r="N13" i="2180"/>
  <c r="O13" i="2180" s="1"/>
  <c r="N14" i="2180"/>
  <c r="N15" i="2180"/>
  <c r="O15" i="2180" s="1"/>
  <c r="M50" i="2180"/>
  <c r="N16" i="2180"/>
  <c r="O16" i="2180" s="1"/>
  <c r="P17" i="2180"/>
  <c r="P18" i="2180"/>
  <c r="P14" i="2177"/>
  <c r="N9" i="2179"/>
  <c r="N19" i="2179"/>
  <c r="O19" i="2179" s="1"/>
  <c r="P15" i="2178"/>
  <c r="N21" i="2179"/>
  <c r="O21" i="2179" s="1"/>
  <c r="N11" i="2179"/>
  <c r="O11" i="2179" s="1"/>
  <c r="P17" i="2176"/>
  <c r="N12" i="2179"/>
  <c r="O12" i="2179" s="1"/>
  <c r="P13" i="2179"/>
  <c r="M50" i="2179"/>
  <c r="N13" i="2178"/>
  <c r="O13" i="2178" s="1"/>
  <c r="N14" i="2179"/>
  <c r="O14" i="2179" s="1"/>
  <c r="N8" i="2179"/>
  <c r="P15" i="2179"/>
  <c r="N20" i="2179"/>
  <c r="O20" i="2179" s="1"/>
  <c r="P18" i="2179"/>
  <c r="M43" i="2178"/>
  <c r="M33" i="2178"/>
  <c r="M35" i="2178" s="1"/>
  <c r="P16" i="2177"/>
  <c r="N8" i="2178"/>
  <c r="P9" i="2178"/>
  <c r="P18" i="2176"/>
  <c r="M45" i="2178"/>
  <c r="G35" i="2171"/>
  <c r="H35" i="2171" s="1"/>
  <c r="B4" i="2206" s="1"/>
  <c r="K33" i="2206" s="1"/>
  <c r="P22" i="2177"/>
  <c r="N10" i="2178"/>
  <c r="O10" i="2178" s="1"/>
  <c r="N16" i="2178"/>
  <c r="O16" i="2178" s="1"/>
  <c r="P11" i="2178"/>
  <c r="P12" i="2178"/>
  <c r="P15" i="2177"/>
  <c r="M53" i="2177"/>
  <c r="N16" i="2176"/>
  <c r="P18" i="2177"/>
  <c r="P8" i="2177"/>
  <c r="M33" i="2176"/>
  <c r="M35" i="2176" s="1"/>
  <c r="M37" i="2176" s="1"/>
  <c r="N8" i="2176"/>
  <c r="N9" i="2176"/>
  <c r="O9" i="2176" s="1"/>
  <c r="P10" i="2176"/>
  <c r="N11" i="2176"/>
  <c r="O11" i="2176" s="1"/>
  <c r="N12" i="2176"/>
  <c r="O12" i="2176" s="1"/>
  <c r="N14" i="2176"/>
  <c r="B3" i="2177"/>
  <c r="P15" i="2176"/>
  <c r="P13" i="2176"/>
  <c r="O17" i="2175"/>
  <c r="P17" i="2175"/>
  <c r="N18" i="2175"/>
  <c r="N9" i="2175"/>
  <c r="P10" i="2175"/>
  <c r="N19" i="2175"/>
  <c r="P11" i="2175"/>
  <c r="N20" i="2175"/>
  <c r="G19" i="2171"/>
  <c r="H19" i="2171" s="1"/>
  <c r="B4" i="2190" s="1"/>
  <c r="K47" i="2190" s="1"/>
  <c r="N12" i="2175"/>
  <c r="O12" i="2175" s="1"/>
  <c r="N13" i="2175"/>
  <c r="O13" i="2175" s="1"/>
  <c r="P14" i="2175"/>
  <c r="M49" i="2175"/>
  <c r="N15" i="2175"/>
  <c r="O15" i="2175" s="1"/>
  <c r="N16" i="2175"/>
  <c r="O16" i="2175" s="1"/>
  <c r="N8" i="2175"/>
  <c r="M35" i="2174"/>
  <c r="M37" i="2174"/>
  <c r="M23" i="2174"/>
  <c r="M25" i="2174" s="1"/>
  <c r="M27" i="2174" s="1"/>
  <c r="G17" i="2171"/>
  <c r="H17" i="2171" s="1"/>
  <c r="B4" i="2188" s="1"/>
  <c r="K47" i="2188" s="1"/>
  <c r="G11" i="2171"/>
  <c r="H11" i="2171" s="1"/>
  <c r="B4" i="2182" s="1"/>
  <c r="K50" i="2182" s="1"/>
  <c r="G3" i="2171"/>
  <c r="H3" i="2171" s="1"/>
  <c r="B4" i="2175" s="1"/>
  <c r="K45" i="2175" s="1"/>
  <c r="G13" i="2171"/>
  <c r="H13" i="2171" s="1"/>
  <c r="B4" i="2184" s="1"/>
  <c r="K47" i="2184" s="1"/>
  <c r="G27" i="2171"/>
  <c r="H27" i="2171" s="1"/>
  <c r="B4" i="2198" s="1"/>
  <c r="K41" i="2198" s="1"/>
  <c r="G30" i="2171"/>
  <c r="H30" i="2171" s="1"/>
  <c r="B4" i="2201" s="1"/>
  <c r="K52" i="2201" s="1"/>
  <c r="B3" i="2174"/>
  <c r="N8" i="2174" s="1"/>
  <c r="G23" i="2171"/>
  <c r="H23" i="2171" s="1"/>
  <c r="B4" i="2194" s="1"/>
  <c r="K41" i="2194" s="1"/>
  <c r="G36" i="2171"/>
  <c r="H36" i="2171" s="1"/>
  <c r="B4" i="2207" s="1"/>
  <c r="K40" i="2207" s="1"/>
  <c r="G18" i="2171"/>
  <c r="H18" i="2171" s="1"/>
  <c r="B4" i="2189" s="1"/>
  <c r="K37" i="2189" s="1"/>
  <c r="G37" i="2171"/>
  <c r="H37" i="2171" s="1"/>
  <c r="B4" i="2208" s="1"/>
  <c r="G7" i="2171"/>
  <c r="H7" i="2171" s="1"/>
  <c r="B4" i="2178" s="1"/>
  <c r="K41" i="2178" s="1"/>
  <c r="G31" i="2171"/>
  <c r="H31" i="2171" s="1"/>
  <c r="B4" i="2202" s="1"/>
  <c r="K37" i="2202" s="1"/>
  <c r="G32" i="2171"/>
  <c r="H32" i="2171" s="1"/>
  <c r="B4" i="2203" s="1"/>
  <c r="K40" i="2203" s="1"/>
  <c r="G22" i="2171"/>
  <c r="H22" i="2171" s="1"/>
  <c r="B4" i="2193" s="1"/>
  <c r="K43" i="2193" s="1"/>
  <c r="G2" i="2171"/>
  <c r="H2" i="2171" s="1"/>
  <c r="B4" i="2174" s="1"/>
  <c r="K33" i="2174" s="1"/>
  <c r="G8" i="2171"/>
  <c r="H8" i="2171" s="1"/>
  <c r="B4" i="2179" s="1"/>
  <c r="K46" i="2179" s="1"/>
  <c r="G12" i="2171"/>
  <c r="H12" i="2171" s="1"/>
  <c r="B4" i="2183" s="1"/>
  <c r="K41" i="2183" s="1"/>
  <c r="G5" i="2171"/>
  <c r="H5" i="2171" s="1"/>
  <c r="B4" i="2176" s="1"/>
  <c r="K43" i="2176" s="1"/>
  <c r="G25" i="2171"/>
  <c r="H25" i="2171" s="1"/>
  <c r="B4" i="2196" s="1"/>
  <c r="K49" i="2196" s="1"/>
  <c r="G14" i="2171"/>
  <c r="H14" i="2171" s="1"/>
  <c r="B4" i="2185" s="1"/>
  <c r="K46" i="2185" s="1"/>
  <c r="G15" i="2171"/>
  <c r="H15" i="2171" s="1"/>
  <c r="B4" i="2186" s="1"/>
  <c r="K47" i="2186" s="1"/>
  <c r="G6" i="2171"/>
  <c r="H6" i="2171" s="1"/>
  <c r="B4" i="2177" s="1"/>
  <c r="K49" i="2177" s="1"/>
  <c r="G16" i="2171"/>
  <c r="H16" i="2171" s="1"/>
  <c r="B4" i="2187" s="1"/>
  <c r="K49" i="2187" s="1"/>
  <c r="G10" i="2171"/>
  <c r="H10" i="2171" s="1"/>
  <c r="B4" i="2181" s="1"/>
  <c r="K53" i="2181" s="1"/>
  <c r="G21" i="2171"/>
  <c r="H21" i="2171" s="1"/>
  <c r="B4" i="2192" s="1"/>
  <c r="K40" i="2192" s="1"/>
  <c r="G26" i="2171"/>
  <c r="H26" i="2171" s="1"/>
  <c r="B4" i="2197" s="1"/>
  <c r="K43" i="2197" s="1"/>
  <c r="G9" i="2171"/>
  <c r="H9" i="2171" s="1"/>
  <c r="B4" i="2180" s="1"/>
  <c r="K46" i="2180" s="1"/>
  <c r="G24" i="2171"/>
  <c r="H24" i="2171" s="1"/>
  <c r="B4" i="2195" s="1"/>
  <c r="K50" i="2195" s="1"/>
  <c r="G34" i="2171"/>
  <c r="H34" i="2171" s="1"/>
  <c r="B4" i="2205" s="1"/>
  <c r="K47" i="2205" s="1"/>
  <c r="G20" i="2171"/>
  <c r="H20" i="2171" s="1"/>
  <c r="B4" i="2191" s="1"/>
  <c r="K38" i="2191" s="1"/>
  <c r="G33" i="2171"/>
  <c r="H33" i="2171" s="1"/>
  <c r="B4" i="2204" s="1"/>
  <c r="K49" i="2204" s="1"/>
  <c r="G29" i="2171"/>
  <c r="H29" i="2171" s="1"/>
  <c r="B4" i="2200" s="1"/>
  <c r="K33" i="2200" s="1"/>
  <c r="G28" i="2171"/>
  <c r="H28" i="2171" s="1"/>
  <c r="B4" i="2199" s="1"/>
  <c r="K45" i="2199" s="1"/>
  <c r="F19" i="6"/>
  <c r="F16" i="6"/>
  <c r="F20" i="6"/>
  <c r="F15" i="6"/>
  <c r="F2" i="6"/>
  <c r="F22" i="6"/>
  <c r="F21" i="6"/>
  <c r="F26" i="6"/>
  <c r="F40" i="6"/>
  <c r="F24" i="6"/>
  <c r="F41" i="6"/>
  <c r="F35" i="6"/>
  <c r="F14" i="6"/>
  <c r="F13" i="6"/>
  <c r="F25" i="6"/>
  <c r="F29" i="6"/>
  <c r="F31" i="6"/>
  <c r="F30" i="6"/>
  <c r="F17" i="6"/>
  <c r="F8" i="6"/>
  <c r="F28" i="6"/>
  <c r="F5" i="6"/>
  <c r="F34" i="6"/>
  <c r="F3" i="6"/>
  <c r="F33" i="6"/>
  <c r="F11" i="6"/>
  <c r="F4" i="6"/>
  <c r="F7" i="6"/>
  <c r="F37" i="6"/>
  <c r="F36" i="6"/>
  <c r="F23" i="6"/>
  <c r="P14" i="2207" l="1"/>
  <c r="P15" i="2205"/>
  <c r="N16" i="2207"/>
  <c r="P16" i="2207"/>
  <c r="O16" i="2207"/>
  <c r="M24" i="2207" s="1"/>
  <c r="P12" i="2201"/>
  <c r="P10" i="2205"/>
  <c r="M15" i="2206"/>
  <c r="M19" i="2206"/>
  <c r="M39" i="2206" s="1"/>
  <c r="M41" i="2206" s="1"/>
  <c r="P21" i="2201"/>
  <c r="P21" i="2205"/>
  <c r="O21" i="2205"/>
  <c r="P20" i="2205"/>
  <c r="O20" i="2205"/>
  <c r="P11" i="2205"/>
  <c r="P11" i="2204"/>
  <c r="P12" i="2205"/>
  <c r="O8" i="2205"/>
  <c r="O23" i="2205" s="1"/>
  <c r="M31" i="2205" s="1"/>
  <c r="N23" i="2205"/>
  <c r="P22" i="2204"/>
  <c r="P18" i="2205"/>
  <c r="M47" i="2205"/>
  <c r="M49" i="2205" s="1"/>
  <c r="P19" i="2205"/>
  <c r="P19" i="2204"/>
  <c r="O19" i="2204"/>
  <c r="O25" i="2204" s="1"/>
  <c r="M33" i="2204" s="1"/>
  <c r="P12" i="2204"/>
  <c r="P9" i="2203"/>
  <c r="P13" i="2204"/>
  <c r="P10" i="2203"/>
  <c r="P14" i="2204"/>
  <c r="N25" i="2204"/>
  <c r="P11" i="2203"/>
  <c r="P15" i="2204"/>
  <c r="P12" i="2203"/>
  <c r="P16" i="2204"/>
  <c r="P11" i="2201"/>
  <c r="P10" i="2202"/>
  <c r="P13" i="2202" s="1"/>
  <c r="P15" i="2203"/>
  <c r="P17" i="2204"/>
  <c r="M49" i="2204"/>
  <c r="M51" i="2204" s="1"/>
  <c r="N16" i="2203"/>
  <c r="O13" i="2202"/>
  <c r="M21" i="2202" s="1"/>
  <c r="O16" i="2203"/>
  <c r="M24" i="2203" s="1"/>
  <c r="M40" i="2203"/>
  <c r="M42" i="2203" s="1"/>
  <c r="P14" i="2201"/>
  <c r="P14" i="2198"/>
  <c r="N13" i="2202"/>
  <c r="N28" i="2201"/>
  <c r="O18" i="2201"/>
  <c r="P18" i="2201"/>
  <c r="P15" i="2198"/>
  <c r="P15" i="2201"/>
  <c r="P17" i="2201"/>
  <c r="P19" i="2201"/>
  <c r="P23" i="2201"/>
  <c r="P14" i="2197"/>
  <c r="P26" i="2201"/>
  <c r="P16" i="2197"/>
  <c r="P17" i="2197"/>
  <c r="O9" i="2201"/>
  <c r="P9" i="2201"/>
  <c r="O22" i="2201"/>
  <c r="P22" i="2201"/>
  <c r="M52" i="2201"/>
  <c r="M54" i="2201" s="1"/>
  <c r="M15" i="2200"/>
  <c r="M19" i="2200"/>
  <c r="M39" i="2200" s="1"/>
  <c r="M41" i="2200" s="1"/>
  <c r="P9" i="2199"/>
  <c r="P8" i="2199"/>
  <c r="O8" i="2199"/>
  <c r="O21" i="2199" s="1"/>
  <c r="M29" i="2199" s="1"/>
  <c r="P12" i="2199"/>
  <c r="P12" i="2198"/>
  <c r="P22" i="2196"/>
  <c r="P13" i="2198"/>
  <c r="P13" i="2197"/>
  <c r="N21" i="2199"/>
  <c r="O15" i="2197"/>
  <c r="P9" i="2196"/>
  <c r="P20" i="2196"/>
  <c r="P11" i="2199"/>
  <c r="M45" i="2199"/>
  <c r="M47" i="2199" s="1"/>
  <c r="O8" i="2198"/>
  <c r="P8" i="2198"/>
  <c r="N17" i="2198"/>
  <c r="P16" i="2198"/>
  <c r="O16" i="2198"/>
  <c r="P12" i="2196"/>
  <c r="P9" i="2198"/>
  <c r="M41" i="2198"/>
  <c r="M43" i="2198" s="1"/>
  <c r="O8" i="2197"/>
  <c r="N19" i="2197"/>
  <c r="P15" i="2196"/>
  <c r="P13" i="2195"/>
  <c r="M43" i="2197"/>
  <c r="M45" i="2197" s="1"/>
  <c r="P8" i="2197"/>
  <c r="O14" i="2196"/>
  <c r="P14" i="2196"/>
  <c r="O13" i="2196"/>
  <c r="P13" i="2196"/>
  <c r="P16" i="2196"/>
  <c r="P17" i="2196"/>
  <c r="P25" i="2195"/>
  <c r="O23" i="2196"/>
  <c r="P23" i="2196"/>
  <c r="O21" i="2196"/>
  <c r="P21" i="2196"/>
  <c r="P10" i="2194"/>
  <c r="M49" i="2196"/>
  <c r="M51" i="2196" s="1"/>
  <c r="O8" i="2196"/>
  <c r="N25" i="2196"/>
  <c r="P12" i="2194"/>
  <c r="P13" i="2194"/>
  <c r="P18" i="2185"/>
  <c r="P10" i="2191"/>
  <c r="O17" i="2194"/>
  <c r="M25" i="2194" s="1"/>
  <c r="P18" i="2190"/>
  <c r="N26" i="2195"/>
  <c r="P14" i="2195"/>
  <c r="O14" i="2195"/>
  <c r="O26" i="2195" s="1"/>
  <c r="M34" i="2195" s="1"/>
  <c r="P11" i="2195"/>
  <c r="P16" i="2195"/>
  <c r="P18" i="2195"/>
  <c r="M50" i="2195"/>
  <c r="M52" i="2195" s="1"/>
  <c r="P19" i="2195"/>
  <c r="P9" i="2194"/>
  <c r="P20" i="2195"/>
  <c r="P11" i="2191"/>
  <c r="O19" i="2193"/>
  <c r="M27" i="2193" s="1"/>
  <c r="N17" i="2194"/>
  <c r="M41" i="2194"/>
  <c r="M43" i="2194" s="1"/>
  <c r="N16" i="2192"/>
  <c r="N19" i="2193"/>
  <c r="O16" i="2192"/>
  <c r="M24" i="2192" s="1"/>
  <c r="P17" i="2190"/>
  <c r="P9" i="2193"/>
  <c r="N14" i="2191"/>
  <c r="P11" i="2193"/>
  <c r="P15" i="2193"/>
  <c r="P12" i="2192"/>
  <c r="P16" i="2193"/>
  <c r="P13" i="2192"/>
  <c r="P17" i="2193"/>
  <c r="P14" i="2192"/>
  <c r="P18" i="2193"/>
  <c r="M43" i="2193"/>
  <c r="M45" i="2193" s="1"/>
  <c r="P12" i="2191"/>
  <c r="O14" i="2191"/>
  <c r="M22" i="2191" s="1"/>
  <c r="P15" i="2186"/>
  <c r="P19" i="2190"/>
  <c r="P21" i="2190"/>
  <c r="O11" i="2189"/>
  <c r="O13" i="2189" s="1"/>
  <c r="M21" i="2189" s="1"/>
  <c r="P11" i="2189"/>
  <c r="P13" i="2189" s="1"/>
  <c r="O8" i="2190"/>
  <c r="O23" i="2190" s="1"/>
  <c r="M31" i="2190" s="1"/>
  <c r="N23" i="2190"/>
  <c r="P8" i="2190"/>
  <c r="P11" i="2190"/>
  <c r="M47" i="2190"/>
  <c r="M49" i="2190" s="1"/>
  <c r="P19" i="2185"/>
  <c r="P8" i="2187"/>
  <c r="P9" i="2187"/>
  <c r="O19" i="2187"/>
  <c r="P19" i="2187"/>
  <c r="P16" i="2181"/>
  <c r="P18" i="2186"/>
  <c r="P16" i="2187"/>
  <c r="P18" i="2187"/>
  <c r="P22" i="2187"/>
  <c r="P23" i="2187"/>
  <c r="N16" i="2188"/>
  <c r="N14" i="2188"/>
  <c r="N11" i="2188"/>
  <c r="N10" i="2188"/>
  <c r="N17" i="2188"/>
  <c r="N18" i="2188"/>
  <c r="N8" i="2188"/>
  <c r="N21" i="2188"/>
  <c r="N20" i="2188"/>
  <c r="M47" i="2188"/>
  <c r="M49" i="2188" s="1"/>
  <c r="P21" i="2182"/>
  <c r="P12" i="2187"/>
  <c r="O12" i="2187"/>
  <c r="P19" i="2186"/>
  <c r="P16" i="2180"/>
  <c r="P11" i="2187"/>
  <c r="P14" i="2187"/>
  <c r="P21" i="2187"/>
  <c r="P11" i="2186"/>
  <c r="P24" i="2187"/>
  <c r="N25" i="2187"/>
  <c r="M49" i="2187"/>
  <c r="M51" i="2187" s="1"/>
  <c r="O15" i="2187"/>
  <c r="P15" i="2187"/>
  <c r="O13" i="2187"/>
  <c r="P13" i="2187"/>
  <c r="P10" i="2186"/>
  <c r="P12" i="2186"/>
  <c r="P20" i="2185"/>
  <c r="O8" i="2186"/>
  <c r="N23" i="2186"/>
  <c r="O9" i="2186"/>
  <c r="P9" i="2186"/>
  <c r="P13" i="2185"/>
  <c r="P20" i="2186"/>
  <c r="P14" i="2181"/>
  <c r="P9" i="2184"/>
  <c r="P21" i="2186"/>
  <c r="P8" i="2186"/>
  <c r="M47" i="2186"/>
  <c r="M49" i="2186" s="1"/>
  <c r="P11" i="2176"/>
  <c r="P12" i="2182"/>
  <c r="P15" i="2185"/>
  <c r="P12" i="2176"/>
  <c r="P11" i="2184"/>
  <c r="P16" i="2185"/>
  <c r="P13" i="2184"/>
  <c r="P17" i="2185"/>
  <c r="O10" i="2185"/>
  <c r="P10" i="2185"/>
  <c r="O9" i="2185"/>
  <c r="P9" i="2185"/>
  <c r="O21" i="2185"/>
  <c r="P21" i="2185"/>
  <c r="P21" i="2184"/>
  <c r="O23" i="2184"/>
  <c r="M31" i="2184" s="1"/>
  <c r="P27" i="2181"/>
  <c r="N23" i="2184"/>
  <c r="O12" i="2185"/>
  <c r="P12" i="2185"/>
  <c r="O11" i="2185"/>
  <c r="P11" i="2185"/>
  <c r="M46" i="2185"/>
  <c r="M48" i="2185" s="1"/>
  <c r="N22" i="2185"/>
  <c r="P17" i="2181"/>
  <c r="P23" i="2182"/>
  <c r="P11" i="2183"/>
  <c r="M47" i="2184"/>
  <c r="M49" i="2184" s="1"/>
  <c r="P12" i="2183"/>
  <c r="P20" i="2184"/>
  <c r="P12" i="2181"/>
  <c r="P16" i="2183"/>
  <c r="O16" i="2183"/>
  <c r="O17" i="2183" s="1"/>
  <c r="M25" i="2183" s="1"/>
  <c r="P11" i="2181"/>
  <c r="N17" i="2183"/>
  <c r="P14" i="2182"/>
  <c r="P20" i="2182"/>
  <c r="P14" i="2183"/>
  <c r="P15" i="2183"/>
  <c r="P28" i="2181"/>
  <c r="O8" i="2182"/>
  <c r="N26" i="2182"/>
  <c r="P8" i="2182"/>
  <c r="P11" i="2180"/>
  <c r="P25" i="2181"/>
  <c r="P24" i="2182"/>
  <c r="O24" i="2182"/>
  <c r="P20" i="2179"/>
  <c r="P25" i="2182"/>
  <c r="M50" i="2182"/>
  <c r="M52" i="2182" s="1"/>
  <c r="O8" i="2181"/>
  <c r="P8" i="2181"/>
  <c r="N29" i="2181"/>
  <c r="P19" i="2181"/>
  <c r="O19" i="2181"/>
  <c r="P13" i="2180"/>
  <c r="P15" i="2180"/>
  <c r="P18" i="2181"/>
  <c r="P20" i="2181"/>
  <c r="P21" i="2179"/>
  <c r="M53" i="2181"/>
  <c r="M55" i="2181" s="1"/>
  <c r="P13" i="2178"/>
  <c r="P19" i="2180"/>
  <c r="O19" i="2180"/>
  <c r="N22" i="2180"/>
  <c r="O14" i="2180"/>
  <c r="P14" i="2180"/>
  <c r="M46" i="2180"/>
  <c r="M48" i="2180" s="1"/>
  <c r="P16" i="2178"/>
  <c r="P9" i="2179"/>
  <c r="O9" i="2179"/>
  <c r="O8" i="2179"/>
  <c r="N22" i="2179"/>
  <c r="P12" i="2179"/>
  <c r="P8" i="2179"/>
  <c r="P11" i="2179"/>
  <c r="P14" i="2179"/>
  <c r="M46" i="2179"/>
  <c r="M48" i="2179" s="1"/>
  <c r="P10" i="2178"/>
  <c r="P19" i="2179"/>
  <c r="O8" i="2178"/>
  <c r="O17" i="2178" s="1"/>
  <c r="M25" i="2178" s="1"/>
  <c r="N17" i="2178"/>
  <c r="P8" i="2178"/>
  <c r="N23" i="2177"/>
  <c r="N9" i="2177"/>
  <c r="N21" i="2177"/>
  <c r="N17" i="2177"/>
  <c r="N19" i="2177"/>
  <c r="N24" i="2177"/>
  <c r="N13" i="2177"/>
  <c r="N12" i="2177"/>
  <c r="N11" i="2177"/>
  <c r="N20" i="2177"/>
  <c r="N10" i="2177"/>
  <c r="M49" i="2177"/>
  <c r="M51" i="2177" s="1"/>
  <c r="P9" i="2176"/>
  <c r="O16" i="2176"/>
  <c r="P16" i="2176"/>
  <c r="O8" i="2176"/>
  <c r="N19" i="2176"/>
  <c r="P8" i="2176"/>
  <c r="O14" i="2176"/>
  <c r="P14" i="2176"/>
  <c r="M43" i="2176"/>
  <c r="M45" i="2176" s="1"/>
  <c r="O8" i="2175"/>
  <c r="N21" i="2175"/>
  <c r="P9" i="2175"/>
  <c r="O9" i="2175"/>
  <c r="P16" i="2175"/>
  <c r="M45" i="2175"/>
  <c r="M47" i="2175" s="1"/>
  <c r="O20" i="2175"/>
  <c r="P20" i="2175"/>
  <c r="P12" i="2175"/>
  <c r="O18" i="2175"/>
  <c r="P18" i="2175"/>
  <c r="P8" i="2175"/>
  <c r="P13" i="2175"/>
  <c r="P19" i="2175"/>
  <c r="O19" i="2175"/>
  <c r="P15" i="2175"/>
  <c r="P8" i="2174"/>
  <c r="P9" i="2174" s="1"/>
  <c r="N9" i="2174"/>
  <c r="O8" i="2174"/>
  <c r="O9" i="2174" s="1"/>
  <c r="M17" i="2174" s="1"/>
  <c r="M22" i="2207" l="1"/>
  <c r="M26" i="2207"/>
  <c r="M46" i="2207" s="1"/>
  <c r="M48" i="2207" s="1"/>
  <c r="P23" i="2205"/>
  <c r="M29" i="2205"/>
  <c r="M33" i="2205"/>
  <c r="M53" i="2205" s="1"/>
  <c r="M55" i="2205" s="1"/>
  <c r="P16" i="2203"/>
  <c r="M22" i="2203" s="1"/>
  <c r="P25" i="2204"/>
  <c r="M31" i="2204" s="1"/>
  <c r="M35" i="2204"/>
  <c r="M55" i="2204" s="1"/>
  <c r="M57" i="2204" s="1"/>
  <c r="M26" i="2203"/>
  <c r="M46" i="2203" s="1"/>
  <c r="M48" i="2203" s="1"/>
  <c r="M19" i="2202"/>
  <c r="M23" i="2202"/>
  <c r="M43" i="2202" s="1"/>
  <c r="M45" i="2202" s="1"/>
  <c r="P28" i="2201"/>
  <c r="O28" i="2201"/>
  <c r="M36" i="2201" s="1"/>
  <c r="P21" i="2199"/>
  <c r="M27" i="2199" s="1"/>
  <c r="P19" i="2197"/>
  <c r="O19" i="2197"/>
  <c r="M27" i="2197" s="1"/>
  <c r="P25" i="2196"/>
  <c r="M31" i="2196" s="1"/>
  <c r="O25" i="2196"/>
  <c r="M33" i="2196" s="1"/>
  <c r="P17" i="2198"/>
  <c r="O17" i="2198"/>
  <c r="M25" i="2198" s="1"/>
  <c r="P17" i="2194"/>
  <c r="M23" i="2194" s="1"/>
  <c r="P14" i="2191"/>
  <c r="M20" i="2191" s="1"/>
  <c r="P26" i="2195"/>
  <c r="M36" i="2195" s="1"/>
  <c r="M56" i="2195" s="1"/>
  <c r="M58" i="2195" s="1"/>
  <c r="P16" i="2192"/>
  <c r="M22" i="2192" s="1"/>
  <c r="P19" i="2193"/>
  <c r="M29" i="2193" s="1"/>
  <c r="M49" i="2193" s="1"/>
  <c r="M51" i="2193" s="1"/>
  <c r="M25" i="2193"/>
  <c r="M19" i="2189"/>
  <c r="M23" i="2189"/>
  <c r="M43" i="2189" s="1"/>
  <c r="M45" i="2189" s="1"/>
  <c r="P23" i="2190"/>
  <c r="O20" i="2188"/>
  <c r="P20" i="2188"/>
  <c r="O21" i="2188"/>
  <c r="P21" i="2188"/>
  <c r="O8" i="2188"/>
  <c r="N23" i="2188"/>
  <c r="P8" i="2188"/>
  <c r="O22" i="2180"/>
  <c r="M30" i="2180" s="1"/>
  <c r="O18" i="2188"/>
  <c r="P18" i="2188"/>
  <c r="O17" i="2188"/>
  <c r="P17" i="2188"/>
  <c r="O10" i="2188"/>
  <c r="P10" i="2188"/>
  <c r="O11" i="2188"/>
  <c r="P11" i="2188"/>
  <c r="O14" i="2188"/>
  <c r="P14" i="2188"/>
  <c r="O16" i="2188"/>
  <c r="P16" i="2188"/>
  <c r="P25" i="2187"/>
  <c r="M31" i="2187" s="1"/>
  <c r="O25" i="2187"/>
  <c r="M33" i="2187" s="1"/>
  <c r="P23" i="2186"/>
  <c r="M29" i="2186" s="1"/>
  <c r="P22" i="2185"/>
  <c r="M28" i="2185" s="1"/>
  <c r="O23" i="2186"/>
  <c r="M31" i="2186" s="1"/>
  <c r="P23" i="2184"/>
  <c r="M29" i="2184" s="1"/>
  <c r="O22" i="2185"/>
  <c r="M30" i="2185" s="1"/>
  <c r="P17" i="2183"/>
  <c r="M23" i="2183" s="1"/>
  <c r="O22" i="2179"/>
  <c r="M30" i="2179" s="1"/>
  <c r="P26" i="2182"/>
  <c r="O26" i="2182"/>
  <c r="M34" i="2182" s="1"/>
  <c r="P22" i="2180"/>
  <c r="P22" i="2179"/>
  <c r="P29" i="2181"/>
  <c r="O29" i="2181"/>
  <c r="M37" i="2181" s="1"/>
  <c r="P17" i="2178"/>
  <c r="M23" i="2178" s="1"/>
  <c r="P10" i="2177"/>
  <c r="O10" i="2177"/>
  <c r="O12" i="2177"/>
  <c r="P12" i="2177"/>
  <c r="O17" i="2177"/>
  <c r="P17" i="2177"/>
  <c r="O21" i="2177"/>
  <c r="P21" i="2177"/>
  <c r="O20" i="2177"/>
  <c r="P20" i="2177"/>
  <c r="O13" i="2177"/>
  <c r="P13" i="2177"/>
  <c r="O19" i="2177"/>
  <c r="P19" i="2177"/>
  <c r="O9" i="2177"/>
  <c r="P9" i="2177"/>
  <c r="N25" i="2177"/>
  <c r="O11" i="2177"/>
  <c r="P11" i="2177"/>
  <c r="O24" i="2177"/>
  <c r="P24" i="2177"/>
  <c r="O23" i="2177"/>
  <c r="P23" i="2177"/>
  <c r="P19" i="2176"/>
  <c r="O19" i="2176"/>
  <c r="M27" i="2176" s="1"/>
  <c r="P21" i="2175"/>
  <c r="O21" i="2175"/>
  <c r="M29" i="2175" s="1"/>
  <c r="M15" i="2174"/>
  <c r="M19" i="2174"/>
  <c r="M39" i="2174" s="1"/>
  <c r="M41" i="2174" s="1"/>
  <c r="M31" i="2199" l="1"/>
  <c r="M51" i="2199" s="1"/>
  <c r="M53" i="2199" s="1"/>
  <c r="M29" i="2197"/>
  <c r="M49" i="2197" s="1"/>
  <c r="M51" i="2197" s="1"/>
  <c r="M25" i="2197"/>
  <c r="M35" i="2196"/>
  <c r="M55" i="2196" s="1"/>
  <c r="M57" i="2196" s="1"/>
  <c r="M32" i="2195"/>
  <c r="M34" i="2201"/>
  <c r="M38" i="2201"/>
  <c r="M58" i="2201" s="1"/>
  <c r="M60" i="2201" s="1"/>
  <c r="M27" i="2194"/>
  <c r="M47" i="2194" s="1"/>
  <c r="M49" i="2194" s="1"/>
  <c r="M26" i="2192"/>
  <c r="M46" i="2192" s="1"/>
  <c r="M48" i="2192" s="1"/>
  <c r="M23" i="2198"/>
  <c r="M27" i="2198"/>
  <c r="M47" i="2198" s="1"/>
  <c r="M49" i="2198" s="1"/>
  <c r="M24" i="2191"/>
  <c r="M44" i="2191" s="1"/>
  <c r="M46" i="2191" s="1"/>
  <c r="M33" i="2184"/>
  <c r="M53" i="2184" s="1"/>
  <c r="M55" i="2184" s="1"/>
  <c r="M35" i="2187"/>
  <c r="M55" i="2187" s="1"/>
  <c r="M57" i="2187" s="1"/>
  <c r="M29" i="2190"/>
  <c r="M33" i="2190"/>
  <c r="M53" i="2190" s="1"/>
  <c r="M55" i="2190" s="1"/>
  <c r="M32" i="2180"/>
  <c r="M52" i="2180" s="1"/>
  <c r="M54" i="2180" s="1"/>
  <c r="M32" i="2179"/>
  <c r="M52" i="2179" s="1"/>
  <c r="M54" i="2179" s="1"/>
  <c r="P23" i="2188"/>
  <c r="M28" i="2180"/>
  <c r="O23" i="2188"/>
  <c r="M31" i="2188" s="1"/>
  <c r="M27" i="2183"/>
  <c r="M47" i="2183" s="1"/>
  <c r="M49" i="2183" s="1"/>
  <c r="M28" i="2179"/>
  <c r="M33" i="2186"/>
  <c r="M53" i="2186" s="1"/>
  <c r="M55" i="2186" s="1"/>
  <c r="M32" i="2185"/>
  <c r="M52" i="2185" s="1"/>
  <c r="M54" i="2185" s="1"/>
  <c r="M27" i="2178"/>
  <c r="M47" i="2178" s="1"/>
  <c r="M49" i="2178" s="1"/>
  <c r="M32" i="2182"/>
  <c r="M36" i="2182"/>
  <c r="M56" i="2182" s="1"/>
  <c r="M58" i="2182" s="1"/>
  <c r="M35" i="2181"/>
  <c r="M39" i="2181"/>
  <c r="M59" i="2181" s="1"/>
  <c r="M61" i="2181" s="1"/>
  <c r="O25" i="2177"/>
  <c r="M33" i="2177" s="1"/>
  <c r="P25" i="2177"/>
  <c r="M25" i="2176"/>
  <c r="M29" i="2176"/>
  <c r="M49" i="2176" s="1"/>
  <c r="M51" i="2176" s="1"/>
  <c r="M27" i="2175"/>
  <c r="M31" i="2175"/>
  <c r="M51" i="2175" s="1"/>
  <c r="M53" i="2175" s="1"/>
  <c r="M29" i="2188" l="1"/>
  <c r="M33" i="2188"/>
  <c r="M53" i="2188" s="1"/>
  <c r="M55" i="2188" s="1"/>
  <c r="M31" i="2177"/>
  <c r="M35" i="2177"/>
  <c r="M55" i="2177" s="1"/>
  <c r="M57" i="2177" s="1"/>
</calcChain>
</file>

<file path=xl/sharedStrings.xml><?xml version="1.0" encoding="utf-8"?>
<sst xmlns="http://schemas.openxmlformats.org/spreadsheetml/2006/main" count="8028" uniqueCount="1464">
  <si>
    <t>Control#</t>
  </si>
  <si>
    <t>Description</t>
  </si>
  <si>
    <t>Total</t>
  </si>
  <si>
    <t>8321C</t>
  </si>
  <si>
    <t>8321D</t>
  </si>
  <si>
    <t>Days</t>
  </si>
  <si>
    <t>HOUSE EMPLOYEE</t>
  </si>
  <si>
    <t>JOHN SINDONI</t>
  </si>
  <si>
    <t>CHRISTOPHER CALERO</t>
  </si>
  <si>
    <t>HUGO GONZALEZ</t>
  </si>
  <si>
    <t>DANIEL GARCIA</t>
  </si>
  <si>
    <t>RICARDO PEREZ</t>
  </si>
  <si>
    <t>JEAN FREZIN</t>
  </si>
  <si>
    <t>FREDDY JUAREZ</t>
  </si>
  <si>
    <t>MICHAEL LAZO</t>
  </si>
  <si>
    <t>JOVAN MANZANARES</t>
  </si>
  <si>
    <t>BRYAN ALTUNAGA</t>
  </si>
  <si>
    <t>CARLOS CORNIELES</t>
  </si>
  <si>
    <t>STEVEN SUAZO</t>
  </si>
  <si>
    <t>RAFAEL FIGUEREDO DE SANTIAGO</t>
  </si>
  <si>
    <t>BRIAN PERRI</t>
  </si>
  <si>
    <t>MAXIMILIANO TORIANO</t>
  </si>
  <si>
    <t>CARLOS DIAZ</t>
  </si>
  <si>
    <t>Lucas Bucci oddo</t>
  </si>
  <si>
    <t>Sergio Betancourt</t>
  </si>
  <si>
    <t>Armand Perrier</t>
  </si>
  <si>
    <t>Adam Partridge</t>
  </si>
  <si>
    <t>WEBER GUILBAUD</t>
  </si>
  <si>
    <t>GONZALO SOSA</t>
  </si>
  <si>
    <t>OMAR CRUZ</t>
  </si>
  <si>
    <t>PATRICK MCCLOSKEY</t>
  </si>
  <si>
    <t>MANUEL GINORI</t>
  </si>
  <si>
    <t>ALEX ENRIQUE PALACIOS</t>
  </si>
  <si>
    <t>FRANCISCO ERASMO LLANO</t>
  </si>
  <si>
    <t>FRANCESCO DIAZ</t>
  </si>
  <si>
    <t>ROBERT A HUNTER</t>
  </si>
  <si>
    <t>FRANK GARCIA ECHEMENDIA</t>
  </si>
  <si>
    <t>CHRISTOPHER DEAN MANNING</t>
  </si>
  <si>
    <t>PEDRO CANAS</t>
  </si>
  <si>
    <t>JORGE SUAREZ</t>
  </si>
  <si>
    <t>JAIME WEVER</t>
  </si>
  <si>
    <t>ALEJANDRO CESAR DE LA TERGA</t>
  </si>
  <si>
    <t>ANTHONY CERRUELA</t>
  </si>
  <si>
    <t>Date</t>
  </si>
  <si>
    <t>Reference#</t>
  </si>
  <si>
    <t>Salesperson#</t>
  </si>
  <si>
    <t>Salesperson Name</t>
  </si>
  <si>
    <t>Customer#</t>
  </si>
  <si>
    <t>Customer Name</t>
  </si>
  <si>
    <t>Prefix</t>
  </si>
  <si>
    <t>Stock#</t>
  </si>
  <si>
    <t>Sale Type</t>
  </si>
  <si>
    <t>COMMBL F&amp;I</t>
  </si>
  <si>
    <t>COMMBL FRONT</t>
  </si>
  <si>
    <t>Units</t>
  </si>
  <si>
    <t>Commission Amount</t>
  </si>
  <si>
    <t>BMNSLD</t>
  </si>
  <si>
    <t>FU67523</t>
  </si>
  <si>
    <t>25,BMW,I4,4DR M50 GRAN COUPE</t>
  </si>
  <si>
    <t>New</t>
  </si>
  <si>
    <t>8768A</t>
  </si>
  <si>
    <t>9330A</t>
  </si>
  <si>
    <t>NATALIE MARTINEZ SOSA</t>
  </si>
  <si>
    <t>1MNSLD</t>
  </si>
  <si>
    <t>25,BMW SAV,X2 28XI,4DR XDR 28I SAV</t>
  </si>
  <si>
    <t>MICHAEL GOMBOSH</t>
  </si>
  <si>
    <t>CU11970</t>
  </si>
  <si>
    <t>25,BMW,530I,4DR SDN 530I</t>
  </si>
  <si>
    <t>TANIA MAZZA-MARTINEZ</t>
  </si>
  <si>
    <t>BMNSD</t>
  </si>
  <si>
    <t>9Z56774</t>
  </si>
  <si>
    <t>25,BMW SAV,X3 30I,4DR 30I XDRIVE</t>
  </si>
  <si>
    <t>9Z56774A</t>
  </si>
  <si>
    <t>23,BMW,Z4,Z4</t>
  </si>
  <si>
    <t>STEPHANIE VOELL</t>
  </si>
  <si>
    <t>CT79197</t>
  </si>
  <si>
    <t>25,BMW,430I CPE,2DR 430I CPE</t>
  </si>
  <si>
    <t>ALLAN WEINSTEIN</t>
  </si>
  <si>
    <t>9Y67781</t>
  </si>
  <si>
    <t>25,BMW SAV,X5 50E XDR PLHY,4DR X5 XDR50E PLG</t>
  </si>
  <si>
    <t>9Y67781A</t>
  </si>
  <si>
    <t>18,LEXUS,NX,NX 300</t>
  </si>
  <si>
    <t>EDUARDO GAMARRA</t>
  </si>
  <si>
    <t>BMUSBD</t>
  </si>
  <si>
    <t>LBO9878</t>
  </si>
  <si>
    <t>22,BMW SAV,X4,XDRIVE30I SPORTS ACTIVITY COUPE</t>
  </si>
  <si>
    <t>Used</t>
  </si>
  <si>
    <t>SIXTO FERRO</t>
  </si>
  <si>
    <t>9Y58728</t>
  </si>
  <si>
    <t>25,BMW SAV,X7 40XI,4DR XDRIVE 40I</t>
  </si>
  <si>
    <t>PRISCILLA ESPINOZA</t>
  </si>
  <si>
    <t>9Z83659</t>
  </si>
  <si>
    <t>JORGE MILLER</t>
  </si>
  <si>
    <t>2W50541</t>
  </si>
  <si>
    <t>25,MINI,COOPER HARDTOP,2DR HB COOPER FWD</t>
  </si>
  <si>
    <t>9911A</t>
  </si>
  <si>
    <t>ACOSTA TRACTORS INC</t>
  </si>
  <si>
    <t>9Y07904</t>
  </si>
  <si>
    <t>25,BMW SAV,X5 M60,4DR M60I</t>
  </si>
  <si>
    <t>MAGIC PROFESSIONAL CLEANING SE</t>
  </si>
  <si>
    <t>8F18480</t>
  </si>
  <si>
    <t>25,BMW,230I CPE,2DR CPE 230I</t>
  </si>
  <si>
    <t>8F18480A</t>
  </si>
  <si>
    <t>24,BMW,I4 EDR35,i4</t>
  </si>
  <si>
    <t>CAMILA MARCOS</t>
  </si>
  <si>
    <t>CU62724</t>
  </si>
  <si>
    <t>25,BMW,430I CONV,2DR CONV</t>
  </si>
  <si>
    <t>NIURKA HERNANDEZ</t>
  </si>
  <si>
    <t>BMUSD</t>
  </si>
  <si>
    <t>9Z64921A</t>
  </si>
  <si>
    <t>22,BMW,X4,X4</t>
  </si>
  <si>
    <t>EDWARD COLINA</t>
  </si>
  <si>
    <t>CU64949</t>
  </si>
  <si>
    <t>25,BMW,M4 CPE,2DR CPE XDR COMP</t>
  </si>
  <si>
    <t>CU64949A</t>
  </si>
  <si>
    <t>24,BMW,8 SERIES,840 Gran Coupe</t>
  </si>
  <si>
    <t>REGLA SIBILA</t>
  </si>
  <si>
    <t>7R97318</t>
  </si>
  <si>
    <t>25,MINI,COUNTRYMN S AL4,4DR COOPER S ALL4</t>
  </si>
  <si>
    <t>RUDDY SANCHEZ</t>
  </si>
  <si>
    <t>7P95527</t>
  </si>
  <si>
    <t>7P95527A</t>
  </si>
  <si>
    <t>19,MINI,COUNTRYMAN,Countryman</t>
  </si>
  <si>
    <t>9381A</t>
  </si>
  <si>
    <t>JARED COHEN</t>
  </si>
  <si>
    <t>BMUSOD</t>
  </si>
  <si>
    <t>SA47433</t>
  </si>
  <si>
    <t>24,PORSCHE,TAYCAN,GTS AWD</t>
  </si>
  <si>
    <t>SA47433A</t>
  </si>
  <si>
    <t>23,FORD TRUCK,BRONCO,Bronco</t>
  </si>
  <si>
    <t>TERESITA RODRIGUEZ-OTERO</t>
  </si>
  <si>
    <t>7R89559</t>
  </si>
  <si>
    <t>JOSEPHINE NORRIS</t>
  </si>
  <si>
    <t>7R96530</t>
  </si>
  <si>
    <t>9669A</t>
  </si>
  <si>
    <t>HARESH RAJAN DASWANI</t>
  </si>
  <si>
    <t>9Z24710A</t>
  </si>
  <si>
    <t>21,MERCEDES LIGHT TRUCK,GLE,4DR AMG GLE63 S 4</t>
  </si>
  <si>
    <t>YOSELIN GUERRA</t>
  </si>
  <si>
    <t>2W85427</t>
  </si>
  <si>
    <t>25,MINI,COOPER HARD 4DR,4DR HB COOPER FWD</t>
  </si>
  <si>
    <t>ALEXANDRE ORTEGA EBOLI</t>
  </si>
  <si>
    <t>2W37646</t>
  </si>
  <si>
    <t>25,MINI,COOPER S HR 4DR,4DR HB COOPER S FWD</t>
  </si>
  <si>
    <t>LIZETTE ALVAREZ</t>
  </si>
  <si>
    <t>2W46484</t>
  </si>
  <si>
    <t>25,MINI,COOPER S HARDTP,2DR HB COOPER S FWD</t>
  </si>
  <si>
    <t>2W46484A</t>
  </si>
  <si>
    <t>23,MINI,HARDTOP,Hardtop</t>
  </si>
  <si>
    <t>9976A</t>
  </si>
  <si>
    <t>9462A</t>
  </si>
  <si>
    <t>9710A</t>
  </si>
  <si>
    <t>9154A</t>
  </si>
  <si>
    <t>9515A</t>
  </si>
  <si>
    <t>9669B</t>
  </si>
  <si>
    <t>9397A</t>
  </si>
  <si>
    <t>HECTOR PALOS JASSO</t>
  </si>
  <si>
    <t>CU73720</t>
  </si>
  <si>
    <t>25,BMW,M4 CPE,2DR CPE</t>
  </si>
  <si>
    <t>DANIEL JAMIN</t>
  </si>
  <si>
    <t>9L28986</t>
  </si>
  <si>
    <t>22,BMW SAV,X5,SDRIVE40I SPORTS ACTIVITY VEHIC</t>
  </si>
  <si>
    <t>MARIA DEL MAR FERNANDEZ CARBON</t>
  </si>
  <si>
    <t>9Z64921</t>
  </si>
  <si>
    <t>JUAN LANFRANCO</t>
  </si>
  <si>
    <t>8F24724</t>
  </si>
  <si>
    <t>25,BMW,330I SA,4DR SDN 330I</t>
  </si>
  <si>
    <t>8B20172A</t>
  </si>
  <si>
    <t>20,BMW,3-SERIES,330i</t>
  </si>
  <si>
    <t>CARLOS MORALES</t>
  </si>
  <si>
    <t>CU38395</t>
  </si>
  <si>
    <t>ROSIMARY GONZALEZ</t>
  </si>
  <si>
    <t>CT69970</t>
  </si>
  <si>
    <t>25,BMW,I5 EDRIVE 40,4DR SDN EDRIVE40</t>
  </si>
  <si>
    <t>CT69970A</t>
  </si>
  <si>
    <t>23,BMW,3-SERIES,330i</t>
  </si>
  <si>
    <t>JUNE FOYO-LORENZO</t>
  </si>
  <si>
    <t>CR05221</t>
  </si>
  <si>
    <t>24,BMW,I5 EDRIVE 40,4DR SDN EDRIVE40</t>
  </si>
  <si>
    <t>BRUNO RUFINO DA SILVA</t>
  </si>
  <si>
    <t>9Z27545</t>
  </si>
  <si>
    <t>9Z27545A</t>
  </si>
  <si>
    <t>22,BMW,X3,X3</t>
  </si>
  <si>
    <t>7012A</t>
  </si>
  <si>
    <t>LYNNE FLEXNER</t>
  </si>
  <si>
    <t>CU48855</t>
  </si>
  <si>
    <t>DANIELA VALENTIN TRAJANO</t>
  </si>
  <si>
    <t>9Z88207</t>
  </si>
  <si>
    <t>25,BMW SAV,X5 40SI,4DR SUV SDR40I</t>
  </si>
  <si>
    <t>9Z88207A</t>
  </si>
  <si>
    <t>21,MERCEDES-BENZ,C-CLASS,C 300 SEDAN</t>
  </si>
  <si>
    <t>ALEJANDRO CAMACHO</t>
  </si>
  <si>
    <t>9Z75215</t>
  </si>
  <si>
    <t>HANSEL HERNANDEZ SUAREZ</t>
  </si>
  <si>
    <t>CU78982</t>
  </si>
  <si>
    <t>CU78982A</t>
  </si>
  <si>
    <t>23,CHEVROLET,CORVETTE,Corvette Stingray</t>
  </si>
  <si>
    <t>YADIRA LOPEZ</t>
  </si>
  <si>
    <t>9Z76963</t>
  </si>
  <si>
    <t>9Z76963A</t>
  </si>
  <si>
    <t>22,INFINITI,QX60,QX60</t>
  </si>
  <si>
    <t>ROBERT SANFORD</t>
  </si>
  <si>
    <t>CU72294</t>
  </si>
  <si>
    <t>25,BMW,440I XDRIVE CPE,2DR CPE M440I XDR</t>
  </si>
  <si>
    <t>SHANNON DE PRADO</t>
  </si>
  <si>
    <t>CU85100</t>
  </si>
  <si>
    <t>MAXIMILIAN VALDES</t>
  </si>
  <si>
    <t>9Z82799</t>
  </si>
  <si>
    <t>ESTEBAN TRIPODI</t>
  </si>
  <si>
    <t>CU42503</t>
  </si>
  <si>
    <t>25,BMW SAV,IX,4DR SAV XDR50</t>
  </si>
  <si>
    <t>CU42503A</t>
  </si>
  <si>
    <t>23,BMW SAV,X5,X5 PHEV</t>
  </si>
  <si>
    <t>YADELYS DOMINGUEZ CANDELARIO</t>
  </si>
  <si>
    <t>9T57071</t>
  </si>
  <si>
    <t>24,BMW SAV,X3,M40I SPORTS ACTIVITY VEHICLE</t>
  </si>
  <si>
    <t>LIUBOV BLANCO</t>
  </si>
  <si>
    <t>9V17014A</t>
  </si>
  <si>
    <t>22,BMW SAV,X3,X3</t>
  </si>
  <si>
    <t>DIANA CASTANO</t>
  </si>
  <si>
    <t>9K94327</t>
  </si>
  <si>
    <t>9493A</t>
  </si>
  <si>
    <t>SHELIA O BRIEN SMITH</t>
  </si>
  <si>
    <t>CU40808A</t>
  </si>
  <si>
    <t>22,BMW,X5,X5</t>
  </si>
  <si>
    <t>CU40808B</t>
  </si>
  <si>
    <t>19,HONDA,CR-V,4DR 2WD TOURING</t>
  </si>
  <si>
    <t>STEFANO PULIGNANO</t>
  </si>
  <si>
    <t>8F32726</t>
  </si>
  <si>
    <t>25,BMW,M2 COUPE,2DR CPE</t>
  </si>
  <si>
    <t>MARK EBERLY</t>
  </si>
  <si>
    <t>8D77438</t>
  </si>
  <si>
    <t>23,BMW,3 SERIES,330I SEDAN</t>
  </si>
  <si>
    <t>8D77438A</t>
  </si>
  <si>
    <t>19,CHEVROLET TRUCK,COLORADO,Colorado</t>
  </si>
  <si>
    <t>MIGUEL DE GRANDY</t>
  </si>
  <si>
    <t>9L10917</t>
  </si>
  <si>
    <t>9L10917A</t>
  </si>
  <si>
    <t>18,BMW,5 SERIES,540I SEDAN</t>
  </si>
  <si>
    <t>CATHERINE ABELL</t>
  </si>
  <si>
    <t>9Z85031</t>
  </si>
  <si>
    <t>9Z85031A</t>
  </si>
  <si>
    <t>19,GMC,YUKON,Yukon</t>
  </si>
  <si>
    <t>ILYA KOZLOV</t>
  </si>
  <si>
    <t>JEFFERSON LEITE</t>
  </si>
  <si>
    <t>CU44566</t>
  </si>
  <si>
    <t>DAVID TAUBEN</t>
  </si>
  <si>
    <t>CU67806</t>
  </si>
  <si>
    <t>25,BMW,740I SEDAN,4DR SDN</t>
  </si>
  <si>
    <t>CU67806A</t>
  </si>
  <si>
    <t>20,CHEVROLET TRUCK,SUBURBAN,Suburban</t>
  </si>
  <si>
    <t>ALEC AMAR</t>
  </si>
  <si>
    <t>CU52700</t>
  </si>
  <si>
    <t>25,BMW,740I XDR SDN,4DR SDN 740I XDR</t>
  </si>
  <si>
    <t>PEDRO CIRERA</t>
  </si>
  <si>
    <t>LBO3116</t>
  </si>
  <si>
    <t>24,BMW SAV,X5,XDRIVE40I SPORTS ACTIVITY VEHIC</t>
  </si>
  <si>
    <t>DAVID BETTS</t>
  </si>
  <si>
    <t>7R16111</t>
  </si>
  <si>
    <t>24,BMW,228I GC,2DR 228I GRAN COUPE</t>
  </si>
  <si>
    <t>7R16111A</t>
  </si>
  <si>
    <t>13,BMW,5 SERIES GRAN T,5DR SDN 550I GT XDRV</t>
  </si>
  <si>
    <t>RICHARD NAZUR</t>
  </si>
  <si>
    <t>9Z74612</t>
  </si>
  <si>
    <t>25,BMW SAV,X6 60MI,4DR SPT CPE M60I</t>
  </si>
  <si>
    <t>COMANDO AUDIO INC.</t>
  </si>
  <si>
    <t>LBO7236</t>
  </si>
  <si>
    <t>22,BMW SAV,X6,XDRIVE40I SPORTS ACTIVITY COUPE</t>
  </si>
  <si>
    <t>MARY ERVIN</t>
  </si>
  <si>
    <t>CR78658</t>
  </si>
  <si>
    <t>24,BMW,530I,4DR SDN 530I</t>
  </si>
  <si>
    <t>9578A</t>
  </si>
  <si>
    <t>ROSELYN VERHELST</t>
  </si>
  <si>
    <t>9Z64689</t>
  </si>
  <si>
    <t>25,BMW SAV,X4 30XI,4DR 30I XDRIVE SPT</t>
  </si>
  <si>
    <t>9Z64689A</t>
  </si>
  <si>
    <t>20,BMW,3 SERIES,330i</t>
  </si>
  <si>
    <t>THOMAS PISZCZATOSKI</t>
  </si>
  <si>
    <t>9Z72970</t>
  </si>
  <si>
    <t>25,BMW SAV,X6 40XI,4DR SPT CPE XDR40I</t>
  </si>
  <si>
    <t>9Z72970A</t>
  </si>
  <si>
    <t>19,FORD TRUCK,F-150,F-150</t>
  </si>
  <si>
    <t>JACK TOLIN</t>
  </si>
  <si>
    <t>CU27098</t>
  </si>
  <si>
    <t>CU27098A</t>
  </si>
  <si>
    <t>23,BMW,4 SERIES,M440i</t>
  </si>
  <si>
    <t>DANIEL MAZANEC</t>
  </si>
  <si>
    <t>9Z92035</t>
  </si>
  <si>
    <t>ALAIN MAQUET</t>
  </si>
  <si>
    <t>1MNSD</t>
  </si>
  <si>
    <t>2X09899</t>
  </si>
  <si>
    <t>25,MINI,COOPER S CONV,2DR CNV COOPER S FWD</t>
  </si>
  <si>
    <t>2X09899A</t>
  </si>
  <si>
    <t>14,MINI,COOPER,2DR CONV S</t>
  </si>
  <si>
    <t>ANDRES OCHOA QUINTANA</t>
  </si>
  <si>
    <t>R073273</t>
  </si>
  <si>
    <t>23,MERCEDES-BENZ,C-CLASS,C 300 4MATIC SEDAN</t>
  </si>
  <si>
    <t>STEPHANIE SHEN</t>
  </si>
  <si>
    <t>9Z62370</t>
  </si>
  <si>
    <t>9Z62370A</t>
  </si>
  <si>
    <t>13,MERCEDES-BENZ,C-CLASS,4DR SDN C250</t>
  </si>
  <si>
    <t>HAILEY SANTANA</t>
  </si>
  <si>
    <t>7R62940</t>
  </si>
  <si>
    <t>PASTOR LOPEZ</t>
  </si>
  <si>
    <t>9Z77406</t>
  </si>
  <si>
    <t>LUIS MEDINA</t>
  </si>
  <si>
    <t>8F09491</t>
  </si>
  <si>
    <t>8F09491A</t>
  </si>
  <si>
    <t>MARCO LEYTE-VIDAL</t>
  </si>
  <si>
    <t>CU41117</t>
  </si>
  <si>
    <t>CU41117A</t>
  </si>
  <si>
    <t>20,BMW SAV,X7,X7</t>
  </si>
  <si>
    <t>9597A</t>
  </si>
  <si>
    <t>LUIS AGUIRRE</t>
  </si>
  <si>
    <t>LBO6582</t>
  </si>
  <si>
    <t>MICHAEL OLSEN</t>
  </si>
  <si>
    <t>LBO5238</t>
  </si>
  <si>
    <t>25,BMW,M4,COMPETITION XDRIVE COUPE</t>
  </si>
  <si>
    <t>EDUARDO TABAREZ RAMIREZ</t>
  </si>
  <si>
    <t>CU37956</t>
  </si>
  <si>
    <t>CU37956A</t>
  </si>
  <si>
    <t>25,BMW,X5,X5</t>
  </si>
  <si>
    <t>MISHELL OSPINA</t>
  </si>
  <si>
    <t>9Z78081</t>
  </si>
  <si>
    <t>9Z78081A</t>
  </si>
  <si>
    <t>ALEXIS ALVAREZ RODRIGUEZ</t>
  </si>
  <si>
    <t>WY46847</t>
  </si>
  <si>
    <t>25,BMW,Z4,2DR SDRV 30I RDSTR</t>
  </si>
  <si>
    <t>JESUS MEDINA</t>
  </si>
  <si>
    <t>9Z74514</t>
  </si>
  <si>
    <t>MLV MEDICAL SOLUTIONS, INC.</t>
  </si>
  <si>
    <t>9Z78087</t>
  </si>
  <si>
    <t>9Z78087A</t>
  </si>
  <si>
    <t>22,BMW SAV,X5,X5</t>
  </si>
  <si>
    <t>CARLOS SULBARAN PEREZ</t>
  </si>
  <si>
    <t>9Z76245</t>
  </si>
  <si>
    <t>MARIA CHAVIRA DE MORENO</t>
  </si>
  <si>
    <t>9R47176</t>
  </si>
  <si>
    <t>23,BMW SAV,X5,SDRIVE40I SPORTS ACTIVITY VEHIC</t>
  </si>
  <si>
    <t>MYRNA PEREDA</t>
  </si>
  <si>
    <t>9Z08038</t>
  </si>
  <si>
    <t>TONI BENNETT</t>
  </si>
  <si>
    <t>9Z72095</t>
  </si>
  <si>
    <t>CHRISTOPHER STAPLETON</t>
  </si>
  <si>
    <t>9Z60498</t>
  </si>
  <si>
    <t>25,BMW SAV,X5 M,4DR AWD COMPETITION</t>
  </si>
  <si>
    <t>9Z60498A</t>
  </si>
  <si>
    <t>23,BMW,X5,X5</t>
  </si>
  <si>
    <t>IVETTE LEE</t>
  </si>
  <si>
    <t>5W55177</t>
  </si>
  <si>
    <t>23,BMW SAV,X1,XDRIVE28I SPORTS ACTIVITY VEHIC</t>
  </si>
  <si>
    <t>9525A</t>
  </si>
  <si>
    <t>BIANCA PEREIRA DIAZ</t>
  </si>
  <si>
    <t>8F22741</t>
  </si>
  <si>
    <t>8F22741A</t>
  </si>
  <si>
    <t>19,BMW SAV,X3,SDRIVE30I SPORTS ACTIVITY VEHIC</t>
  </si>
  <si>
    <t>DANIELA FERNANDEZ</t>
  </si>
  <si>
    <t>CU59011</t>
  </si>
  <si>
    <t>MAURICIO RESTREPO</t>
  </si>
  <si>
    <t>9Z77461</t>
  </si>
  <si>
    <t>BRITTNY FREIRE GARCIA</t>
  </si>
  <si>
    <t>CU55472</t>
  </si>
  <si>
    <t>CU55472A</t>
  </si>
  <si>
    <t>ERNESTO PEREZ</t>
  </si>
  <si>
    <t>9Z77550</t>
  </si>
  <si>
    <t>9Z77550A</t>
  </si>
  <si>
    <t>17,VOLKSWAGEN,GOLF ALLTRACK,1.8T S DSG</t>
  </si>
  <si>
    <t>JOEL GONZALEZ</t>
  </si>
  <si>
    <t>FU76011</t>
  </si>
  <si>
    <t>25,BMW,I4 EDR 40,4DR EDRIVE40 GRAN CP</t>
  </si>
  <si>
    <t>FU76011A</t>
  </si>
  <si>
    <t>JAVIER LUIS</t>
  </si>
  <si>
    <t>9Z72905</t>
  </si>
  <si>
    <t>ANDRES MORALES</t>
  </si>
  <si>
    <t>LBO5562</t>
  </si>
  <si>
    <t>22,BMW,5 SERIES,540I SEDAN</t>
  </si>
  <si>
    <t>YSBEL MEDINA SANTOS</t>
  </si>
  <si>
    <t>9Z90612</t>
  </si>
  <si>
    <t>25,BMW SAV,X6 M,4DR SPORT ACT CPE</t>
  </si>
  <si>
    <t>9Z90612A</t>
  </si>
  <si>
    <t>22,LAND ROVER,RANGE ROVER SPO,4DR SUV SC V8</t>
  </si>
  <si>
    <t>JEFFREY DAVID</t>
  </si>
  <si>
    <t>8F36540</t>
  </si>
  <si>
    <t>25,BMW,M240I,2DR CPE M240I</t>
  </si>
  <si>
    <t>DAVID CALZADILLA</t>
  </si>
  <si>
    <t>9Z88582</t>
  </si>
  <si>
    <t>BEATRIZ NIEBLA</t>
  </si>
  <si>
    <t>CU63517</t>
  </si>
  <si>
    <t>RAUL HERNANDEZ</t>
  </si>
  <si>
    <t>OCS66984</t>
  </si>
  <si>
    <t>RAMON PEREZ</t>
  </si>
  <si>
    <t>8F21521</t>
  </si>
  <si>
    <t>8F21521A</t>
  </si>
  <si>
    <t>17,CHEVROLET TRUCK,SILVERADO 1500,Silverado 1</t>
  </si>
  <si>
    <t>GLADYS CHAMORRO</t>
  </si>
  <si>
    <t>CU10859</t>
  </si>
  <si>
    <t>CU10859A</t>
  </si>
  <si>
    <t>19,INFINITI,QX60,QX60</t>
  </si>
  <si>
    <t>MADELINE FEINBERG</t>
  </si>
  <si>
    <t>FU73023</t>
  </si>
  <si>
    <t>9617A</t>
  </si>
  <si>
    <t>JORGE NOTNI</t>
  </si>
  <si>
    <t>9Y75405</t>
  </si>
  <si>
    <t>9Y75405A</t>
  </si>
  <si>
    <t>23,MERCEDES LIGHT TRUCK,GLC,AMG GLC 43 4MATIC</t>
  </si>
  <si>
    <t>MARIA MCCONNELL SOTO</t>
  </si>
  <si>
    <t>9Z67750</t>
  </si>
  <si>
    <t>9Z67750A</t>
  </si>
  <si>
    <t>21,AUDI,Q3,4DR 45 S LINE TFSI Q</t>
  </si>
  <si>
    <t>LOIPA FERNANDEZ</t>
  </si>
  <si>
    <t>9Z57058</t>
  </si>
  <si>
    <t>MARIA TARRAU</t>
  </si>
  <si>
    <t>CU37478</t>
  </si>
  <si>
    <t>CU37478A</t>
  </si>
  <si>
    <t>24,BMW,I4,i4</t>
  </si>
  <si>
    <t>LINDA SPRINGER</t>
  </si>
  <si>
    <t>9Z44236</t>
  </si>
  <si>
    <t>9Z44236A</t>
  </si>
  <si>
    <t>19,MASERATI,LEVANTE,4DR GRANLUSSO</t>
  </si>
  <si>
    <t>STEPHANIE FERRER</t>
  </si>
  <si>
    <t>9Z55868</t>
  </si>
  <si>
    <t>SABRINA GONZALEZ</t>
  </si>
  <si>
    <t>CU32765</t>
  </si>
  <si>
    <t>CU32765A</t>
  </si>
  <si>
    <t>16,DODGE,DART,4DR SDN SXT *LTD AVAIL*</t>
  </si>
  <si>
    <t>WILMER MILLA VASCONCELLOS</t>
  </si>
  <si>
    <t>9Z38712</t>
  </si>
  <si>
    <t>25,BMW SAV,X3 M50I,4DR M40I</t>
  </si>
  <si>
    <t>9Z38712A</t>
  </si>
  <si>
    <t>MICHAEL HUFFAKER</t>
  </si>
  <si>
    <t>9Y60421A</t>
  </si>
  <si>
    <t>24,AUDI,RS Q8,4.0 TFSI QUATTRO</t>
  </si>
  <si>
    <t>LEYLA HERNANDEZ</t>
  </si>
  <si>
    <t>9Z91079</t>
  </si>
  <si>
    <t>DIEGO HINESTROSA MANRIQUE</t>
  </si>
  <si>
    <t>9Z82226</t>
  </si>
  <si>
    <t>DANIA LIMA</t>
  </si>
  <si>
    <t>O9W75518</t>
  </si>
  <si>
    <t>RIGOBERTO JIMENEZ DEL SOL</t>
  </si>
  <si>
    <t>9Z75560</t>
  </si>
  <si>
    <t>9Z75560A</t>
  </si>
  <si>
    <t>23,BMW,X5,SDRIVE40I SPORTS ACTIVITY VEHICLE</t>
  </si>
  <si>
    <t>9680A</t>
  </si>
  <si>
    <t>EDWARD PETERSON</t>
  </si>
  <si>
    <t>FU70468</t>
  </si>
  <si>
    <t>FU70468A</t>
  </si>
  <si>
    <t>20,VOLVO,S60,T6 AWD R-DESIGN</t>
  </si>
  <si>
    <t>JEAN-PAUL HART</t>
  </si>
  <si>
    <t>8E13570</t>
  </si>
  <si>
    <t>24,BMW,3 SERIES,330I SEDAN</t>
  </si>
  <si>
    <t>8E13570A</t>
  </si>
  <si>
    <t>22,HONDA,CIVIC SEDAN,TOURING CVT</t>
  </si>
  <si>
    <t>EFRAIN CARMONA</t>
  </si>
  <si>
    <t>CU40751</t>
  </si>
  <si>
    <t>25,BMW,M850 I XDR CNV,2DR CNV M850I XDR</t>
  </si>
  <si>
    <t>CU40751A</t>
  </si>
  <si>
    <t>8797A</t>
  </si>
  <si>
    <t>PABLO CEJAS</t>
  </si>
  <si>
    <t>8F23708</t>
  </si>
  <si>
    <t>25,BMW,M340I NA,4DR M340I SDN</t>
  </si>
  <si>
    <t>8797AA</t>
  </si>
  <si>
    <t>POWER HOODS &amp; RESTAURANTS EQUI</t>
  </si>
  <si>
    <t>CT60936</t>
  </si>
  <si>
    <t>25,BMW,I7,4DR SDN XDRIVE60</t>
  </si>
  <si>
    <t>ALIUSKA DABALSA</t>
  </si>
  <si>
    <t>8F22902</t>
  </si>
  <si>
    <t>SABRINA ARAQUE</t>
  </si>
  <si>
    <t>7R41039</t>
  </si>
  <si>
    <t>YORDAN RIVERO</t>
  </si>
  <si>
    <t>9Z82299</t>
  </si>
  <si>
    <t>SORAYA BATISTA-GARCIA</t>
  </si>
  <si>
    <t>CU14467</t>
  </si>
  <si>
    <t>JOSE ZAYAS</t>
  </si>
  <si>
    <t>9Z88472</t>
  </si>
  <si>
    <t>9Z88472A</t>
  </si>
  <si>
    <t>23,BMW,4-SERIES,M440i</t>
  </si>
  <si>
    <t>INGRID SABOGAL</t>
  </si>
  <si>
    <t>8F25195A</t>
  </si>
  <si>
    <t>21,BMW,3 SERIES,330i</t>
  </si>
  <si>
    <t>DAVID MCDEVITT</t>
  </si>
  <si>
    <t>CU43105</t>
  </si>
  <si>
    <t>25,BMW,540I XDRIVE,4DR SDN 540I XDRIVE</t>
  </si>
  <si>
    <t>OLEG KOVALENKO</t>
  </si>
  <si>
    <t>8F25195</t>
  </si>
  <si>
    <t>SALIM DAHER</t>
  </si>
  <si>
    <t>9Z64687</t>
  </si>
  <si>
    <t>RENZO RODRIGUEZ</t>
  </si>
  <si>
    <t>FT94260</t>
  </si>
  <si>
    <t>FT94260A</t>
  </si>
  <si>
    <t>KAZO MENTAL HEALTH LLC</t>
  </si>
  <si>
    <t>FU57228</t>
  </si>
  <si>
    <t>25,BMW,430I GC,4DR SDN 430I GRAN CP</t>
  </si>
  <si>
    <t>FU57228A</t>
  </si>
  <si>
    <t>22,BMW,3-SERIES,330i</t>
  </si>
  <si>
    <t>RAFAEL ARANEDA MATURANA</t>
  </si>
  <si>
    <t>7R19448</t>
  </si>
  <si>
    <t>7R19448A</t>
  </si>
  <si>
    <t>17,MINI,COOPER,COOPER S FWD</t>
  </si>
  <si>
    <t>LEIDY BONILLA</t>
  </si>
  <si>
    <t>9Z70875</t>
  </si>
  <si>
    <t>VANESSA KNAPP</t>
  </si>
  <si>
    <t>9Z55811</t>
  </si>
  <si>
    <t>A+ INSURANCE GROUP COMPANY</t>
  </si>
  <si>
    <t>9Z77120</t>
  </si>
  <si>
    <t>RAMIRO PEREZ</t>
  </si>
  <si>
    <t>CU38938</t>
  </si>
  <si>
    <t>CU38938A</t>
  </si>
  <si>
    <t>22,BMW,X5 SDRIVE 40I,X5</t>
  </si>
  <si>
    <t>MELKI KO</t>
  </si>
  <si>
    <t>CU60784</t>
  </si>
  <si>
    <t>25,BMW,M5 SEDAN,4DR SDN</t>
  </si>
  <si>
    <t>NIEVES FERNANDEZ MARISTAN</t>
  </si>
  <si>
    <t>9Z88384</t>
  </si>
  <si>
    <t>9Z88384A</t>
  </si>
  <si>
    <t>21,MERCEDES LIGHT TRUCK,GLC,GLC 300 SUV</t>
  </si>
  <si>
    <t>JULIANA HENAO</t>
  </si>
  <si>
    <t>CU68107</t>
  </si>
  <si>
    <t>9830A</t>
  </si>
  <si>
    <t>RICARDO CAMPODONICO</t>
  </si>
  <si>
    <t>25,BMW SAV,X1 28XI,4DR SUV XDR28I</t>
  </si>
  <si>
    <t>LAZARO OLANO</t>
  </si>
  <si>
    <t>CS46983A</t>
  </si>
  <si>
    <t>CS46983B</t>
  </si>
  <si>
    <t>19,BMW,5-SERIES,530i</t>
  </si>
  <si>
    <t>9848A</t>
  </si>
  <si>
    <t>ALBERTO SARDUY PEREZ</t>
  </si>
  <si>
    <t>9Z46093A</t>
  </si>
  <si>
    <t>23,BMW SAV,X6 XDRIVE 40I,X6</t>
  </si>
  <si>
    <t>CARMEN RODRIGUEZ</t>
  </si>
  <si>
    <t>N254975</t>
  </si>
  <si>
    <t>24,BMW SAV,X3,XDRIVE30I SPORTS ACTIVITY VEHIC</t>
  </si>
  <si>
    <t>N254975A</t>
  </si>
  <si>
    <t>19,BMW,X5,X5</t>
  </si>
  <si>
    <t>RUSSELL BENFORD</t>
  </si>
  <si>
    <t>I087960</t>
  </si>
  <si>
    <t>22,MERCEDES-BENZ,E-CLASS,AMG E 53 4MATIC+ SED</t>
  </si>
  <si>
    <t>STEPHANIE HENDRY</t>
  </si>
  <si>
    <t>2V00775A</t>
  </si>
  <si>
    <t>21,MERCEDES LIGHT TRUCK,GLC,GLC 300 4MATIC CO</t>
  </si>
  <si>
    <t>DAVID GARCIA REYES</t>
  </si>
  <si>
    <t>CU03998B</t>
  </si>
  <si>
    <t>23,VOLVO,XC90,4DR AWD B5 7P PLUS</t>
  </si>
  <si>
    <t>UNIVERSAL FACTORY DIRECT LLC</t>
  </si>
  <si>
    <t>CT50254A</t>
  </si>
  <si>
    <t>23,BMW,4 SERIES,430i Gran Coupe</t>
  </si>
  <si>
    <t>JEFFREY WEISELBERG</t>
  </si>
  <si>
    <t>9Y13161S</t>
  </si>
  <si>
    <t>18,JEEP,WRANGLER UNLIMI,Wrangler Unlimited</t>
  </si>
  <si>
    <t>9509A</t>
  </si>
  <si>
    <t>PATRICIA GALLOSO</t>
  </si>
  <si>
    <t>1MUSBD</t>
  </si>
  <si>
    <t>LBO8483</t>
  </si>
  <si>
    <t>22,MINI,COUNTRYMAN,COOPER S FWD</t>
  </si>
  <si>
    <t>HEATHER COLQUITT</t>
  </si>
  <si>
    <t>CU50996A</t>
  </si>
  <si>
    <t>21,BMW,4 SERIES,M440i</t>
  </si>
  <si>
    <t>OSCAR VASQUEZ</t>
  </si>
  <si>
    <t>9Z43685A</t>
  </si>
  <si>
    <t>ETHAN HEDDITCH</t>
  </si>
  <si>
    <t>23,CADILLAC,CT4-V,4DR SDN</t>
  </si>
  <si>
    <t>MELINDA CZINK</t>
  </si>
  <si>
    <t>C546864</t>
  </si>
  <si>
    <t>23,JEEP,GRAND CHEROKEE,LIMITED 4X2</t>
  </si>
  <si>
    <t>NANCY RICARDO HERNANDEZ</t>
  </si>
  <si>
    <t>1MUSD</t>
  </si>
  <si>
    <t>3N99552A</t>
  </si>
  <si>
    <t>17,MINI,HARDTOP 4 DOOR,4DR HB</t>
  </si>
  <si>
    <t>JOHN WILLIS</t>
  </si>
  <si>
    <t>CT77429B</t>
  </si>
  <si>
    <t>20,LINCOLN,AVIATOR,Aviator</t>
  </si>
  <si>
    <t>FABIAN GHISELLINI ROYERO</t>
  </si>
  <si>
    <t>8C41218</t>
  </si>
  <si>
    <t>22,BMW,3 SERIES,330I SEDAN NORTH AMERICA</t>
  </si>
  <si>
    <t>SANDRA DIXON</t>
  </si>
  <si>
    <t>9Y86128A</t>
  </si>
  <si>
    <t>19,AUDI,Q7,4DR SUV 3.0 TFSI</t>
  </si>
  <si>
    <t>EYAL FADIDA</t>
  </si>
  <si>
    <t>CU16682A</t>
  </si>
  <si>
    <t>23,BMW,7-SERIES,740</t>
  </si>
  <si>
    <t>CU16682B</t>
  </si>
  <si>
    <t>22,CHEVROLET,CORVETTE,2DR CONV STINGRAY</t>
  </si>
  <si>
    <t>9514A</t>
  </si>
  <si>
    <t>YOSI LEVI</t>
  </si>
  <si>
    <t>IN02973</t>
  </si>
  <si>
    <t>23,BMW,M5,SEDAN</t>
  </si>
  <si>
    <t>SANDRO FREIRE</t>
  </si>
  <si>
    <t>9L24537</t>
  </si>
  <si>
    <t>22,BMW SAV,X4,M40I SPORTS ACTIVITY COUPE</t>
  </si>
  <si>
    <t>9L24537A</t>
  </si>
  <si>
    <t>21,TESLA,MODEL Y,4DR AWD LONG RANGE</t>
  </si>
  <si>
    <t>TOMMY VEREAU</t>
  </si>
  <si>
    <t>8C55437</t>
  </si>
  <si>
    <t>8C55437A</t>
  </si>
  <si>
    <t>20,INFINITI,Q50,Q50</t>
  </si>
  <si>
    <t>EVA ZEIK</t>
  </si>
  <si>
    <t>9U46091</t>
  </si>
  <si>
    <t>JESSICA SMITH</t>
  </si>
  <si>
    <t>BETTY O'CONNOR</t>
  </si>
  <si>
    <t>CJ60166</t>
  </si>
  <si>
    <t>22,BMW,7 SERIES,740I SEDAN</t>
  </si>
  <si>
    <t>PABLO LUKIN</t>
  </si>
  <si>
    <t>CU08235A</t>
  </si>
  <si>
    <t>22,BMW,4-SERIES,430i</t>
  </si>
  <si>
    <t>CU08235B</t>
  </si>
  <si>
    <t>22,HONDA,HR-V,4DR AWD CVT EX</t>
  </si>
  <si>
    <t>9894A</t>
  </si>
  <si>
    <t>CARLOS SANCHEZ</t>
  </si>
  <si>
    <t>23,MAZDA,CX-9,GRAND TOURING AWD</t>
  </si>
  <si>
    <t>ERELIO PEREZ</t>
  </si>
  <si>
    <t>9Y59717A</t>
  </si>
  <si>
    <t>23,AUDI,A5 SPORTBACK,4DR QTRO 45 S LINE</t>
  </si>
  <si>
    <t>SUZETTE SENA</t>
  </si>
  <si>
    <t>LBO7370</t>
  </si>
  <si>
    <t>22,BMW,4 SERIES,430I CONVERTIBLE</t>
  </si>
  <si>
    <t>RUBEN WASHINGTON</t>
  </si>
  <si>
    <t>WX44912</t>
  </si>
  <si>
    <t>22,BMW,5 SERIES,530I XDRIVE SEDAN</t>
  </si>
  <si>
    <t>WX44912A</t>
  </si>
  <si>
    <t>18,BMW,5 SERIES,4DR SDN 530I</t>
  </si>
  <si>
    <t>DAVID LARSEN</t>
  </si>
  <si>
    <t>IH46814</t>
  </si>
  <si>
    <t>21,BMW SAV,X7,XDRIVE40I SPORTS ACTIVITY VEHIC</t>
  </si>
  <si>
    <t>IH46814A</t>
  </si>
  <si>
    <t>21,DODGE TRUCK,DURANGO,Durango</t>
  </si>
  <si>
    <t>STEVEN SZATKOWSKI</t>
  </si>
  <si>
    <t>CL75026</t>
  </si>
  <si>
    <t>23,BMW,4 SERIES,M440I XDRIVE CONVERTIBLE</t>
  </si>
  <si>
    <t>RACHEL GONZALEZ TORRES</t>
  </si>
  <si>
    <t>8F17162</t>
  </si>
  <si>
    <t>BRYAN ARIAS</t>
  </si>
  <si>
    <t>9Y68237A</t>
  </si>
  <si>
    <t>22,CHEVROLET,TAHOE,Tahoe</t>
  </si>
  <si>
    <t>SERGEI PLIUSNIN</t>
  </si>
  <si>
    <t>9Z53496A</t>
  </si>
  <si>
    <t>23,BMW SAV,X7,X7</t>
  </si>
  <si>
    <t>MAGDALENA CHOINSKI</t>
  </si>
  <si>
    <t>CU53685A</t>
  </si>
  <si>
    <t>22,BMW,X5,SDRIVE40I SPORTS ACTIVITY VEHICLE</t>
  </si>
  <si>
    <t>EKATERINA PLIUSNINA</t>
  </si>
  <si>
    <t>9Z83508</t>
  </si>
  <si>
    <t>LA SCUOLA, INC.</t>
  </si>
  <si>
    <t>CU59055</t>
  </si>
  <si>
    <t>25,BMW,750E XDR PLUG I,4DR 750E XDR PLUG IN</t>
  </si>
  <si>
    <t>DENNIS MADRID</t>
  </si>
  <si>
    <t>LBO7460</t>
  </si>
  <si>
    <t>BISMAR SERRANO</t>
  </si>
  <si>
    <t>5215256A</t>
  </si>
  <si>
    <t>JOSHUA ARRECHAVALA</t>
  </si>
  <si>
    <t>8F25213</t>
  </si>
  <si>
    <t>8F25213A</t>
  </si>
  <si>
    <t>,,,</t>
  </si>
  <si>
    <t>BUILDINGS-BRIDGES-ROADWAY-GROU</t>
  </si>
  <si>
    <t>CU23659</t>
  </si>
  <si>
    <t>HANY INVESTMENTS LLC</t>
  </si>
  <si>
    <t>9Y56844</t>
  </si>
  <si>
    <t>25,BMW SAV,X7 M60I,4DR M60I</t>
  </si>
  <si>
    <t>9Y56844A</t>
  </si>
  <si>
    <t>24,TOYOTA TRUCK,TUNDRA 4WD,Tundra Hybrid</t>
  </si>
  <si>
    <t>SANDRA PEREZ</t>
  </si>
  <si>
    <t>9Y84503</t>
  </si>
  <si>
    <t>CORY JOHNSON</t>
  </si>
  <si>
    <t>9Z43685</t>
  </si>
  <si>
    <t>GISELA BOMPEZZI</t>
  </si>
  <si>
    <t>5126466A</t>
  </si>
  <si>
    <t>23,JEEP,COMPASS,Compass</t>
  </si>
  <si>
    <t>THANH TRAN</t>
  </si>
  <si>
    <t>CU50996</t>
  </si>
  <si>
    <t>25,BMW,M440I CPE,2DR CPE M440I</t>
  </si>
  <si>
    <t>PEDRO PASTORE GEORGIO</t>
  </si>
  <si>
    <t>CU37920</t>
  </si>
  <si>
    <t>ALONDRA RUIZ</t>
  </si>
  <si>
    <t>7P96927</t>
  </si>
  <si>
    <t>HUMBERTO CORRALES</t>
  </si>
  <si>
    <t>9Z76607</t>
  </si>
  <si>
    <t>EFREN MORALES</t>
  </si>
  <si>
    <t>CU61291</t>
  </si>
  <si>
    <t>CU61291A</t>
  </si>
  <si>
    <t>23,BMW SAV,X5,X5</t>
  </si>
  <si>
    <t>LUIS RODRIGUEZ</t>
  </si>
  <si>
    <t>9Z95178</t>
  </si>
  <si>
    <t>OCS51011</t>
  </si>
  <si>
    <t>RCS5101A</t>
  </si>
  <si>
    <t>18,GMC,YUKON XL,Yukon XL</t>
  </si>
  <si>
    <t>ERIK RODRIGUEZ</t>
  </si>
  <si>
    <t>9Z70524</t>
  </si>
  <si>
    <t>8F24213</t>
  </si>
  <si>
    <t>8F24213A</t>
  </si>
  <si>
    <t>15,LEXUS,IS 250,IS 250</t>
  </si>
  <si>
    <t>9765A</t>
  </si>
  <si>
    <t>VIVAN CAO</t>
  </si>
  <si>
    <t>8F23089</t>
  </si>
  <si>
    <t>MARIA GARCIA</t>
  </si>
  <si>
    <t>9Y59717</t>
  </si>
  <si>
    <t>JORGE DOMINICIS</t>
  </si>
  <si>
    <t>CU50264</t>
  </si>
  <si>
    <t>CU50264A</t>
  </si>
  <si>
    <t>23,AUDI,A5 CABRIOLET,2DR CAB QTRO 45 SLIN</t>
  </si>
  <si>
    <t>JOAN REY</t>
  </si>
  <si>
    <t>FU74409</t>
  </si>
  <si>
    <t>YESENIA MARTINEZ</t>
  </si>
  <si>
    <t>ULISES MARTINEZ</t>
  </si>
  <si>
    <t>CU34618</t>
  </si>
  <si>
    <t>OCTAVIOUS MOODY</t>
  </si>
  <si>
    <t>WX58792A</t>
  </si>
  <si>
    <t>20,ALFA ROMEO,STELVIO,Stelvio</t>
  </si>
  <si>
    <t>LEONIDAS LAVDAS</t>
  </si>
  <si>
    <t>5W51930</t>
  </si>
  <si>
    <t>5W51930A</t>
  </si>
  <si>
    <t>14,FORD TRUCK,EXPLORER,Explorer</t>
  </si>
  <si>
    <t>JOHN FERNANDEZ</t>
  </si>
  <si>
    <t>CU53561</t>
  </si>
  <si>
    <t>25,BMW,M5,4DR SDN TOURING</t>
  </si>
  <si>
    <t>CU53561A</t>
  </si>
  <si>
    <t>24,AUDI,RS 6 AVANT,4DR TFSI QTRO PERFOR</t>
  </si>
  <si>
    <t>JOSHLYN BRUNA</t>
  </si>
  <si>
    <t>9Z78548</t>
  </si>
  <si>
    <t>9527A</t>
  </si>
  <si>
    <t>DEISY BLAIN VALDES</t>
  </si>
  <si>
    <t>8F31918</t>
  </si>
  <si>
    <t>NATIONWIDE REALTORS CORP</t>
  </si>
  <si>
    <t>CN93968</t>
  </si>
  <si>
    <t>24,BMW,M4,COMPETITION COUPE</t>
  </si>
  <si>
    <t>CN93968A</t>
  </si>
  <si>
    <t>21,PORSCHE,MACAN,4DR AWD S</t>
  </si>
  <si>
    <t>ANGELICA BAEZ BAEZ</t>
  </si>
  <si>
    <t>9Z93348</t>
  </si>
  <si>
    <t>ROMMEL VALVERDE</t>
  </si>
  <si>
    <t>9Z86083</t>
  </si>
  <si>
    <t>9Z86083A</t>
  </si>
  <si>
    <t>22,INFINITI,Q60,Q60</t>
  </si>
  <si>
    <t>JOSE JIMENEZ</t>
  </si>
  <si>
    <t>FU62055</t>
  </si>
  <si>
    <t>FU62055A</t>
  </si>
  <si>
    <t>ADRIAN MARTINEZ</t>
  </si>
  <si>
    <t>9Z91699</t>
  </si>
  <si>
    <t>9Z91699A</t>
  </si>
  <si>
    <t>20,CHEVROLET TRUCK,SILVERADO 1500,Silverado 1</t>
  </si>
  <si>
    <t>FABRICE PELLEGRINO</t>
  </si>
  <si>
    <t>9Z87982</t>
  </si>
  <si>
    <t>9933A</t>
  </si>
  <si>
    <t>JOHN LEE</t>
  </si>
  <si>
    <t>FU82934</t>
  </si>
  <si>
    <t>ORLANDO PORRAS</t>
  </si>
  <si>
    <t>9Z82585</t>
  </si>
  <si>
    <t>ZORAIDA HUERTAS LUGO</t>
  </si>
  <si>
    <t>LF29603</t>
  </si>
  <si>
    <t>TARA TATE</t>
  </si>
  <si>
    <t>FU01582A</t>
  </si>
  <si>
    <t>22,BMW,430I COUPE,430i</t>
  </si>
  <si>
    <t>FU01582V</t>
  </si>
  <si>
    <t>22,AUDI,Q3,4DR S LINE 45 TFSI Q</t>
  </si>
  <si>
    <t>MELANIE SUARIS</t>
  </si>
  <si>
    <t>LBO0940</t>
  </si>
  <si>
    <t>22,BMW SAV,X3,SDRIVE30I SPORTS ACTIVITY VEHIC</t>
  </si>
  <si>
    <t>YEVGENIY SOLOVYEV</t>
  </si>
  <si>
    <t>LBO1572</t>
  </si>
  <si>
    <t>WILLIAM DAVID SKINNER, JR. DEC</t>
  </si>
  <si>
    <t>FN11714</t>
  </si>
  <si>
    <t>22,BMW,I4,EDRIVE40 GRAN COUPE</t>
  </si>
  <si>
    <t>MORGAN WILLIAMS</t>
  </si>
  <si>
    <t>24,LEXUS,IS,IS 350 F SPORT RWD</t>
  </si>
  <si>
    <t>ARMANDO VASQUEZ</t>
  </si>
  <si>
    <t>FU55536</t>
  </si>
  <si>
    <t>25,BMW,M3 SEDAN,4DR SDN</t>
  </si>
  <si>
    <t>MIRIAM SUAREZ</t>
  </si>
  <si>
    <t>CU55279</t>
  </si>
  <si>
    <t>MARLEN MORALES</t>
  </si>
  <si>
    <t>9Z81554</t>
  </si>
  <si>
    <t>9Z81554A</t>
  </si>
  <si>
    <t>23,BMW SAV,X3,X3</t>
  </si>
  <si>
    <t>JOANNE RUDD</t>
  </si>
  <si>
    <t>2W98431</t>
  </si>
  <si>
    <t>2W98431A</t>
  </si>
  <si>
    <t>23,MINI,HARDTOP 4 DOOR,Hardtop</t>
  </si>
  <si>
    <t>KAREN HERNANDEZ</t>
  </si>
  <si>
    <t>2W43832</t>
  </si>
  <si>
    <t>9845A</t>
  </si>
  <si>
    <t>JUAN JARAMILLO</t>
  </si>
  <si>
    <t>2X08144</t>
  </si>
  <si>
    <t>25,MINI,COOPER JCW HARD,2DR HB JCW FWD</t>
  </si>
  <si>
    <t>GREGORY KEMENY</t>
  </si>
  <si>
    <t>9Z70364</t>
  </si>
  <si>
    <t>9Z70364A</t>
  </si>
  <si>
    <t>23,BMW SAV,X5 XDRIVE45E,X5 PHEV</t>
  </si>
  <si>
    <t>ILEANA CALVO</t>
  </si>
  <si>
    <t>LBO6062</t>
  </si>
  <si>
    <t>22,BMW SAV,BMW X1,SDRIVE28I SPORTS ACTIVITY V</t>
  </si>
  <si>
    <t>LUIS NAVARRO</t>
  </si>
  <si>
    <t>9Z67431</t>
  </si>
  <si>
    <t>9Z67431A</t>
  </si>
  <si>
    <t>22,BMW,8 SERIES,M850i</t>
  </si>
  <si>
    <t>LILIBETH GARCIA</t>
  </si>
  <si>
    <t>9Z70992</t>
  </si>
  <si>
    <t>9Z70992A</t>
  </si>
  <si>
    <t>23,BMW,X3,X3</t>
  </si>
  <si>
    <t>HERNANDO MEJIA</t>
  </si>
  <si>
    <t>9Z37062</t>
  </si>
  <si>
    <t>9Z37062A</t>
  </si>
  <si>
    <t>18,BMW,4 SERIES,4DR SDN 430I GC SULV</t>
  </si>
  <si>
    <t>REYMUNDO MIRANDA</t>
  </si>
  <si>
    <t>LBO9588</t>
  </si>
  <si>
    <t>22,BMW,7 SERIES,ALPINA B7 XDRIVE SEDAN</t>
  </si>
  <si>
    <t>9438A</t>
  </si>
  <si>
    <t>OSMARA ZAMORA MORALES</t>
  </si>
  <si>
    <t>25,BMW SAV,X1 M35,4DR SAV M35I</t>
  </si>
  <si>
    <t>5144138A</t>
  </si>
  <si>
    <t>MARCO LICEAGA SERRANO</t>
  </si>
  <si>
    <t>9Z68734</t>
  </si>
  <si>
    <t>9Z68734A</t>
  </si>
  <si>
    <t>20,BMW SAV,X5,SDRIVE40I SPORTS ACTIVITY VEHIC</t>
  </si>
  <si>
    <t>JOAQUIN ALVAREZ</t>
  </si>
  <si>
    <t>9Z83579</t>
  </si>
  <si>
    <t>9Z83579A</t>
  </si>
  <si>
    <t>P&amp;R FINANCIAL CONSULTANTS LLC</t>
  </si>
  <si>
    <t>9Z70992B</t>
  </si>
  <si>
    <t>16,BMW SAV,X3,4DR 28I RWD SDRIVE</t>
  </si>
  <si>
    <t>A &amp; S CONSTRUCTION AND MANAGEM</t>
  </si>
  <si>
    <t>9Z74691</t>
  </si>
  <si>
    <t>25,BMW SAV,ALPINA XB7,4DR ALPINA XB7</t>
  </si>
  <si>
    <t>9Z74691A</t>
  </si>
  <si>
    <t>22,BMW,X7 ALPINA XB7,ALPINA XB7</t>
  </si>
  <si>
    <t>JONATHAN HARDY</t>
  </si>
  <si>
    <t>CU76837</t>
  </si>
  <si>
    <t>ANITA PANDEY</t>
  </si>
  <si>
    <t>7R49247</t>
  </si>
  <si>
    <t>ANDREA MARR-PERALTO</t>
  </si>
  <si>
    <t>VERONICA SARANTES</t>
  </si>
  <si>
    <t>8F23730</t>
  </si>
  <si>
    <t>8F23730A</t>
  </si>
  <si>
    <t>22,VOLVO,XC60,4DR AWD B5 INSCRIP</t>
  </si>
  <si>
    <t>ANDRES LOPEZ CAVANZO</t>
  </si>
  <si>
    <t>7R71788</t>
  </si>
  <si>
    <t>VANESSA PEREIRA</t>
  </si>
  <si>
    <t>9K53938</t>
  </si>
  <si>
    <t>22,BMW SAV,X3,XDRIVE30I SPORTS ACTIVITY VEHIC</t>
  </si>
  <si>
    <t>9K53938A</t>
  </si>
  <si>
    <t>17,JAGUAR,F-PACE,35T PREMIUM AWD</t>
  </si>
  <si>
    <t>SEAN MURPHY</t>
  </si>
  <si>
    <t>FU75804</t>
  </si>
  <si>
    <t>KATHLEEN MC WEBER</t>
  </si>
  <si>
    <t>9Z84831</t>
  </si>
  <si>
    <t>9Z84831A</t>
  </si>
  <si>
    <t>11,PORSCHE,CAYENNE,4DR AWD S</t>
  </si>
  <si>
    <t>MICHAEL HABER</t>
  </si>
  <si>
    <t>9Z76732</t>
  </si>
  <si>
    <t>MICHELLE ULLOA</t>
  </si>
  <si>
    <t>2W69935</t>
  </si>
  <si>
    <t>SUZANNE AMARO</t>
  </si>
  <si>
    <t>9X17893</t>
  </si>
  <si>
    <t>9X17893A</t>
  </si>
  <si>
    <t>22,MINI,COUNTRYMAN,Countryman</t>
  </si>
  <si>
    <t>ODILEXYS RODRIGUEZ</t>
  </si>
  <si>
    <t>9Z82735</t>
  </si>
  <si>
    <t>NINETT LLERENA RODRIGUEZ</t>
  </si>
  <si>
    <t>9Z77976</t>
  </si>
  <si>
    <t>9Z77976A</t>
  </si>
  <si>
    <t>22,BMW SAV,X6 M,X6 M</t>
  </si>
  <si>
    <t>ROBERTO VERDUGO ALIAGA</t>
  </si>
  <si>
    <t>CU12059</t>
  </si>
  <si>
    <t>ALRIC MALCOLM</t>
  </si>
  <si>
    <t>8E90467</t>
  </si>
  <si>
    <t>8E90467A</t>
  </si>
  <si>
    <t>23,HONDA,CIVIC SEDAN,4DR CVT SPORT</t>
  </si>
  <si>
    <t>8916A</t>
  </si>
  <si>
    <t>FLORANNA ROCHE HIDALGO</t>
  </si>
  <si>
    <t>7S00068A</t>
  </si>
  <si>
    <t>23,MINI,COUNTRYMAN,COOPER S FWD</t>
  </si>
  <si>
    <t>ARLETTE SOSA</t>
  </si>
  <si>
    <t>9Z76680</t>
  </si>
  <si>
    <t>9Z76680A</t>
  </si>
  <si>
    <t>AARON DOTSON</t>
  </si>
  <si>
    <t>2X06077</t>
  </si>
  <si>
    <t>9483A</t>
  </si>
  <si>
    <t>9749A</t>
  </si>
  <si>
    <t>9749B</t>
  </si>
  <si>
    <t>HECTOR TORRES ROBLES</t>
  </si>
  <si>
    <t>5264575A</t>
  </si>
  <si>
    <t>19,JEEP,GRAND CHEROKEE,Grand Cherokee</t>
  </si>
  <si>
    <t>PRISCILLA HUERTA</t>
  </si>
  <si>
    <t>JUAN PEREZ</t>
  </si>
  <si>
    <t>O9X34729</t>
  </si>
  <si>
    <t>9X34729A</t>
  </si>
  <si>
    <t>22,BMW SAV,X7,X7</t>
  </si>
  <si>
    <t>CHRISTIAN SUNDBLAD</t>
  </si>
  <si>
    <t>CU31020</t>
  </si>
  <si>
    <t>YIZENIA ALVARE-GARCIA</t>
  </si>
  <si>
    <t>O9W76185</t>
  </si>
  <si>
    <t>ZOE JOVE</t>
  </si>
  <si>
    <t>9Z80018</t>
  </si>
  <si>
    <t>9Z80018A</t>
  </si>
  <si>
    <t>9893A</t>
  </si>
  <si>
    <t>9847A</t>
  </si>
  <si>
    <t>ALI HASANLI</t>
  </si>
  <si>
    <t>2W68626A</t>
  </si>
  <si>
    <t>22,CHEVROLET TRUCK,SUBURBAN,Suburban</t>
  </si>
  <si>
    <t>ALEX PALACIOS</t>
  </si>
  <si>
    <t>JOSE FERNANDEZ</t>
  </si>
  <si>
    <t>8F23955</t>
  </si>
  <si>
    <t>8F23955A</t>
  </si>
  <si>
    <t>22,BMW,330I SEDAN,330i</t>
  </si>
  <si>
    <t>ANISIA RODRIGUEZ DEL REY</t>
  </si>
  <si>
    <t>CU18225</t>
  </si>
  <si>
    <t>KETANYA JACOBS</t>
  </si>
  <si>
    <t>9K69268</t>
  </si>
  <si>
    <t>FIDEL CASTILLO</t>
  </si>
  <si>
    <t>CT19677A</t>
  </si>
  <si>
    <t>24,BMW,M3,M3</t>
  </si>
  <si>
    <t>STEVEN FLORES</t>
  </si>
  <si>
    <t>CU36132</t>
  </si>
  <si>
    <t>CU36132A</t>
  </si>
  <si>
    <t>18,BMW SAV,X4,4DR SUV 28I XDRV SPT</t>
  </si>
  <si>
    <t>ESPERANZA PEREZ</t>
  </si>
  <si>
    <t>9Z67898</t>
  </si>
  <si>
    <t>ASTRID EVANS</t>
  </si>
  <si>
    <t>9Z27709</t>
  </si>
  <si>
    <t>9Z27709A</t>
  </si>
  <si>
    <t>CLIFFORD LOSH</t>
  </si>
  <si>
    <t>2W90326A</t>
  </si>
  <si>
    <t>20,MINI,HARDTOP 4 DOOR,Hardtop</t>
  </si>
  <si>
    <t>2W90326B</t>
  </si>
  <si>
    <t>01,BMW,3-SERIES,4DR SDN</t>
  </si>
  <si>
    <t>ALEXANDER RAMEY</t>
  </si>
  <si>
    <t>9Z74017</t>
  </si>
  <si>
    <t>9Z74017A</t>
  </si>
  <si>
    <t>LAWRENCE ELGARRESTA</t>
  </si>
  <si>
    <t>LBO1614</t>
  </si>
  <si>
    <t>21,BMW SAV,BMW X1,XDRIVE28I SPORTS ACTIVITY V</t>
  </si>
  <si>
    <t>AARON LANDEIRO</t>
  </si>
  <si>
    <t>9Z85907</t>
  </si>
  <si>
    <t>MARIA ROMANO</t>
  </si>
  <si>
    <t>9Z76756</t>
  </si>
  <si>
    <t>9Z76756A</t>
  </si>
  <si>
    <t>20,BMW SAV,X5,X5</t>
  </si>
  <si>
    <t>KRISTEN SKLADD</t>
  </si>
  <si>
    <t>YANELIS CUTINO</t>
  </si>
  <si>
    <t>8F02258</t>
  </si>
  <si>
    <t>JONATHAN MARTINEZ</t>
  </si>
  <si>
    <t>CU56546</t>
  </si>
  <si>
    <t>YALILA GUTIERREZ</t>
  </si>
  <si>
    <t>8F16608</t>
  </si>
  <si>
    <t>9433A</t>
  </si>
  <si>
    <t>FRANCISCO LLANO</t>
  </si>
  <si>
    <t>WALTER ELIAS</t>
  </si>
  <si>
    <t>CU53947</t>
  </si>
  <si>
    <t>CU53947A</t>
  </si>
  <si>
    <t>22,BMW,740I SEDAN,740</t>
  </si>
  <si>
    <t>JONATHAN PEREZ MARTIN</t>
  </si>
  <si>
    <t>9X53304A</t>
  </si>
  <si>
    <t>22,BMW,3 SERIES,330i</t>
  </si>
  <si>
    <t>CARLOS NAYA</t>
  </si>
  <si>
    <t>CU22311</t>
  </si>
  <si>
    <t>CU22311A</t>
  </si>
  <si>
    <t>20,LINCOLN TRUCK,NAVIGATOR L,Navigator</t>
  </si>
  <si>
    <t>GLADYS MOURE</t>
  </si>
  <si>
    <t>8F22039</t>
  </si>
  <si>
    <t>VALERY VIRGILIO AMARE</t>
  </si>
  <si>
    <t>THELMA COSME</t>
  </si>
  <si>
    <t>FRANCISCO AMADOR</t>
  </si>
  <si>
    <t>CU81762</t>
  </si>
  <si>
    <t>SERGE ROSOV</t>
  </si>
  <si>
    <t>9Z04995A</t>
  </si>
  <si>
    <t>20,MERCEDES LIGHT TRUCK,GLC,4DR CPE GLC 300 4</t>
  </si>
  <si>
    <t>IVONNE HERNANDEZ</t>
  </si>
  <si>
    <t>CT79080</t>
  </si>
  <si>
    <t>JUAN PENA</t>
  </si>
  <si>
    <t>LBO2921</t>
  </si>
  <si>
    <t>22,BMW SAV,X1,SDRIVE28I SPORTS ACTIVITY VEHIC</t>
  </si>
  <si>
    <t>EDGARDO SANCHEZ</t>
  </si>
  <si>
    <t>9L54429</t>
  </si>
  <si>
    <t>9L54429A</t>
  </si>
  <si>
    <t>18,BMW,7 SERIES,740I SEDAN</t>
  </si>
  <si>
    <t>JUDITH CEBALLOS COLMENARES</t>
  </si>
  <si>
    <t>7R07989</t>
  </si>
  <si>
    <t>9828A</t>
  </si>
  <si>
    <t>MARIA ROMERO</t>
  </si>
  <si>
    <t>2W76213</t>
  </si>
  <si>
    <t>2W76213A</t>
  </si>
  <si>
    <t>22,MINI,HARDTOP,Hardtop</t>
  </si>
  <si>
    <t>ARTURO OBREGON</t>
  </si>
  <si>
    <t>2W35120</t>
  </si>
  <si>
    <t>9840A</t>
  </si>
  <si>
    <t>JODI-ANN CAMACHO</t>
  </si>
  <si>
    <t>ALICE SOSA GARCIA</t>
  </si>
  <si>
    <t>9N85355A</t>
  </si>
  <si>
    <t>ROBERT HUNTER</t>
  </si>
  <si>
    <t>FERNANDO ISOLA</t>
  </si>
  <si>
    <t>5153262A</t>
  </si>
  <si>
    <t>18,BMW,5-SERIES,540i</t>
  </si>
  <si>
    <t>ELENA GOLOVAC</t>
  </si>
  <si>
    <t>CU68265</t>
  </si>
  <si>
    <t>25,BMW,550E XDRIVE,4DR SDN 550E XDR</t>
  </si>
  <si>
    <t>CU68265A</t>
  </si>
  <si>
    <t>22,BMW,5-SERIES,530e</t>
  </si>
  <si>
    <t>MARCIA LAAS</t>
  </si>
  <si>
    <t>9Z75028</t>
  </si>
  <si>
    <t>9Z75028A</t>
  </si>
  <si>
    <t>PATRICK RUSSELL, P.A.</t>
  </si>
  <si>
    <t>LBO2405</t>
  </si>
  <si>
    <t>22,BMW,2 SERIES,M240I XDRIVE COUPE</t>
  </si>
  <si>
    <t>EFRAIN COLLADO</t>
  </si>
  <si>
    <t>CU32910</t>
  </si>
  <si>
    <t>CU32910A</t>
  </si>
  <si>
    <t>20,MERCEDES-BENZ,S-CLASS,4DR SDN S560</t>
  </si>
  <si>
    <t>JUANITA STEWART</t>
  </si>
  <si>
    <t>CU21460</t>
  </si>
  <si>
    <t>ALEJANDRO PARRA</t>
  </si>
  <si>
    <t>CU67277</t>
  </si>
  <si>
    <t>TARIKA QUINN</t>
  </si>
  <si>
    <t>CU48956</t>
  </si>
  <si>
    <t>CU48956A</t>
  </si>
  <si>
    <t>16,BMW,7-SERIES,4DR SDN 740I RWD</t>
  </si>
  <si>
    <t>ILENE FLECHNER</t>
  </si>
  <si>
    <t>CU17409</t>
  </si>
  <si>
    <t>CU17409A</t>
  </si>
  <si>
    <t>MARIA BOTERO</t>
  </si>
  <si>
    <t>CU77994</t>
  </si>
  <si>
    <t>25,BMW,440I CONV,2DR M440I CONV</t>
  </si>
  <si>
    <t>SIGMA AI GROUP LLC</t>
  </si>
  <si>
    <t>CU44591</t>
  </si>
  <si>
    <t>CU44591A</t>
  </si>
  <si>
    <t>EDWARD DRINKS</t>
  </si>
  <si>
    <t>9Z99017</t>
  </si>
  <si>
    <t>NIMA ZARE</t>
  </si>
  <si>
    <t>DIEGO LIRMAN KALWILL</t>
  </si>
  <si>
    <t>MARIA HERNANDEZ</t>
  </si>
  <si>
    <t>9Z65988</t>
  </si>
  <si>
    <t>GUSTAVO GOMEZ BORRAS</t>
  </si>
  <si>
    <t>CT19677</t>
  </si>
  <si>
    <t>25,BMW,I5 XDR 40,4DR SDN XDRIVE40</t>
  </si>
  <si>
    <t>DAYANA RODRIGUEZ GARCIA</t>
  </si>
  <si>
    <t>LEYANY MORALES</t>
  </si>
  <si>
    <t>CT38627</t>
  </si>
  <si>
    <t>CT38627A</t>
  </si>
  <si>
    <t>21,CHEVROLET TRUCK,SILVERADO 1500,Silverado 1</t>
  </si>
  <si>
    <t>ARTURO ALVAREZ DE PRADA</t>
  </si>
  <si>
    <t>CU33814</t>
  </si>
  <si>
    <t>CYNTHIA MILLER</t>
  </si>
  <si>
    <t>WY45056</t>
  </si>
  <si>
    <t>WY45056A</t>
  </si>
  <si>
    <t>20,FORD,MUSTANG,Mustang</t>
  </si>
  <si>
    <t>GOLNOOSH GOLTAPEH</t>
  </si>
  <si>
    <t>8F24616</t>
  </si>
  <si>
    <t>8F24616A</t>
  </si>
  <si>
    <t>22,BMW,3-SERIES,3 Series</t>
  </si>
  <si>
    <t>JOSE PEREZ MARRERO</t>
  </si>
  <si>
    <t>CT16906</t>
  </si>
  <si>
    <t>25,BMW,I7 EDRIVE 50,4DR SDN EDRIVE50</t>
  </si>
  <si>
    <t>SCT16906</t>
  </si>
  <si>
    <t>23,BMW,4 SERIES,M440i Gran Coupe</t>
  </si>
  <si>
    <t>9609A</t>
  </si>
  <si>
    <t>GABRIELA ROJAS FERNANDEZ</t>
  </si>
  <si>
    <t>OCS70485</t>
  </si>
  <si>
    <t>BARBARA CABANA</t>
  </si>
  <si>
    <t>9Z81333</t>
  </si>
  <si>
    <t>9Z81333A</t>
  </si>
  <si>
    <t>23,BMW,3-SERIES,3 Series</t>
  </si>
  <si>
    <t>JEMMIE CALDERA LIMONCHE</t>
  </si>
  <si>
    <t>MIGUEL SOLANO FRANCHI</t>
  </si>
  <si>
    <t>9Y13161C</t>
  </si>
  <si>
    <t>9780B</t>
  </si>
  <si>
    <t>LUIS GONZALEZ GONZALEZ</t>
  </si>
  <si>
    <t>O7P56909</t>
  </si>
  <si>
    <t>9780A</t>
  </si>
  <si>
    <t>ZORAIDA DIAZ</t>
  </si>
  <si>
    <t>CU67805</t>
  </si>
  <si>
    <t>LAZARA MARTINEZ</t>
  </si>
  <si>
    <t>OCS43430</t>
  </si>
  <si>
    <t>ERICK MARTINEZ ILLAS</t>
  </si>
  <si>
    <t>8F37626</t>
  </si>
  <si>
    <t>MARIA VALDES</t>
  </si>
  <si>
    <t>9Z87570</t>
  </si>
  <si>
    <t>JESSICA RODRIGUEZ RIEHL</t>
  </si>
  <si>
    <t>9003649A</t>
  </si>
  <si>
    <t>MELVIN ORTEGA</t>
  </si>
  <si>
    <t>FU75009</t>
  </si>
  <si>
    <t>FU75009A</t>
  </si>
  <si>
    <t>22,BMW,4 SERIES,430i Gran Coupe</t>
  </si>
  <si>
    <t>9612A</t>
  </si>
  <si>
    <t>9826A</t>
  </si>
  <si>
    <t>IVAN COTAYO</t>
  </si>
  <si>
    <t>LA14554</t>
  </si>
  <si>
    <t>21,LAMBORGHINI,URUS,AWD</t>
  </si>
  <si>
    <t>CHRISTOPHER MANNING</t>
  </si>
  <si>
    <t>VIVIEN CAMPBELL</t>
  </si>
  <si>
    <t>9Z11048B</t>
  </si>
  <si>
    <t>21,MINI,HARDTOP 4 DOOR,Hardtop</t>
  </si>
  <si>
    <t>HOLLIE CHAFIN</t>
  </si>
  <si>
    <t>8F25045A</t>
  </si>
  <si>
    <t>24,BMW,2 SERIES,230</t>
  </si>
  <si>
    <t>ALISA AZZARELLI</t>
  </si>
  <si>
    <t>9Z70776A</t>
  </si>
  <si>
    <t>ANA RUIZ</t>
  </si>
  <si>
    <t>9L23449</t>
  </si>
  <si>
    <t>KLEA AGOLLARI</t>
  </si>
  <si>
    <t>9Z67750B</t>
  </si>
  <si>
    <t>16,VOLKSWAGEN,TIGUAN,4DR 4MOTION AT SEL</t>
  </si>
  <si>
    <t>AUSTIN PRADO</t>
  </si>
  <si>
    <t>JEANNINE MARCOS</t>
  </si>
  <si>
    <t>9Z70776</t>
  </si>
  <si>
    <t>NITSUGA SANCHEZ</t>
  </si>
  <si>
    <t>8F37369</t>
  </si>
  <si>
    <t>8F37369A</t>
  </si>
  <si>
    <t>08,PONTIAC,SOLSTICE,Solstice</t>
  </si>
  <si>
    <t>9607A</t>
  </si>
  <si>
    <t>LUIS BEVILACQUA RIVERA</t>
  </si>
  <si>
    <t>LBO6126</t>
  </si>
  <si>
    <t>FELIPE LOBOGUERRERO</t>
  </si>
  <si>
    <t>8F40953</t>
  </si>
  <si>
    <t>25,BMW,330 XI SA S,4DR SDN 330I XDRV</t>
  </si>
  <si>
    <t>8F40953A</t>
  </si>
  <si>
    <t>YORYANA MANRRESA CORDERO</t>
  </si>
  <si>
    <t>9Z82172</t>
  </si>
  <si>
    <t>9Z82172A</t>
  </si>
  <si>
    <t>22,NISSAN,KICKS,Kicks</t>
  </si>
  <si>
    <t>MAYRA VAZQUEZ</t>
  </si>
  <si>
    <t>LISSETTE GUON</t>
  </si>
  <si>
    <t>FU81094</t>
  </si>
  <si>
    <t>CELESTIAL TREASURES NETWORK LL</t>
  </si>
  <si>
    <t>LBO6770</t>
  </si>
  <si>
    <t>22,BMW,7 SERIES,745E XDRIVE PLUG-IN HYBRID</t>
  </si>
  <si>
    <t>ROBERTO HEQUIN</t>
  </si>
  <si>
    <t>CU66421</t>
  </si>
  <si>
    <t>PAULO BELLO</t>
  </si>
  <si>
    <t>CH30980</t>
  </si>
  <si>
    <t>CH30980A</t>
  </si>
  <si>
    <t>12,MERCEDES-BENZ,E-CLASS,4DR SDN E350 RWD</t>
  </si>
  <si>
    <t>AKRISHT PANDEY</t>
  </si>
  <si>
    <t>N003990</t>
  </si>
  <si>
    <t>22,AUDI,A5 CABRIOLET,PREMIUM 45 TFSI QUATTRO</t>
  </si>
  <si>
    <t>PHILLIP TREMBLEY</t>
  </si>
  <si>
    <t>LBO7601</t>
  </si>
  <si>
    <t>22,BMW SAV,X1,XDRIVE28I SPORTS ACTIVITY VEHIC</t>
  </si>
  <si>
    <t>GIANLUCA ZIGNI</t>
  </si>
  <si>
    <t>CU57146</t>
  </si>
  <si>
    <t>CU57146A</t>
  </si>
  <si>
    <t>PAUL KEENAN</t>
  </si>
  <si>
    <t>CJ57254</t>
  </si>
  <si>
    <t>22,BMW,5 SERIES,M550I XDRIVE SEDAN</t>
  </si>
  <si>
    <t>ISEL ANARELA RODRIGUEZ</t>
  </si>
  <si>
    <t>CU66299</t>
  </si>
  <si>
    <t>CECIL COOPER</t>
  </si>
  <si>
    <t>CU55472B</t>
  </si>
  <si>
    <t>19,MERCEDES-BENZ,E-CLASS,E 300 RWD SEDAN</t>
  </si>
  <si>
    <t>DMYTRO KUTERGIN</t>
  </si>
  <si>
    <t>IL52165</t>
  </si>
  <si>
    <t>23,BMW SAV,IX,M60 SPORTS ACTIVITY VEHICLE</t>
  </si>
  <si>
    <t>THE MILLER FAMILY REVOCABLE LI</t>
  </si>
  <si>
    <t>I054402</t>
  </si>
  <si>
    <t>23,MERCEDES-BENZ,AMG GT,AMG GT 53 4-DOOR COUP</t>
  </si>
  <si>
    <t>SHAHROKH MEMARBASHI</t>
  </si>
  <si>
    <t>I003499</t>
  </si>
  <si>
    <t>24,MERCEDES-BENZ,AMG GT,AMG GT 55 COUPE</t>
  </si>
  <si>
    <t>I003499A</t>
  </si>
  <si>
    <t>22,TESLA,MODEL 3,RWD</t>
  </si>
  <si>
    <t>VLADIMIR KURIMSKY</t>
  </si>
  <si>
    <t>8E02663</t>
  </si>
  <si>
    <t>ENA NUNEZ</t>
  </si>
  <si>
    <t>9Z36458A</t>
  </si>
  <si>
    <t>23,BMW SAV,X6,X6</t>
  </si>
  <si>
    <t>9Z36458B</t>
  </si>
  <si>
    <t>20,JEEP,GLADIATOR,Gladiator</t>
  </si>
  <si>
    <t>RAMEZ MOUSA</t>
  </si>
  <si>
    <t>9K76306</t>
  </si>
  <si>
    <t>9K76306A</t>
  </si>
  <si>
    <t>19,HONDA,CIVIC,4DR SDN LX CVT</t>
  </si>
  <si>
    <t>VALENTIN ARENAS</t>
  </si>
  <si>
    <t>SA47433B</t>
  </si>
  <si>
    <t>18,RAM,1500,1500</t>
  </si>
  <si>
    <t>LAWRENCE RIOS</t>
  </si>
  <si>
    <t>9Z54043A</t>
  </si>
  <si>
    <t>24,BMW SAV,X7,X7</t>
  </si>
  <si>
    <t>9Z54043B</t>
  </si>
  <si>
    <t>22,BMW,X7,X7</t>
  </si>
  <si>
    <t>JOHN CRAWFORD</t>
  </si>
  <si>
    <t>WY18952</t>
  </si>
  <si>
    <t>23,BMW,Z4,SDRIVE30I ROADSTER</t>
  </si>
  <si>
    <t>BARBARA PFEIFFER</t>
  </si>
  <si>
    <t>WY44719B</t>
  </si>
  <si>
    <t>23,LAND ROVER,RANGE ROVER EVO,4DR AWD R-DYN S</t>
  </si>
  <si>
    <t>WY44719C</t>
  </si>
  <si>
    <t>22,MITSUBISHI,OUTLANDER,SE FWD</t>
  </si>
  <si>
    <t>JOHN LOBAIDO</t>
  </si>
  <si>
    <t>LBO0775</t>
  </si>
  <si>
    <t>21,BMW,4 SERIES,430I XDRIVE COUPE</t>
  </si>
  <si>
    <t>TYQUAN TAYLOR</t>
  </si>
  <si>
    <t>8C56793</t>
  </si>
  <si>
    <t>LISANDRO SANTANGELO</t>
  </si>
  <si>
    <t>CJ96175</t>
  </si>
  <si>
    <t>22,BMW,5 SERIES,530I SEDAN</t>
  </si>
  <si>
    <t>MARLON BOSCH</t>
  </si>
  <si>
    <t>BRIAN SHAKNAITIS</t>
  </si>
  <si>
    <t>ALEJANDRO DE LA TERGA</t>
  </si>
  <si>
    <t>YANETH HURTADO RUBIANO</t>
  </si>
  <si>
    <t>25,BMW SAV,X2 M35I,4DR M35I SAV</t>
  </si>
  <si>
    <t>5249822A</t>
  </si>
  <si>
    <t>13,BMW,X1,FWD 4DR 28I</t>
  </si>
  <si>
    <t>9736A</t>
  </si>
  <si>
    <t>GEOFFREY MANNA</t>
  </si>
  <si>
    <t>SUDNY BOSCH</t>
  </si>
  <si>
    <t>CR12514</t>
  </si>
  <si>
    <t>CR12514A</t>
  </si>
  <si>
    <t>RODOLFO MOLINA</t>
  </si>
  <si>
    <t>RICHARD GOMEZ</t>
  </si>
  <si>
    <t>WY45056B</t>
  </si>
  <si>
    <t>17,FORD,MUSTANG,Mustang</t>
  </si>
  <si>
    <t>ANGELINA BARTUTIS</t>
  </si>
  <si>
    <t>2W69030A</t>
  </si>
  <si>
    <t>24,MINI,COOPER HT,Hardtop 2 Door</t>
  </si>
  <si>
    <t>TERRY BAXTER</t>
  </si>
  <si>
    <t>7R04411</t>
  </si>
  <si>
    <t>ELISET HERNANDEZ</t>
  </si>
  <si>
    <t>WX58792</t>
  </si>
  <si>
    <t>22,BMW,Z4,SDRIVE30I ROADSTER</t>
  </si>
  <si>
    <t>PAUL BEN</t>
  </si>
  <si>
    <t>CU21560A</t>
  </si>
  <si>
    <t>24,TESLA,MODEL 3,PERFORMANCE AWD</t>
  </si>
  <si>
    <t>GLORIA SARAVIA</t>
  </si>
  <si>
    <t>LBO6834</t>
  </si>
  <si>
    <t>ISMAEL ESCANDELL</t>
  </si>
  <si>
    <t>2W67493</t>
  </si>
  <si>
    <t>9568A</t>
  </si>
  <si>
    <t>SEBASTIEN FREDENUCCI</t>
  </si>
  <si>
    <t>2W44525</t>
  </si>
  <si>
    <t>BRIAN GOLDSTEIN</t>
  </si>
  <si>
    <t>7S00068</t>
  </si>
  <si>
    <t>CARLOTA CANO</t>
  </si>
  <si>
    <t>2W70139</t>
  </si>
  <si>
    <t>GUY STEWART</t>
  </si>
  <si>
    <t>9614A</t>
  </si>
  <si>
    <t>9568B</t>
  </si>
  <si>
    <t>9353A</t>
  </si>
  <si>
    <t>9620A</t>
  </si>
  <si>
    <t>9598A</t>
  </si>
  <si>
    <t>GARRY POPOFSKY</t>
  </si>
  <si>
    <t>CU33995</t>
  </si>
  <si>
    <t>CU33995A</t>
  </si>
  <si>
    <t>24,BMW,4 SERIES,4 Series Convertible</t>
  </si>
  <si>
    <t>ANDREA TRAVANI</t>
  </si>
  <si>
    <t>9Z96483</t>
  </si>
  <si>
    <t>ERROLL SULT</t>
  </si>
  <si>
    <t>9Y75670A</t>
  </si>
  <si>
    <t>22,BMW,5 SERIES,530</t>
  </si>
  <si>
    <t>KENNETH DUBIN</t>
  </si>
  <si>
    <t>IR51920</t>
  </si>
  <si>
    <t>24,BMW,5 SERIES,530I SEDAN</t>
  </si>
  <si>
    <t>units</t>
  </si>
  <si>
    <t>bonus</t>
  </si>
  <si>
    <t>MARTIN FARR</t>
  </si>
  <si>
    <t>PABLO ZERPA</t>
  </si>
  <si>
    <t>Name</t>
  </si>
  <si>
    <t>LUCAS BUCCI ODDO</t>
  </si>
  <si>
    <t>SERGIO BETANCOURT</t>
  </si>
  <si>
    <t>ARMAND PERRIER</t>
  </si>
  <si>
    <t>ADAM PARTRIDGE</t>
  </si>
  <si>
    <t>Employee #</t>
  </si>
  <si>
    <t>Employee Name</t>
  </si>
  <si>
    <t>Amount</t>
  </si>
  <si>
    <t># of Surveys</t>
  </si>
  <si>
    <t>Monthly Score</t>
  </si>
  <si>
    <t>90 Day Score</t>
  </si>
  <si>
    <t>NPS Score for Bonus</t>
  </si>
  <si>
    <t>Regional Score</t>
  </si>
  <si>
    <t>CSI Outcome</t>
  </si>
  <si>
    <t>Draw</t>
  </si>
  <si>
    <t>Commission</t>
  </si>
  <si>
    <t>Retro Commission</t>
  </si>
  <si>
    <t>F&amp;I Commission</t>
  </si>
  <si>
    <t>Bonus</t>
  </si>
  <si>
    <t>Spiffs</t>
  </si>
  <si>
    <t>Total Comm/Bonus</t>
  </si>
  <si>
    <t>Total Due/Owed</t>
  </si>
  <si>
    <t>YTD Bucket</t>
  </si>
  <si>
    <t>Expense 1</t>
  </si>
  <si>
    <t>Expense 2</t>
  </si>
  <si>
    <t>Total Units</t>
  </si>
  <si>
    <t>Rank</t>
  </si>
  <si>
    <t>Spiffs to Pay</t>
  </si>
  <si>
    <t>Commission 3120</t>
  </si>
  <si>
    <t>Month End Bonus 3122</t>
  </si>
  <si>
    <t>Total EOM Bonus 8328</t>
  </si>
  <si>
    <t>Draw 3121</t>
  </si>
  <si>
    <t>Total Commission</t>
  </si>
  <si>
    <t>Deposit Gross</t>
  </si>
  <si>
    <t>Check Column - Should be Zero</t>
  </si>
  <si>
    <t>Draw to Take</t>
  </si>
  <si>
    <t xml:space="preserve">NAME </t>
  </si>
  <si>
    <t>MARCH25 INDIVIDUAL NPS %</t>
  </si>
  <si>
    <t>FEB25 INDIVIDUAL NPS %</t>
  </si>
  <si>
    <t>JAN25 INDIVIDUAL NPS %</t>
  </si>
  <si>
    <t>90 DAY INDIVIDUAL NPS %</t>
  </si>
  <si>
    <t>2025 YTD INDIVIDUAL NPS %</t>
  </si>
  <si>
    <t>BMWNC TEAM</t>
  </si>
  <si>
    <t>PROMOTER</t>
  </si>
  <si>
    <t>PASSIVE</t>
  </si>
  <si>
    <t>DETRACTOR</t>
  </si>
  <si>
    <t>NPS%</t>
  </si>
  <si>
    <t>JOVAN MANZARES</t>
  </si>
  <si>
    <t>VIP TEAM</t>
  </si>
  <si>
    <t>BMWUC TEAM</t>
  </si>
  <si>
    <t>MINI TEAM</t>
  </si>
  <si>
    <t>NPS TOTAL</t>
  </si>
  <si>
    <t>NATIONAL</t>
  </si>
  <si>
    <t>90,2%</t>
  </si>
  <si>
    <t>REGION</t>
  </si>
  <si>
    <t>MKT</t>
  </si>
  <si>
    <t>90 Day Rolling Average #</t>
  </si>
  <si>
    <t>CSI</t>
  </si>
  <si>
    <t>Employee Number</t>
  </si>
  <si>
    <t>Reference #</t>
  </si>
  <si>
    <t>Customer #</t>
  </si>
  <si>
    <t>Stock #</t>
  </si>
  <si>
    <t>Year</t>
  </si>
  <si>
    <t>Make</t>
  </si>
  <si>
    <t>Model</t>
  </si>
  <si>
    <t>Commission F&amp;I</t>
  </si>
  <si>
    <t>Commission Gross</t>
  </si>
  <si>
    <t>Retro Mini</t>
  </si>
  <si>
    <t>Retro Owed</t>
  </si>
  <si>
    <t>Retro Commission Payout</t>
  </si>
  <si>
    <t>BMW</t>
  </si>
  <si>
    <t>I4</t>
  </si>
  <si>
    <t>BMW SAV</t>
  </si>
  <si>
    <t>X2 28XI</t>
  </si>
  <si>
    <t>530I</t>
  </si>
  <si>
    <t>X3 30I</t>
  </si>
  <si>
    <t>430I CPE</t>
  </si>
  <si>
    <t>X5 50E XDR PLHY</t>
  </si>
  <si>
    <t>X4</t>
  </si>
  <si>
    <t>X7 40XI</t>
  </si>
  <si>
    <t>MINI</t>
  </si>
  <si>
    <t>COOPER HARDTOP</t>
  </si>
  <si>
    <t>X5 M60</t>
  </si>
  <si>
    <t>230I CPE</t>
  </si>
  <si>
    <t>430I CONV</t>
  </si>
  <si>
    <t>COUNTRYMN S AL4</t>
  </si>
  <si>
    <t>PORSCHE</t>
  </si>
  <si>
    <t>TAYCAN</t>
  </si>
  <si>
    <t>MERCEDES LIGHT TRUCK</t>
  </si>
  <si>
    <t>GLE</t>
  </si>
  <si>
    <t>COOPER S HARDTP</t>
  </si>
  <si>
    <t>COOPER HARD 4DR</t>
  </si>
  <si>
    <t>COOPER S HR 4DR</t>
  </si>
  <si>
    <t>M4 CPE</t>
  </si>
  <si>
    <t>X5</t>
  </si>
  <si>
    <t>330I SA</t>
  </si>
  <si>
    <t>I5 EDRIVE 40</t>
  </si>
  <si>
    <t>X5 40SI</t>
  </si>
  <si>
    <t>440I XDRIVE CPE</t>
  </si>
  <si>
    <t>IX</t>
  </si>
  <si>
    <t>X3</t>
  </si>
  <si>
    <t>M2 COUPE</t>
  </si>
  <si>
    <t>3 SERIES</t>
  </si>
  <si>
    <t>740I SEDAN</t>
  </si>
  <si>
    <t>740I XDR SDN</t>
  </si>
  <si>
    <t>228I GC</t>
  </si>
  <si>
    <t>X6 60MI</t>
  </si>
  <si>
    <t>X6</t>
  </si>
  <si>
    <t>X4 30XI</t>
  </si>
  <si>
    <t>X6 40XI</t>
  </si>
  <si>
    <t>COOPER S CONV</t>
  </si>
  <si>
    <t>MERCEDES-BENZ</t>
  </si>
  <si>
    <t>C-CLASS</t>
  </si>
  <si>
    <t>M4</t>
  </si>
  <si>
    <t>Z4</t>
  </si>
  <si>
    <t>X5 M</t>
  </si>
  <si>
    <t>X1</t>
  </si>
  <si>
    <t>I4 EDR 40</t>
  </si>
  <si>
    <t>5 SERIES</t>
  </si>
  <si>
    <t>X6 M</t>
  </si>
  <si>
    <t>M240I</t>
  </si>
  <si>
    <t>X3 M50I</t>
  </si>
  <si>
    <t>AUDI</t>
  </si>
  <si>
    <t>RS Q8</t>
  </si>
  <si>
    <t>M850 I XDR CNV</t>
  </si>
  <si>
    <t>M340I NA</t>
  </si>
  <si>
    <t>I7</t>
  </si>
  <si>
    <t>540I XDRIVE</t>
  </si>
  <si>
    <t>430I GC</t>
  </si>
  <si>
    <t>M5 SEDAN</t>
  </si>
  <si>
    <t>X1 28XI</t>
  </si>
  <si>
    <t>X6 XDRIVE 40I</t>
  </si>
  <si>
    <t>E-CLASS</t>
  </si>
  <si>
    <t>GLC</t>
  </si>
  <si>
    <t>VOLVO</t>
  </si>
  <si>
    <t>XC90</t>
  </si>
  <si>
    <t>JEEP</t>
  </si>
  <si>
    <t>WRANGLER UNLIMI</t>
  </si>
  <si>
    <t>COUNTRYMAN</t>
  </si>
  <si>
    <t>4 SERIES</t>
  </si>
  <si>
    <t>CADILLAC</t>
  </si>
  <si>
    <t>CT4-V</t>
  </si>
  <si>
    <t>GRAND CHEROKEE</t>
  </si>
  <si>
    <t>HARDTOP 4 DOOR</t>
  </si>
  <si>
    <t>LINCOLN</t>
  </si>
  <si>
    <t>AVIATOR</t>
  </si>
  <si>
    <t>Q7</t>
  </si>
  <si>
    <t>7-SERIES</t>
  </si>
  <si>
    <t>M5</t>
  </si>
  <si>
    <t>3-SERIES</t>
  </si>
  <si>
    <t>7 SERIES</t>
  </si>
  <si>
    <t>4-SERIES</t>
  </si>
  <si>
    <t>MAZDA</t>
  </si>
  <si>
    <t>CX-9</t>
  </si>
  <si>
    <t>A5 SPORTBACK</t>
  </si>
  <si>
    <t>X7</t>
  </si>
  <si>
    <t>CHEVROLET</t>
  </si>
  <si>
    <t>TAHOE</t>
  </si>
  <si>
    <t>750E XDR PLUG I</t>
  </si>
  <si>
    <t>X7 M60I</t>
  </si>
  <si>
    <t>M440I CPE</t>
  </si>
  <si>
    <t>ALFA ROMEO</t>
  </si>
  <si>
    <t>STELVIO</t>
  </si>
  <si>
    <t>430I COUPE</t>
  </si>
  <si>
    <t>LEXUS</t>
  </si>
  <si>
    <t>IS</t>
  </si>
  <si>
    <t>M3 SEDAN</t>
  </si>
  <si>
    <t>COOPER JCW HARD</t>
  </si>
  <si>
    <t>BMW X1</t>
  </si>
  <si>
    <t>X1 M35</t>
  </si>
  <si>
    <t>ALPINA XB7</t>
  </si>
  <si>
    <t>CHEVROLET TRUCK</t>
  </si>
  <si>
    <t>SUBURBAN</t>
  </si>
  <si>
    <t>M3</t>
  </si>
  <si>
    <t>5-SERIES</t>
  </si>
  <si>
    <t>550E XDRIVE</t>
  </si>
  <si>
    <t>2 SERIES</t>
  </si>
  <si>
    <t>440I CONV</t>
  </si>
  <si>
    <t>I5 XDR 40</t>
  </si>
  <si>
    <t>I7 EDRIVE 50</t>
  </si>
  <si>
    <t>LAMBORGHINI</t>
  </si>
  <si>
    <t>URUS</t>
  </si>
  <si>
    <t>Q3</t>
  </si>
  <si>
    <t>330 XI SA S</t>
  </si>
  <si>
    <t>A5 CABRIOLET</t>
  </si>
  <si>
    <t>AMG GT</t>
  </si>
  <si>
    <t>FORD TRUCK</t>
  </si>
  <si>
    <t>BRONCO</t>
  </si>
  <si>
    <t>LAND ROVER</t>
  </si>
  <si>
    <t>RANGE ROVER EVO</t>
  </si>
  <si>
    <t>X2 M35I</t>
  </si>
  <si>
    <t>FORD</t>
  </si>
  <si>
    <t>MUSTANG</t>
  </si>
  <si>
    <t>COOPER HT</t>
  </si>
  <si>
    <t>TESLA</t>
  </si>
  <si>
    <t>MODEL 3</t>
  </si>
  <si>
    <t>90 Day Rolling Mini</t>
  </si>
  <si>
    <t>Retro Percentage Bonus</t>
  </si>
  <si>
    <t>Retro Percentage</t>
  </si>
  <si>
    <t>Employee</t>
  </si>
  <si>
    <t>Manager</t>
  </si>
  <si>
    <t>Unit Bonus</t>
  </si>
  <si>
    <t>Prior Draw Balance</t>
  </si>
  <si>
    <t>Retro MINI</t>
  </si>
  <si>
    <t>Total Retro Commission</t>
  </si>
  <si>
    <t>Total F&amp;I</t>
  </si>
  <si>
    <t>25% Reserve F&amp;I</t>
  </si>
  <si>
    <t>Total F&amp;I Payable Gross</t>
  </si>
  <si>
    <t>Total F&amp;I Payout</t>
  </si>
  <si>
    <t>Top Salesman Bonus</t>
  </si>
  <si>
    <t>Total Bonus</t>
  </si>
  <si>
    <t>Spiff</t>
  </si>
  <si>
    <t>Total Pay</t>
  </si>
  <si>
    <t>Bucket Total YTD</t>
  </si>
  <si>
    <t>Rolling 90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</si>
</sst>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0.0%"/>
    <numFmt numFmtId="165" formatCode="mm/dd/yy"/>
    <numFmt numFmtId="168" formatCode="_(&quot;$&quot;* #,##0.00_);[Red]_(&quot;$&quot;* \-#,##0.00;_(&quot;$&quot;* &quot; - &quot;??_);_(@_)"/>
  </numFmts>
  <fonts count="16" x14ac:knownFonts="1">
    <font>
      <sz val="11"/>
      <color theme="1"/>
      <name val="Aptos Narrow"/>
      <family val="2"/>
      <scheme val="minor"/>
    </font>
    <font>
      <b/>
      <u/>
      <sz val="11"/>
      <color rgb="FF000000"/>
      <name val="Calibri"/>
      <family val="2"/>
    </font>
    <font>
      <sz val="11"/>
      <color rgb="FF000000"/>
      <name val="Calibri"/>
      <family val="2"/>
    </font>
    <font>
      <b/>
      <u/>
      <sz val="11"/>
      <color rgb="FF000000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0"/>
      <name val="Arial"/>
    </font>
    <font>
      <sz val="11"/>
      <color rgb="FF9C0006"/>
      <name val="Calibri"/>
      <family val="2"/>
    </font>
    <font>
      <sz val="10"/>
      <name val="Arial"/>
      <family val="2"/>
    </font>
    <font>
      <b/>
      <sz val="11"/>
      <color theme="1"/>
      <name val="Aptos Narrow"/>
      <family val="2"/>
      <scheme val="minor"/>
    </font>
    <font>
      <b/>
      <sz val="11"/>
      <color rgb="FF000000"/>
      <name val="Calibri"/>
      <family val="2"/>
    </font>
    <font>
      <b/>
      <sz val="8"/>
      <color rgb="FF000000"/>
      <name val="Calibri"/>
      <family val="2"/>
    </font>
    <font>
      <b/>
      <sz val="8"/>
      <name val="Calibri"/>
      <family val="2"/>
    </font>
    <font>
      <b/>
      <sz val="11"/>
      <color rgb="FFFF0000"/>
      <name val="Calibri"/>
      <family val="2"/>
    </font>
    <font>
      <sz val="11"/>
      <color rgb="FFFF0000"/>
      <name val="Calibri"/>
      <family val="2"/>
    </font>
    <font>
      <b/>
      <sz val="11"/>
      <name val="Calibri"/>
      <family val="2"/>
    </font>
    <font>
      <sz val="1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FFC7CE"/>
        <bgColor rgb="FF000000"/>
      </patternFill>
    </fill>
    <fill>
      <patternFill patternType="solid">
        <fgColor rgb="FFA6A6A6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C6E0B4"/>
        <bgColor rgb="FF000000"/>
      </patternFill>
    </fill>
    <fill>
      <patternFill patternType="solid">
        <fgColor rgb="FFD0CECE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3D3D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6E6E6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13">
    <xf numFmtId="0" fontId="0" fillId="0" borderId="0" xfId="0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righ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right" vertical="center"/>
    </xf>
    <xf numFmtId="0" fontId="2" fillId="0" borderId="0" xfId="0" applyFont="1"/>
    <xf numFmtId="4" fontId="2" fillId="0" borderId="0" xfId="0" applyNumberFormat="1" applyFont="1" applyAlignment="1">
      <alignment horizontal="right" vertical="center"/>
    </xf>
    <xf numFmtId="0" fontId="3" fillId="0" borderId="0" xfId="0" applyFont="1"/>
    <xf numFmtId="14" fontId="2" fillId="0" borderId="0" xfId="0" applyNumberFormat="1" applyFont="1" applyAlignment="1">
      <alignment horizontal="right" vertical="center"/>
    </xf>
    <xf numFmtId="0" fontId="4" fillId="0" borderId="0" xfId="0" applyFont="1"/>
    <xf numFmtId="11" fontId="2" fillId="0" borderId="0" xfId="0" applyNumberFormat="1" applyFont="1" applyAlignment="1">
      <alignment horizontal="left" vertical="center"/>
    </xf>
    <xf numFmtId="0" fontId="5" fillId="0" borderId="0" xfId="0" applyFont="1"/>
    <xf numFmtId="0" fontId="6" fillId="2" borderId="0" xfId="0" applyFont="1" applyFill="1" applyAlignment="1">
      <alignment horizontal="left" vertical="center"/>
    </xf>
    <xf numFmtId="14" fontId="5" fillId="0" borderId="0" xfId="0" applyNumberFormat="1" applyFont="1"/>
    <xf numFmtId="0" fontId="2" fillId="0" borderId="0" xfId="0" applyFont="1" applyAlignment="1">
      <alignment horizontal="left"/>
    </xf>
    <xf numFmtId="0" fontId="7" fillId="0" borderId="0" xfId="0" applyFont="1"/>
    <xf numFmtId="0" fontId="9" fillId="0" borderId="0" xfId="0" applyFont="1"/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right" vertical="center"/>
    </xf>
    <xf numFmtId="0" fontId="0" fillId="0" borderId="0" xfId="0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2" fillId="3" borderId="4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13" fillId="3" borderId="4" xfId="0" applyFont="1" applyFill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10" fontId="14" fillId="0" borderId="4" xfId="0" applyNumberFormat="1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10" fontId="9" fillId="0" borderId="5" xfId="0" applyNumberFormat="1" applyFont="1" applyBorder="1" applyAlignment="1">
      <alignment horizontal="center" vertical="center"/>
    </xf>
    <xf numFmtId="10" fontId="14" fillId="0" borderId="5" xfId="0" applyNumberFormat="1" applyFont="1" applyBorder="1" applyAlignment="1">
      <alignment horizontal="center" vertical="center"/>
    </xf>
    <xf numFmtId="0" fontId="13" fillId="4" borderId="4" xfId="0" applyFont="1" applyFill="1" applyBorder="1" applyAlignment="1">
      <alignment horizontal="center" vertical="center"/>
    </xf>
    <xf numFmtId="10" fontId="12" fillId="4" borderId="4" xfId="0" applyNumberFormat="1" applyFont="1" applyFill="1" applyBorder="1" applyAlignment="1">
      <alignment horizontal="center" vertical="center"/>
    </xf>
    <xf numFmtId="0" fontId="13" fillId="4" borderId="5" xfId="0" applyFont="1" applyFill="1" applyBorder="1" applyAlignment="1">
      <alignment horizontal="center" vertical="center"/>
    </xf>
    <xf numFmtId="0" fontId="12" fillId="4" borderId="4" xfId="0" applyFont="1" applyFill="1" applyBorder="1" applyAlignment="1">
      <alignment horizontal="center" vertical="center"/>
    </xf>
    <xf numFmtId="0" fontId="12" fillId="4" borderId="5" xfId="0" applyFont="1" applyFill="1" applyBorder="1" applyAlignment="1">
      <alignment horizontal="center" vertical="center"/>
    </xf>
    <xf numFmtId="10" fontId="12" fillId="4" borderId="5" xfId="0" applyNumberFormat="1" applyFont="1" applyFill="1" applyBorder="1" applyAlignment="1">
      <alignment horizontal="center" vertical="center"/>
    </xf>
    <xf numFmtId="10" fontId="9" fillId="0" borderId="4" xfId="0" applyNumberFormat="1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12" fillId="4" borderId="3" xfId="0" applyFont="1" applyFill="1" applyBorder="1" applyAlignment="1">
      <alignment horizontal="center" vertical="center"/>
    </xf>
    <xf numFmtId="10" fontId="14" fillId="5" borderId="3" xfId="0" applyNumberFormat="1" applyFont="1" applyFill="1" applyBorder="1" applyAlignment="1">
      <alignment horizontal="center" vertical="center"/>
    </xf>
    <xf numFmtId="10" fontId="14" fillId="0" borderId="3" xfId="0" applyNumberFormat="1" applyFont="1" applyBorder="1" applyAlignment="1">
      <alignment horizontal="center" vertical="center"/>
    </xf>
    <xf numFmtId="10" fontId="9" fillId="5" borderId="3" xfId="0" applyNumberFormat="1" applyFont="1" applyFill="1" applyBorder="1" applyAlignment="1">
      <alignment horizontal="center" vertical="center"/>
    </xf>
    <xf numFmtId="0" fontId="15" fillId="0" borderId="0" xfId="0" applyFont="1"/>
    <xf numFmtId="0" fontId="14" fillId="0" borderId="6" xfId="0" applyFont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12" fillId="4" borderId="7" xfId="0" applyFont="1" applyFill="1" applyBorder="1" applyAlignment="1">
      <alignment horizontal="center" vertical="center"/>
    </xf>
    <xf numFmtId="10" fontId="12" fillId="4" borderId="6" xfId="0" applyNumberFormat="1" applyFont="1" applyFill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10" fontId="9" fillId="5" borderId="4" xfId="0" applyNumberFormat="1" applyFont="1" applyFill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12" fillId="6" borderId="4" xfId="0" applyFont="1" applyFill="1" applyBorder="1" applyAlignment="1">
      <alignment horizontal="center" vertical="center"/>
    </xf>
    <xf numFmtId="0" fontId="5" fillId="6" borderId="4" xfId="0" applyFont="1" applyFill="1" applyBorder="1" applyAlignment="1">
      <alignment horizontal="center" vertical="center"/>
    </xf>
    <xf numFmtId="10" fontId="12" fillId="4" borderId="3" xfId="0" applyNumberFormat="1" applyFont="1" applyFill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5" fillId="0" borderId="7" xfId="0" applyFont="1" applyBorder="1" applyAlignment="1">
      <alignment horizontal="center" vertical="center"/>
    </xf>
    <xf numFmtId="10" fontId="14" fillId="0" borderId="6" xfId="0" applyNumberFormat="1" applyFont="1" applyBorder="1" applyAlignment="1">
      <alignment horizontal="center" vertical="center"/>
    </xf>
    <xf numFmtId="0" fontId="7" fillId="0" borderId="0" xfId="0" applyFont="1" applyAlignment="1">
      <alignment horizontal="right" vertical="center"/>
    </xf>
    <xf numFmtId="0" fontId="15" fillId="0" borderId="4" xfId="0" applyFont="1" applyBorder="1" applyAlignment="1">
      <alignment horizontal="center" vertical="center"/>
    </xf>
    <xf numFmtId="0" fontId="12" fillId="4" borderId="6" xfId="0" applyFont="1" applyFill="1" applyBorder="1" applyAlignment="1">
      <alignment horizontal="center" vertical="center"/>
    </xf>
    <xf numFmtId="10" fontId="12" fillId="4" borderId="7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10" fontId="15" fillId="0" borderId="3" xfId="0" applyNumberFormat="1" applyFont="1" applyBorder="1" applyAlignment="1">
      <alignment horizontal="center" vertical="center"/>
    </xf>
    <xf numFmtId="10" fontId="5" fillId="0" borderId="3" xfId="0" applyNumberFormat="1" applyFont="1" applyBorder="1" applyAlignment="1">
      <alignment horizontal="center" vertical="center"/>
    </xf>
    <xf numFmtId="10" fontId="9" fillId="0" borderId="3" xfId="0" applyNumberFormat="1" applyFont="1" applyBorder="1" applyAlignment="1">
      <alignment horizontal="center" vertical="center"/>
    </xf>
    <xf numFmtId="10" fontId="2" fillId="0" borderId="3" xfId="0" applyNumberFormat="1" applyFont="1" applyBorder="1" applyAlignment="1">
      <alignment horizontal="center" vertical="center"/>
    </xf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8" fillId="7" borderId="0" xfId="0" applyFont="1" applyFill="1" applyAlignment="1">
      <alignment horizontal="center" vertical="center"/>
    </xf>
    <xf numFmtId="0" fontId="8" fillId="8" borderId="0" xfId="0" applyFont="1" applyFill="1"/>
    <xf numFmtId="0" fontId="8" fillId="8" borderId="0" xfId="0" applyFont="1" applyFill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5" fillId="0" borderId="0" xfId="0" applyFont="1"/>
    <xf numFmtId="0" fontId="2" fillId="0" borderId="0" xfId="0" applyFont="1"/>
    <xf numFmtId="0" fontId="7" fillId="0" borderId="0" xfId="0" applyFont="1"/>
    <xf numFmtId="0" fontId="2" fillId="0" borderId="0" xfId="0" applyFont="1" applyAlignment="1">
      <alignment horizontal="left" vertical="center"/>
    </xf>
    <xf numFmtId="0" fontId="5" fillId="0" borderId="9" xfId="0" applyFont="1" applyBorder="1"/>
    <xf numFmtId="0" fontId="5" fillId="0" borderId="10" xfId="0" applyFont="1" applyBorder="1"/>
    <xf numFmtId="0" fontId="9" fillId="0" borderId="1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164" fontId="0" fillId="9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9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/>
    <xf numFmtId="165" fontId="0" fillId="0" borderId="0" xfId="0" applyNumberFormat="1" applyAlignment="1">
      <alignment horizontal="center"/>
    </xf>
    <xf numFmtId="11" fontId="0" fillId="0" borderId="0" xfId="0" applyNumberFormat="1" applyAlignment="1">
      <alignment horizontal="center"/>
    </xf>
    <xf numFmtId="44" fontId="0" fillId="0" borderId="0" xfId="0" applyNumberFormat="1"/>
    <xf numFmtId="0" fontId="8" fillId="0" borderId="0" xfId="0" applyFont="1"/>
    <xf numFmtId="0" fontId="8" fillId="0" borderId="0" xfId="0" applyFont="1" applyAlignment="1">
      <alignment horizontal="right"/>
    </xf>
    <xf numFmtId="165" fontId="8" fillId="0" borderId="0" xfId="0" applyNumberFormat="1" applyFont="1"/>
    <xf numFmtId="165" fontId="8" fillId="8" borderId="0" xfId="0" applyNumberFormat="1" applyFont="1" applyFill="1" applyAlignment="1">
      <alignment horizontal="center" vertical="center"/>
    </xf>
    <xf numFmtId="9" fontId="8" fillId="0" borderId="0" xfId="0" applyNumberFormat="1" applyFont="1" applyAlignment="1">
      <alignment horizontal="right"/>
    </xf>
    <xf numFmtId="165" fontId="0" fillId="10" borderId="0" xfId="0" applyNumberFormat="1" applyFill="1" applyAlignment="1">
      <alignment horizontal="center"/>
    </xf>
    <xf numFmtId="0" fontId="0" fillId="10" borderId="0" xfId="0" applyFill="1" applyAlignment="1">
      <alignment horizontal="center"/>
    </xf>
    <xf numFmtId="168" fontId="0" fillId="0" borderId="0" xfId="0" applyNumberFormat="1"/>
    <xf numFmtId="168" fontId="0" fillId="0" borderId="0" xfId="0" applyNumberFormat="1" applyAlignment="1">
      <alignment horizontal="center"/>
    </xf>
    <xf numFmtId="168" fontId="0" fillId="10" borderId="0" xfId="0" applyNumberFormat="1" applyFill="1" applyAlignment="1">
      <alignment horizontal="center"/>
    </xf>
    <xf numFmtId="0" fontId="0" fillId="0" borderId="11" xfId="0" applyBorder="1"/>
    <xf numFmtId="165" fontId="0" fillId="0" borderId="11" xfId="0" applyNumberFormat="1" applyBorder="1"/>
    <xf numFmtId="0" fontId="0" fillId="0" borderId="0" xfId="0" applyAlignment="1">
      <alignment horizontal="right"/>
    </xf>
    <xf numFmtId="10" fontId="8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externalLink" Target="externalLinks/externalLink3.xml"/><Relationship Id="rId63" Type="http://schemas.openxmlformats.org/officeDocument/2006/relationships/externalLink" Target="externalLinks/externalLink19.xml"/><Relationship Id="rId68" Type="http://schemas.openxmlformats.org/officeDocument/2006/relationships/externalLink" Target="externalLinks/externalLink24.xml"/><Relationship Id="rId84" Type="http://schemas.microsoft.com/office/2017/10/relationships/person" Target="persons/person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externalLink" Target="externalLinks/externalLink9.xml"/><Relationship Id="rId58" Type="http://schemas.openxmlformats.org/officeDocument/2006/relationships/externalLink" Target="externalLinks/externalLink14.xml"/><Relationship Id="rId74" Type="http://schemas.openxmlformats.org/officeDocument/2006/relationships/externalLink" Target="externalLinks/externalLink30.xml"/><Relationship Id="rId79" Type="http://schemas.openxmlformats.org/officeDocument/2006/relationships/externalLink" Target="externalLinks/externalLink35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externalLink" Target="externalLinks/externalLink4.xml"/><Relationship Id="rId56" Type="http://schemas.openxmlformats.org/officeDocument/2006/relationships/externalLink" Target="externalLinks/externalLink12.xml"/><Relationship Id="rId64" Type="http://schemas.openxmlformats.org/officeDocument/2006/relationships/externalLink" Target="externalLinks/externalLink20.xml"/><Relationship Id="rId69" Type="http://schemas.openxmlformats.org/officeDocument/2006/relationships/externalLink" Target="externalLinks/externalLink25.xml"/><Relationship Id="rId77" Type="http://schemas.openxmlformats.org/officeDocument/2006/relationships/externalLink" Target="externalLinks/externalLink33.xml"/><Relationship Id="rId8" Type="http://schemas.openxmlformats.org/officeDocument/2006/relationships/worksheet" Target="worksheets/sheet8.xml"/><Relationship Id="rId51" Type="http://schemas.openxmlformats.org/officeDocument/2006/relationships/externalLink" Target="externalLinks/externalLink7.xml"/><Relationship Id="rId72" Type="http://schemas.openxmlformats.org/officeDocument/2006/relationships/externalLink" Target="externalLinks/externalLink28.xml"/><Relationship Id="rId80" Type="http://schemas.openxmlformats.org/officeDocument/2006/relationships/externalLink" Target="externalLinks/externalLink36.xml"/><Relationship Id="rId85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externalLink" Target="externalLinks/externalLink2.xml"/><Relationship Id="rId59" Type="http://schemas.openxmlformats.org/officeDocument/2006/relationships/externalLink" Target="externalLinks/externalLink15.xml"/><Relationship Id="rId67" Type="http://schemas.openxmlformats.org/officeDocument/2006/relationships/externalLink" Target="externalLinks/externalLink23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externalLink" Target="externalLinks/externalLink10.xml"/><Relationship Id="rId62" Type="http://schemas.openxmlformats.org/officeDocument/2006/relationships/externalLink" Target="externalLinks/externalLink18.xml"/><Relationship Id="rId70" Type="http://schemas.openxmlformats.org/officeDocument/2006/relationships/externalLink" Target="externalLinks/externalLink26.xml"/><Relationship Id="rId75" Type="http://schemas.openxmlformats.org/officeDocument/2006/relationships/externalLink" Target="externalLinks/externalLink31.xml"/><Relationship Id="rId83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externalLink" Target="externalLinks/externalLink5.xml"/><Relationship Id="rId57" Type="http://schemas.openxmlformats.org/officeDocument/2006/relationships/externalLink" Target="externalLinks/externalLink13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externalLink" Target="externalLinks/externalLink8.xml"/><Relationship Id="rId60" Type="http://schemas.openxmlformats.org/officeDocument/2006/relationships/externalLink" Target="externalLinks/externalLink16.xml"/><Relationship Id="rId65" Type="http://schemas.openxmlformats.org/officeDocument/2006/relationships/externalLink" Target="externalLinks/externalLink21.xml"/><Relationship Id="rId73" Type="http://schemas.openxmlformats.org/officeDocument/2006/relationships/externalLink" Target="externalLinks/externalLink29.xml"/><Relationship Id="rId78" Type="http://schemas.openxmlformats.org/officeDocument/2006/relationships/externalLink" Target="externalLinks/externalLink34.xml"/><Relationship Id="rId8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externalLink" Target="externalLinks/externalLink6.xml"/><Relationship Id="rId55" Type="http://schemas.openxmlformats.org/officeDocument/2006/relationships/externalLink" Target="externalLinks/externalLink11.xml"/><Relationship Id="rId76" Type="http://schemas.openxmlformats.org/officeDocument/2006/relationships/externalLink" Target="externalLinks/externalLink32.xml"/><Relationship Id="rId7" Type="http://schemas.openxmlformats.org/officeDocument/2006/relationships/worksheet" Target="worksheets/sheet7.xml"/><Relationship Id="rId71" Type="http://schemas.openxmlformats.org/officeDocument/2006/relationships/externalLink" Target="externalLinks/externalLink27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externalLink" Target="externalLinks/externalLink1.xml"/><Relationship Id="rId66" Type="http://schemas.openxmlformats.org/officeDocument/2006/relationships/externalLink" Target="externalLinks/externalLink22.xml"/><Relationship Id="rId61" Type="http://schemas.openxmlformats.org/officeDocument/2006/relationships/externalLink" Target="externalLinks/externalLink17.xml"/><Relationship Id="rId82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HOUSE%20EMPLOYEE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microsoft.com/office/2006/relationships/xlExternalLinkPath/xlPathMissing" Target="JOVAN%20MANZANARE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microsoft.com/office/2006/relationships/xlExternalLinkPath/xlPathMissing" Target="BRYAN%20ALTUNAGA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microsoft.com/office/2006/relationships/xlExternalLinkPath/xlPathMissing" Target="CARLOS%20CORNIELE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microsoft.com/office/2006/relationships/xlExternalLinkPath/xlPathMissing" Target="RAFAEL%20FIGUEREDO%20DE%20SANTIAGO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microsoft.com/office/2006/relationships/xlExternalLinkPath/xlPathMissing" Target="MAXIMILIANO%20TORIANO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microsoft.com/office/2006/relationships/xlExternalLinkPath/xlPathMissing" Target="LUCAS%20BUCCI%20ODDO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microsoft.com/office/2006/relationships/xlExternalLinkPath/xlPathMissing" Target="SERGIO%20BETANCOURT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microsoft.com/office/2006/relationships/xlExternalLinkPath/xlPathMissing" Target="ARMAND%20PERRIER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microsoft.com/office/2006/relationships/xlExternalLinkPath/xlPathMissing" Target="ADAM%20PARTRIDGE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microsoft.com/office/2006/relationships/xlExternalLinkPath/xlPathMissing" Target="WEBER%20GUILBAUD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JOHN%20SINDONI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microsoft.com/office/2006/relationships/xlExternalLinkPath/xlPathMissing" Target="GONZALO%20SOSA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microsoft.com/office/2006/relationships/xlExternalLinkPath/xlPathMissing" Target="OMAR%20CRUZ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microsoft.com/office/2006/relationships/xlExternalLinkPath/xlPathMissing" Target="PATRICK%20MCCLOSKEY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microsoft.com/office/2006/relationships/xlExternalLinkPath/xlPathMissing" Target="MANUEL%20GINORI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microsoft.com/office/2006/relationships/xlExternalLinkPath/xlPathMissing" Target="ALEX%20PALACIO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microsoft.com/office/2006/relationships/xlExternalLinkPath/xlPathMissing" Target="FRANCISCO%20LLANO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microsoft.com/office/2006/relationships/xlExternalLinkPath/xlPathMissing" Target="FRANCESCO%20DIAZ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microsoft.com/office/2006/relationships/xlExternalLinkPath/xlPathMissing" Target="ROBERT%20HUNTER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microsoft.com/office/2006/relationships/xlExternalLinkPath/xlPathMissing" Target="NIMA%20ZARE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microsoft.com/office/2006/relationships/xlExternalLinkPath/xlPathMissing" Target="FRANK%20GARCIA%20ECHEMENDIA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CHRISTOPHER%20CALERO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microsoft.com/office/2006/relationships/xlExternalLinkPath/xlPathMissing" Target="CHRISTOPHER%20MANNING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microsoft.com/office/2006/relationships/xlExternalLinkPath/xlPathMissing" Target="PEDRO%20CANA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microsoft.com/office/2006/relationships/xlExternalLinkPath/xlPathMissing" Target="JORGE%20SUAREZ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microsoft.com/office/2006/relationships/xlExternalLinkPath/xlPathMissing" Target="JAIME%20WEVER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microsoft.com/office/2006/relationships/xlExternalLinkPath/xlPathMissing" Target="MARLON%20BOSCH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microsoft.com/office/2006/relationships/xlExternalLinkPath/xlPathMissing" Target="ALEJANDRO%20DE%20LA%20TERGA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microsoft.com/office/2006/relationships/xlExternalLinkPath/xlPathMissing" Target="ANTHONY%20CERRUELA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microsoft.com/office/2006/relationships/xlExternalLinkPath/xlPathMissing" Target="HUGO%20GONZALEZ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microsoft.com/office/2006/relationships/xlExternalLinkPath/xlPathMissing" Target="DANIEL%20GARCIA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microsoft.com/office/2006/relationships/xlExternalLinkPath/xlPathMissing" Target="RICARDO%20PEREZ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microsoft.com/office/2006/relationships/xlExternalLinkPath/xlPathMissing" Target="JEAN%20FREZIN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microsoft.com/office/2006/relationships/xlExternalLinkPath/xlPathMissing" Target="FREDDY%20JUAREZ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microsoft.com/office/2006/relationships/xlExternalLinkPath/xlPathMissing" Target="MICHAEL%20LAZO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USE EMPLOYEE"/>
    </sheetNames>
    <sheetDataSet>
      <sheetData sheetId="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JOVAN MANZANARES"/>
    </sheetNames>
    <sheetDataSet>
      <sheetData sheetId="0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RYAN ALTUNAGA"/>
    </sheetNames>
    <sheetDataSet>
      <sheetData sheetId="0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ARLOS CORNIELES"/>
    </sheetNames>
    <sheetDataSet>
      <sheetData sheetId="0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AFAEL FIGUEREDO DE SANTIAGO"/>
    </sheetNames>
    <sheetDataSet>
      <sheetData sheetId="0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XIMILIANO TORIANO"/>
    </sheetNames>
    <sheetDataSet>
      <sheetData sheetId="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UCAS BUCCI ODDO"/>
    </sheetNames>
    <sheetDataSet>
      <sheetData sheetId="0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RGIO BETANCOURT"/>
    </sheetNames>
    <sheetDataSet>
      <sheetData sheetId="0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RMAND PERRIER"/>
    </sheetNames>
    <sheetDataSet>
      <sheetData sheetId="0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DAM PARTRIDGE"/>
    </sheetNames>
    <sheetDataSet>
      <sheetData sheetId="0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EBER GUILBAUD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JOHN SINDONI"/>
    </sheetNames>
    <sheetDataSet>
      <sheetData sheetId="0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ONZALO SOSA"/>
    </sheetNames>
    <sheetDataSet>
      <sheetData sheetId="0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MAR CRUZ"/>
    </sheetNames>
    <sheetDataSet>
      <sheetData sheetId="0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ATRICK MCCLOSKEY"/>
    </sheetNames>
    <sheetDataSet>
      <sheetData sheetId="0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NUEL GINORI"/>
    </sheetNames>
    <sheetDataSet>
      <sheetData sheetId="0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LEX PALACIOS"/>
    </sheetNames>
    <sheetDataSet>
      <sheetData sheetId="0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RANCISCO LLANO"/>
    </sheetNames>
    <sheetDataSet>
      <sheetData sheetId="0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RANCESCO DIAZ"/>
    </sheetNames>
    <sheetDataSet>
      <sheetData sheetId="0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OBERT HUNTER"/>
    </sheetNames>
    <sheetDataSet>
      <sheetData sheetId="0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IMA ZARE"/>
    </sheetNames>
    <sheetDataSet>
      <sheetData sheetId="0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RANK GARCIA ECHEMENDIA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HRISTOPHER CALERO"/>
    </sheetNames>
    <sheetDataSet>
      <sheetData sheetId="0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HRISTOPHER MANNING"/>
    </sheetNames>
    <sheetDataSet>
      <sheetData sheetId="0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EDRO CANAS"/>
    </sheetNames>
    <sheetDataSet>
      <sheetData sheetId="0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JORGE SUAREZ"/>
    </sheetNames>
    <sheetDataSet>
      <sheetData sheetId="0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JAIME WEVER"/>
    </sheetNames>
    <sheetDataSet>
      <sheetData sheetId="0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RLON BOSCH"/>
    </sheetNames>
    <sheetDataSet>
      <sheetData sheetId="0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LEJANDRO DE LA TERGA"/>
    </sheetNames>
    <sheetDataSet>
      <sheetData sheetId="0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NTHONY CERRUELA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UGO GONZALEZ"/>
    </sheetNames>
    <sheetDataSet>
      <sheetData sheetId="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NIEL GARCIA"/>
    </sheetNames>
    <sheetDataSet>
      <sheetData sheetId="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ICARDO PEREZ"/>
    </sheet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JEAN FREZIN"/>
    </sheetNames>
    <sheetDataSet>
      <sheetData sheetId="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REDDY JUAREZ"/>
    </sheet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ICHAEL LAZO"/>
    </sheetNames>
    <sheetDataSet>
      <sheetData sheetId="0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68F18-F84D-4823-8DCB-12BD7B15624A}">
  <sheetPr>
    <tabColor rgb="FFFFFF00"/>
  </sheetPr>
  <dimension ref="A1:Q674"/>
  <sheetViews>
    <sheetView workbookViewId="0">
      <selection activeCell="J14" sqref="J14"/>
    </sheetView>
  </sheetViews>
  <sheetFormatPr defaultRowHeight="15" x14ac:dyDescent="0.25"/>
  <cols>
    <col min="1" max="1" width="9.7109375" bestFit="1" customWidth="1"/>
    <col min="2" max="2" width="11.140625" bestFit="1" customWidth="1"/>
    <col min="3" max="3" width="12.7109375" bestFit="1" customWidth="1"/>
    <col min="4" max="4" width="31.140625" bestFit="1" customWidth="1"/>
    <col min="5" max="5" width="10.5703125" bestFit="1" customWidth="1"/>
    <col min="6" max="6" width="35.42578125" bestFit="1" customWidth="1"/>
    <col min="7" max="7" width="8.85546875" bestFit="1" customWidth="1"/>
    <col min="8" max="8" width="10.28515625" bestFit="1" customWidth="1"/>
    <col min="9" max="9" width="49.85546875" bestFit="1" customWidth="1"/>
    <col min="10" max="10" width="9.42578125" bestFit="1" customWidth="1"/>
    <col min="11" max="11" width="12.85546875" bestFit="1" customWidth="1"/>
    <col min="12" max="12" width="15.85546875" bestFit="1" customWidth="1"/>
    <col min="13" max="13" width="5.7109375" bestFit="1" customWidth="1"/>
    <col min="14" max="14" width="19.7109375" bestFit="1" customWidth="1"/>
  </cols>
  <sheetData>
    <row r="1" spans="1:17" x14ac:dyDescent="0.25">
      <c r="A1" s="2" t="s">
        <v>43</v>
      </c>
      <c r="B1" s="1" t="s">
        <v>44</v>
      </c>
      <c r="C1" s="1" t="s">
        <v>45</v>
      </c>
      <c r="D1" s="1" t="s">
        <v>46</v>
      </c>
      <c r="E1" s="1" t="s">
        <v>47</v>
      </c>
      <c r="F1" s="1" t="s">
        <v>48</v>
      </c>
      <c r="G1" s="1" t="s">
        <v>49</v>
      </c>
      <c r="H1" s="1" t="s">
        <v>50</v>
      </c>
      <c r="I1" s="1" t="s">
        <v>1</v>
      </c>
      <c r="J1" s="1" t="s">
        <v>51</v>
      </c>
      <c r="K1" s="2" t="s">
        <v>52</v>
      </c>
      <c r="L1" s="2" t="s">
        <v>53</v>
      </c>
      <c r="M1" s="2" t="s">
        <v>54</v>
      </c>
      <c r="N1" s="2" t="s">
        <v>55</v>
      </c>
      <c r="O1" s="7"/>
      <c r="P1" s="7"/>
      <c r="Q1" s="7"/>
    </row>
    <row r="2" spans="1:17" x14ac:dyDescent="0.25">
      <c r="A2" s="8">
        <v>45747</v>
      </c>
      <c r="B2" s="3">
        <v>8768</v>
      </c>
      <c r="C2" s="3">
        <v>99</v>
      </c>
      <c r="D2" s="3" t="s">
        <v>6</v>
      </c>
      <c r="E2" s="3">
        <v>284175</v>
      </c>
      <c r="F2" s="3" t="s">
        <v>42</v>
      </c>
      <c r="G2" s="3" t="s">
        <v>56</v>
      </c>
      <c r="H2" s="3" t="s">
        <v>57</v>
      </c>
      <c r="I2" s="3" t="s">
        <v>58</v>
      </c>
      <c r="J2" s="3" t="s">
        <v>59</v>
      </c>
      <c r="K2" s="4">
        <v>0</v>
      </c>
      <c r="L2" s="4">
        <v>0</v>
      </c>
      <c r="M2" s="4">
        <v>0</v>
      </c>
      <c r="N2" s="4">
        <v>0</v>
      </c>
      <c r="O2" s="5"/>
      <c r="P2" s="9"/>
      <c r="Q2" s="9"/>
    </row>
    <row r="3" spans="1:17" x14ac:dyDescent="0.25">
      <c r="A3" s="8">
        <v>45747</v>
      </c>
      <c r="B3" s="3" t="s">
        <v>60</v>
      </c>
      <c r="C3" s="3">
        <v>99</v>
      </c>
      <c r="D3" s="3" t="s">
        <v>6</v>
      </c>
      <c r="E3" s="3">
        <v>284175</v>
      </c>
      <c r="F3" s="3" t="s">
        <v>42</v>
      </c>
      <c r="G3" s="3" t="s">
        <v>56</v>
      </c>
      <c r="H3" s="3" t="s">
        <v>57</v>
      </c>
      <c r="I3" s="3" t="s">
        <v>58</v>
      </c>
      <c r="J3" s="3" t="s">
        <v>59</v>
      </c>
      <c r="K3" s="4">
        <v>0</v>
      </c>
      <c r="L3" s="6">
        <v>-1029</v>
      </c>
      <c r="M3" s="4">
        <v>1</v>
      </c>
      <c r="N3" s="4">
        <v>200</v>
      </c>
      <c r="O3" s="5"/>
      <c r="P3" s="9"/>
      <c r="Q3" s="9"/>
    </row>
    <row r="4" spans="1:17" x14ac:dyDescent="0.25">
      <c r="A4" s="8">
        <v>45721</v>
      </c>
      <c r="B4" s="3" t="s">
        <v>61</v>
      </c>
      <c r="C4" s="3">
        <v>3262</v>
      </c>
      <c r="D4" s="3" t="s">
        <v>7</v>
      </c>
      <c r="E4" s="3">
        <v>23583</v>
      </c>
      <c r="F4" s="3" t="s">
        <v>62</v>
      </c>
      <c r="G4" s="3" t="s">
        <v>63</v>
      </c>
      <c r="H4" s="3">
        <v>5217204</v>
      </c>
      <c r="I4" s="3" t="s">
        <v>64</v>
      </c>
      <c r="J4" s="3" t="s">
        <v>59</v>
      </c>
      <c r="K4" s="6">
        <v>1005.29</v>
      </c>
      <c r="L4" s="4">
        <v>234.62</v>
      </c>
      <c r="M4" s="4">
        <v>0.5</v>
      </c>
      <c r="N4" s="4">
        <v>100</v>
      </c>
      <c r="O4" s="5"/>
      <c r="P4" s="9"/>
      <c r="Q4" s="9"/>
    </row>
    <row r="5" spans="1:17" x14ac:dyDescent="0.25">
      <c r="A5" s="8">
        <v>45721</v>
      </c>
      <c r="B5" s="3">
        <v>9330</v>
      </c>
      <c r="C5" s="3">
        <v>3262</v>
      </c>
      <c r="D5" s="3" t="s">
        <v>7</v>
      </c>
      <c r="E5" s="3">
        <v>23583</v>
      </c>
      <c r="F5" s="3" t="s">
        <v>62</v>
      </c>
      <c r="G5" s="3" t="s">
        <v>56</v>
      </c>
      <c r="H5" s="3">
        <v>5217204</v>
      </c>
      <c r="I5" s="3" t="s">
        <v>64</v>
      </c>
      <c r="J5" s="3" t="s">
        <v>59</v>
      </c>
      <c r="K5" s="4">
        <v>0</v>
      </c>
      <c r="L5" s="4">
        <v>0</v>
      </c>
      <c r="M5" s="4">
        <v>0</v>
      </c>
      <c r="N5" s="4">
        <v>0</v>
      </c>
      <c r="O5" s="5"/>
      <c r="P5" s="9"/>
      <c r="Q5" s="9"/>
    </row>
    <row r="6" spans="1:17" x14ac:dyDescent="0.25">
      <c r="A6" s="8">
        <v>45735</v>
      </c>
      <c r="B6" s="3">
        <v>9470</v>
      </c>
      <c r="C6" s="3">
        <v>3262</v>
      </c>
      <c r="D6" s="3" t="s">
        <v>7</v>
      </c>
      <c r="E6" s="3">
        <v>23818</v>
      </c>
      <c r="F6" s="3" t="s">
        <v>65</v>
      </c>
      <c r="G6" s="3" t="s">
        <v>56</v>
      </c>
      <c r="H6" s="3" t="s">
        <v>66</v>
      </c>
      <c r="I6" s="3" t="s">
        <v>67</v>
      </c>
      <c r="J6" s="3" t="s">
        <v>59</v>
      </c>
      <c r="K6" s="4">
        <v>799</v>
      </c>
      <c r="L6" s="6">
        <v>-2290</v>
      </c>
      <c r="M6" s="4">
        <v>1</v>
      </c>
      <c r="N6" s="4">
        <v>200</v>
      </c>
      <c r="O6" s="5"/>
      <c r="P6" s="9"/>
      <c r="Q6" s="9"/>
    </row>
    <row r="7" spans="1:17" x14ac:dyDescent="0.25">
      <c r="A7" s="8">
        <v>45736</v>
      </c>
      <c r="B7" s="3">
        <v>9459</v>
      </c>
      <c r="C7" s="3">
        <v>3262</v>
      </c>
      <c r="D7" s="3" t="s">
        <v>7</v>
      </c>
      <c r="E7" s="3">
        <v>272923</v>
      </c>
      <c r="F7" s="3" t="s">
        <v>68</v>
      </c>
      <c r="G7" s="3" t="s">
        <v>69</v>
      </c>
      <c r="H7" s="3" t="s">
        <v>70</v>
      </c>
      <c r="I7" s="3" t="s">
        <v>71</v>
      </c>
      <c r="J7" s="3" t="s">
        <v>59</v>
      </c>
      <c r="K7" s="6">
        <v>6086.2</v>
      </c>
      <c r="L7" s="6">
        <v>3780</v>
      </c>
      <c r="M7" s="4">
        <v>1</v>
      </c>
      <c r="N7" s="4">
        <v>680.4</v>
      </c>
      <c r="O7" s="5"/>
      <c r="P7" s="9"/>
      <c r="Q7" s="9"/>
    </row>
    <row r="8" spans="1:17" x14ac:dyDescent="0.25">
      <c r="A8" s="8">
        <v>45736</v>
      </c>
      <c r="B8" s="3">
        <v>9459</v>
      </c>
      <c r="C8" s="3">
        <v>3262</v>
      </c>
      <c r="D8" s="3" t="s">
        <v>7</v>
      </c>
      <c r="E8" s="3">
        <v>272923</v>
      </c>
      <c r="F8" s="3" t="s">
        <v>68</v>
      </c>
      <c r="G8" s="3" t="s">
        <v>69</v>
      </c>
      <c r="H8" s="3" t="s">
        <v>72</v>
      </c>
      <c r="I8" s="3" t="s">
        <v>73</v>
      </c>
      <c r="J8" s="3" t="s">
        <v>59</v>
      </c>
      <c r="K8" s="5"/>
      <c r="L8" s="5"/>
      <c r="M8" s="5"/>
      <c r="N8" s="5"/>
      <c r="O8" s="5"/>
      <c r="P8" s="9"/>
      <c r="Q8" s="9"/>
    </row>
    <row r="9" spans="1:17" x14ac:dyDescent="0.25">
      <c r="A9" s="8">
        <v>45736</v>
      </c>
      <c r="B9" s="3">
        <v>9636</v>
      </c>
      <c r="C9" s="3">
        <v>3262</v>
      </c>
      <c r="D9" s="3" t="s">
        <v>7</v>
      </c>
      <c r="E9" s="3">
        <v>24093</v>
      </c>
      <c r="F9" s="3" t="s">
        <v>74</v>
      </c>
      <c r="G9" s="3" t="s">
        <v>56</v>
      </c>
      <c r="H9" s="3" t="s">
        <v>75</v>
      </c>
      <c r="I9" s="3" t="s">
        <v>76</v>
      </c>
      <c r="J9" s="3" t="s">
        <v>59</v>
      </c>
      <c r="K9" s="6">
        <v>4277.2</v>
      </c>
      <c r="L9" s="6">
        <v>2188</v>
      </c>
      <c r="M9" s="4">
        <v>1</v>
      </c>
      <c r="N9" s="4">
        <v>393.84</v>
      </c>
      <c r="O9" s="5"/>
      <c r="P9" s="9"/>
      <c r="Q9" s="9"/>
    </row>
    <row r="10" spans="1:17" x14ac:dyDescent="0.25">
      <c r="A10" s="8">
        <v>45741</v>
      </c>
      <c r="B10" s="3">
        <v>9420</v>
      </c>
      <c r="C10" s="3">
        <v>3262</v>
      </c>
      <c r="D10" s="3" t="s">
        <v>7</v>
      </c>
      <c r="E10" s="3">
        <v>23733</v>
      </c>
      <c r="F10" s="3" t="s">
        <v>77</v>
      </c>
      <c r="G10" s="3" t="s">
        <v>69</v>
      </c>
      <c r="H10" s="3" t="s">
        <v>78</v>
      </c>
      <c r="I10" s="3" t="s">
        <v>79</v>
      </c>
      <c r="J10" s="3" t="s">
        <v>59</v>
      </c>
      <c r="K10" s="6">
        <v>2000</v>
      </c>
      <c r="L10" s="6">
        <v>-1270.6099999999999</v>
      </c>
      <c r="M10" s="4">
        <v>1</v>
      </c>
      <c r="N10" s="4">
        <v>200</v>
      </c>
      <c r="O10" s="5"/>
      <c r="P10" s="9"/>
      <c r="Q10" s="9"/>
    </row>
    <row r="11" spans="1:17" x14ac:dyDescent="0.25">
      <c r="A11" s="8">
        <v>45741</v>
      </c>
      <c r="B11" s="3">
        <v>9420</v>
      </c>
      <c r="C11" s="3">
        <v>3262</v>
      </c>
      <c r="D11" s="3" t="s">
        <v>7</v>
      </c>
      <c r="E11" s="3">
        <v>23733</v>
      </c>
      <c r="F11" s="3" t="s">
        <v>77</v>
      </c>
      <c r="G11" s="3" t="s">
        <v>69</v>
      </c>
      <c r="H11" s="3" t="s">
        <v>80</v>
      </c>
      <c r="I11" s="3" t="s">
        <v>81</v>
      </c>
      <c r="J11" s="3" t="s">
        <v>59</v>
      </c>
      <c r="K11" s="5"/>
      <c r="L11" s="5"/>
      <c r="M11" s="5"/>
      <c r="N11" s="5"/>
      <c r="O11" s="5"/>
      <c r="P11" s="9"/>
      <c r="Q11" s="9"/>
    </row>
    <row r="12" spans="1:17" x14ac:dyDescent="0.25">
      <c r="A12" s="8">
        <v>45741</v>
      </c>
      <c r="B12" s="3">
        <v>9465</v>
      </c>
      <c r="C12" s="3">
        <v>3262</v>
      </c>
      <c r="D12" s="3" t="s">
        <v>7</v>
      </c>
      <c r="E12" s="3">
        <v>277382</v>
      </c>
      <c r="F12" s="3" t="s">
        <v>82</v>
      </c>
      <c r="G12" s="3" t="s">
        <v>83</v>
      </c>
      <c r="H12" s="3" t="s">
        <v>84</v>
      </c>
      <c r="I12" s="3" t="s">
        <v>85</v>
      </c>
      <c r="J12" s="3" t="s">
        <v>86</v>
      </c>
      <c r="K12" s="4">
        <v>0</v>
      </c>
      <c r="L12" s="4">
        <v>750</v>
      </c>
      <c r="M12" s="4">
        <v>1</v>
      </c>
      <c r="N12" s="4">
        <v>200</v>
      </c>
      <c r="O12" s="9"/>
      <c r="P12" s="9"/>
      <c r="Q12" s="9"/>
    </row>
    <row r="13" spans="1:17" x14ac:dyDescent="0.25">
      <c r="A13" s="8">
        <v>45743</v>
      </c>
      <c r="B13" s="3">
        <v>9720</v>
      </c>
      <c r="C13" s="3">
        <v>3262</v>
      </c>
      <c r="D13" s="3" t="s">
        <v>7</v>
      </c>
      <c r="E13" s="3">
        <v>24242</v>
      </c>
      <c r="F13" s="3" t="s">
        <v>87</v>
      </c>
      <c r="G13" s="3" t="s">
        <v>56</v>
      </c>
      <c r="H13" s="3" t="s">
        <v>88</v>
      </c>
      <c r="I13" s="3" t="s">
        <v>89</v>
      </c>
      <c r="J13" s="3" t="s">
        <v>59</v>
      </c>
      <c r="K13" s="6">
        <v>1208</v>
      </c>
      <c r="L13" s="6">
        <v>1498.48</v>
      </c>
      <c r="M13" s="4">
        <v>1</v>
      </c>
      <c r="N13" s="4">
        <v>269.73</v>
      </c>
      <c r="O13" s="9"/>
      <c r="P13" s="9"/>
      <c r="Q13" s="9"/>
    </row>
    <row r="14" spans="1:17" x14ac:dyDescent="0.25">
      <c r="A14" s="8">
        <v>45744</v>
      </c>
      <c r="B14" s="3">
        <v>9763</v>
      </c>
      <c r="C14" s="3">
        <v>3262</v>
      </c>
      <c r="D14" s="3" t="s">
        <v>7</v>
      </c>
      <c r="E14" s="3">
        <v>253678</v>
      </c>
      <c r="F14" s="3" t="s">
        <v>90</v>
      </c>
      <c r="G14" s="3" t="s">
        <v>69</v>
      </c>
      <c r="H14" s="3" t="s">
        <v>91</v>
      </c>
      <c r="I14" s="3" t="s">
        <v>71</v>
      </c>
      <c r="J14" s="3" t="s">
        <v>59</v>
      </c>
      <c r="K14" s="6">
        <v>3522.54</v>
      </c>
      <c r="L14" s="6">
        <v>-4479</v>
      </c>
      <c r="M14" s="4">
        <v>1</v>
      </c>
      <c r="N14" s="4">
        <v>200</v>
      </c>
      <c r="O14" s="9"/>
      <c r="P14" s="9"/>
      <c r="Q14" s="9"/>
    </row>
    <row r="15" spans="1:17" x14ac:dyDescent="0.25">
      <c r="A15" s="8">
        <v>45747</v>
      </c>
      <c r="B15" s="3">
        <v>9911</v>
      </c>
      <c r="C15" s="3">
        <v>3262</v>
      </c>
      <c r="D15" s="3" t="s">
        <v>7</v>
      </c>
      <c r="E15" s="3">
        <v>24464</v>
      </c>
      <c r="F15" s="3" t="s">
        <v>92</v>
      </c>
      <c r="G15" s="3" t="s">
        <v>63</v>
      </c>
      <c r="H15" s="3" t="s">
        <v>93</v>
      </c>
      <c r="I15" s="3" t="s">
        <v>94</v>
      </c>
      <c r="J15" s="3" t="s">
        <v>59</v>
      </c>
      <c r="K15" s="4">
        <v>0</v>
      </c>
      <c r="L15" s="4">
        <v>0</v>
      </c>
      <c r="M15" s="4">
        <v>0</v>
      </c>
      <c r="N15" s="4">
        <v>0</v>
      </c>
      <c r="O15" s="9"/>
      <c r="P15" s="9"/>
      <c r="Q15" s="9"/>
    </row>
    <row r="16" spans="1:17" x14ac:dyDescent="0.25">
      <c r="A16" s="8">
        <v>45747</v>
      </c>
      <c r="B16" s="3" t="s">
        <v>95</v>
      </c>
      <c r="C16" s="3">
        <v>3262</v>
      </c>
      <c r="D16" s="3" t="s">
        <v>7</v>
      </c>
      <c r="E16" s="3">
        <v>24464</v>
      </c>
      <c r="F16" s="3" t="s">
        <v>92</v>
      </c>
      <c r="G16" s="3" t="s">
        <v>63</v>
      </c>
      <c r="H16" s="3" t="s">
        <v>93</v>
      </c>
      <c r="I16" s="3" t="s">
        <v>94</v>
      </c>
      <c r="J16" s="3" t="s">
        <v>59</v>
      </c>
      <c r="K16" s="4">
        <v>784.78</v>
      </c>
      <c r="L16" s="6">
        <v>-1147.18</v>
      </c>
      <c r="M16" s="4">
        <v>1</v>
      </c>
      <c r="N16" s="4">
        <v>200</v>
      </c>
      <c r="O16" s="9"/>
      <c r="P16" s="9"/>
      <c r="Q16" s="9"/>
    </row>
    <row r="17" spans="1:17" x14ac:dyDescent="0.25">
      <c r="A17" s="8">
        <v>45747</v>
      </c>
      <c r="B17" s="3">
        <v>9794</v>
      </c>
      <c r="C17" s="3">
        <v>3262</v>
      </c>
      <c r="D17" s="3" t="s">
        <v>7</v>
      </c>
      <c r="E17" s="3">
        <v>24313</v>
      </c>
      <c r="F17" s="3" t="s">
        <v>96</v>
      </c>
      <c r="G17" s="3" t="s">
        <v>69</v>
      </c>
      <c r="H17" s="3" t="s">
        <v>97</v>
      </c>
      <c r="I17" s="3" t="s">
        <v>98</v>
      </c>
      <c r="J17" s="3" t="s">
        <v>59</v>
      </c>
      <c r="K17" s="6">
        <v>1354.65</v>
      </c>
      <c r="L17" s="6">
        <v>-3025</v>
      </c>
      <c r="M17" s="4">
        <v>1</v>
      </c>
      <c r="N17" s="4">
        <v>200</v>
      </c>
      <c r="O17" s="9"/>
      <c r="P17" s="9"/>
      <c r="Q17" s="9"/>
    </row>
    <row r="18" spans="1:17" x14ac:dyDescent="0.25">
      <c r="A18" s="8">
        <v>45747</v>
      </c>
      <c r="B18" s="3">
        <v>9866</v>
      </c>
      <c r="C18" s="3">
        <v>3262</v>
      </c>
      <c r="D18" s="3" t="s">
        <v>7</v>
      </c>
      <c r="E18" s="3">
        <v>24444</v>
      </c>
      <c r="F18" s="3" t="s">
        <v>99</v>
      </c>
      <c r="G18" s="3" t="s">
        <v>69</v>
      </c>
      <c r="H18" s="3" t="s">
        <v>100</v>
      </c>
      <c r="I18" s="3" t="s">
        <v>101</v>
      </c>
      <c r="J18" s="3" t="s">
        <v>59</v>
      </c>
      <c r="K18" s="6">
        <v>3510.55</v>
      </c>
      <c r="L18" s="6">
        <v>-2814.11</v>
      </c>
      <c r="M18" s="4">
        <v>1</v>
      </c>
      <c r="N18" s="4">
        <v>200</v>
      </c>
      <c r="O18" s="9"/>
      <c r="P18" s="9"/>
      <c r="Q18" s="9"/>
    </row>
    <row r="19" spans="1:17" x14ac:dyDescent="0.25">
      <c r="A19" s="8">
        <v>45747</v>
      </c>
      <c r="B19" s="3">
        <v>9866</v>
      </c>
      <c r="C19" s="3">
        <v>3262</v>
      </c>
      <c r="D19" s="3" t="s">
        <v>7</v>
      </c>
      <c r="E19" s="3">
        <v>24444</v>
      </c>
      <c r="F19" s="3" t="s">
        <v>99</v>
      </c>
      <c r="G19" s="3" t="s">
        <v>69</v>
      </c>
      <c r="H19" s="3" t="s">
        <v>102</v>
      </c>
      <c r="I19" s="3" t="s">
        <v>103</v>
      </c>
      <c r="J19" s="3" t="s">
        <v>59</v>
      </c>
      <c r="K19" s="5"/>
      <c r="L19" s="5"/>
      <c r="M19" s="5"/>
      <c r="N19" s="5"/>
      <c r="O19" s="9"/>
      <c r="P19" s="9"/>
      <c r="Q19" s="9"/>
    </row>
    <row r="20" spans="1:17" x14ac:dyDescent="0.25">
      <c r="A20" s="8">
        <v>45747</v>
      </c>
      <c r="B20" s="3">
        <v>9988</v>
      </c>
      <c r="C20" s="3">
        <v>3262</v>
      </c>
      <c r="D20" s="3" t="s">
        <v>7</v>
      </c>
      <c r="E20" s="3">
        <v>24541</v>
      </c>
      <c r="F20" s="3" t="s">
        <v>104</v>
      </c>
      <c r="G20" s="3" t="s">
        <v>56</v>
      </c>
      <c r="H20" s="3" t="s">
        <v>105</v>
      </c>
      <c r="I20" s="3" t="s">
        <v>106</v>
      </c>
      <c r="J20" s="3" t="s">
        <v>59</v>
      </c>
      <c r="K20" s="4">
        <v>151.06</v>
      </c>
      <c r="L20" s="6">
        <v>-2528.8000000000002</v>
      </c>
      <c r="M20" s="4">
        <v>0.5</v>
      </c>
      <c r="N20" s="4">
        <v>100</v>
      </c>
      <c r="O20" s="9"/>
      <c r="P20" s="9"/>
      <c r="Q20" s="9"/>
    </row>
    <row r="21" spans="1:17" x14ac:dyDescent="0.25">
      <c r="A21" s="8">
        <v>45747</v>
      </c>
      <c r="B21" s="3">
        <v>9512</v>
      </c>
      <c r="C21" s="3">
        <v>3262</v>
      </c>
      <c r="D21" s="3" t="s">
        <v>7</v>
      </c>
      <c r="E21" s="3">
        <v>23911</v>
      </c>
      <c r="F21" s="3" t="s">
        <v>107</v>
      </c>
      <c r="G21" s="3" t="s">
        <v>108</v>
      </c>
      <c r="H21" s="3" t="s">
        <v>109</v>
      </c>
      <c r="I21" s="3" t="s">
        <v>110</v>
      </c>
      <c r="J21" s="3" t="s">
        <v>86</v>
      </c>
      <c r="K21" s="4">
        <v>100</v>
      </c>
      <c r="L21" s="4">
        <v>-262.18</v>
      </c>
      <c r="M21" s="4">
        <v>1</v>
      </c>
      <c r="N21" s="4">
        <v>200</v>
      </c>
      <c r="O21" s="9"/>
      <c r="P21" s="9"/>
      <c r="Q21" s="9"/>
    </row>
    <row r="22" spans="1:17" x14ac:dyDescent="0.25">
      <c r="A22" s="8">
        <v>45736</v>
      </c>
      <c r="B22" s="3">
        <v>7012</v>
      </c>
      <c r="C22" s="3">
        <v>10067</v>
      </c>
      <c r="D22" s="3" t="s">
        <v>8</v>
      </c>
      <c r="E22" s="3">
        <v>275177</v>
      </c>
      <c r="F22" s="3" t="s">
        <v>111</v>
      </c>
      <c r="G22" s="3" t="s">
        <v>69</v>
      </c>
      <c r="H22" s="3" t="s">
        <v>112</v>
      </c>
      <c r="I22" s="3" t="s">
        <v>113</v>
      </c>
      <c r="J22" s="3" t="s">
        <v>59</v>
      </c>
      <c r="K22" s="4">
        <v>0</v>
      </c>
      <c r="L22" s="4">
        <v>0</v>
      </c>
      <c r="M22" s="4">
        <v>0</v>
      </c>
      <c r="N22" s="4">
        <v>0</v>
      </c>
      <c r="O22" s="9"/>
      <c r="P22" s="9"/>
      <c r="Q22" s="9"/>
    </row>
    <row r="23" spans="1:17" x14ac:dyDescent="0.25">
      <c r="A23" s="8">
        <v>45736</v>
      </c>
      <c r="B23" s="3">
        <v>7012</v>
      </c>
      <c r="C23" s="3">
        <v>10067</v>
      </c>
      <c r="D23" s="3" t="s">
        <v>8</v>
      </c>
      <c r="E23" s="3">
        <v>275177</v>
      </c>
      <c r="F23" s="3" t="s">
        <v>111</v>
      </c>
      <c r="G23" s="3" t="s">
        <v>69</v>
      </c>
      <c r="H23" s="3" t="s">
        <v>114</v>
      </c>
      <c r="I23" s="3" t="s">
        <v>115</v>
      </c>
      <c r="J23" s="3" t="s">
        <v>59</v>
      </c>
      <c r="K23" s="5"/>
      <c r="L23" s="5"/>
      <c r="M23" s="5"/>
      <c r="N23" s="5"/>
      <c r="O23" s="9"/>
      <c r="P23" s="9"/>
      <c r="Q23" s="9"/>
    </row>
    <row r="24" spans="1:17" x14ac:dyDescent="0.25">
      <c r="A24" s="8">
        <v>45726</v>
      </c>
      <c r="B24" s="3">
        <v>9154</v>
      </c>
      <c r="C24" s="3">
        <v>10069</v>
      </c>
      <c r="D24" s="3" t="s">
        <v>9</v>
      </c>
      <c r="E24" s="3">
        <v>219512</v>
      </c>
      <c r="F24" s="3" t="s">
        <v>116</v>
      </c>
      <c r="G24" s="3" t="s">
        <v>63</v>
      </c>
      <c r="H24" s="3" t="s">
        <v>117</v>
      </c>
      <c r="I24" s="3" t="s">
        <v>118</v>
      </c>
      <c r="J24" s="3" t="s">
        <v>59</v>
      </c>
      <c r="K24" s="6">
        <v>-2479.7399999999998</v>
      </c>
      <c r="L24" s="4">
        <v>-174.35</v>
      </c>
      <c r="M24" s="4">
        <v>-1</v>
      </c>
      <c r="N24" s="4">
        <v>-200</v>
      </c>
      <c r="O24" s="9"/>
      <c r="P24" s="9"/>
      <c r="Q24" s="9"/>
    </row>
    <row r="25" spans="1:17" x14ac:dyDescent="0.25">
      <c r="A25" s="8">
        <v>45729</v>
      </c>
      <c r="B25" s="3">
        <v>9381</v>
      </c>
      <c r="C25" s="3">
        <v>10069</v>
      </c>
      <c r="D25" s="3" t="s">
        <v>9</v>
      </c>
      <c r="E25" s="3">
        <v>227633</v>
      </c>
      <c r="F25" s="3" t="s">
        <v>119</v>
      </c>
      <c r="G25" s="3" t="s">
        <v>63</v>
      </c>
      <c r="H25" s="3" t="s">
        <v>120</v>
      </c>
      <c r="I25" s="3" t="s">
        <v>118</v>
      </c>
      <c r="J25" s="3" t="s">
        <v>59</v>
      </c>
      <c r="K25" s="4">
        <v>0</v>
      </c>
      <c r="L25" s="4">
        <v>0</v>
      </c>
      <c r="M25" s="4">
        <v>0</v>
      </c>
      <c r="N25" s="4">
        <v>0</v>
      </c>
      <c r="O25" s="9"/>
      <c r="P25" s="9"/>
      <c r="Q25" s="9"/>
    </row>
    <row r="26" spans="1:17" x14ac:dyDescent="0.25">
      <c r="A26" s="8">
        <v>45729</v>
      </c>
      <c r="B26" s="3">
        <v>9381</v>
      </c>
      <c r="C26" s="3">
        <v>10069</v>
      </c>
      <c r="D26" s="3" t="s">
        <v>9</v>
      </c>
      <c r="E26" s="3">
        <v>227633</v>
      </c>
      <c r="F26" s="3" t="s">
        <v>119</v>
      </c>
      <c r="G26" s="3" t="s">
        <v>63</v>
      </c>
      <c r="H26" s="3" t="s">
        <v>121</v>
      </c>
      <c r="I26" s="3" t="s">
        <v>122</v>
      </c>
      <c r="J26" s="3" t="s">
        <v>59</v>
      </c>
      <c r="K26" s="5"/>
      <c r="L26" s="5"/>
      <c r="M26" s="5"/>
      <c r="N26" s="5"/>
      <c r="O26" s="9"/>
      <c r="P26" s="9"/>
      <c r="Q26" s="9"/>
    </row>
    <row r="27" spans="1:17" x14ac:dyDescent="0.25">
      <c r="A27" s="8">
        <v>45729</v>
      </c>
      <c r="B27" s="3" t="s">
        <v>123</v>
      </c>
      <c r="C27" s="3">
        <v>10069</v>
      </c>
      <c r="D27" s="3" t="s">
        <v>9</v>
      </c>
      <c r="E27" s="3">
        <v>227633</v>
      </c>
      <c r="F27" s="3" t="s">
        <v>119</v>
      </c>
      <c r="G27" s="3" t="s">
        <v>63</v>
      </c>
      <c r="H27" s="3" t="s">
        <v>120</v>
      </c>
      <c r="I27" s="3" t="s">
        <v>118</v>
      </c>
      <c r="J27" s="3" t="s">
        <v>59</v>
      </c>
      <c r="K27" s="6">
        <v>3833.7</v>
      </c>
      <c r="L27" s="4">
        <v>-377.47</v>
      </c>
      <c r="M27" s="4">
        <v>1</v>
      </c>
      <c r="N27" s="4">
        <v>200</v>
      </c>
      <c r="O27" s="9"/>
      <c r="P27" s="9"/>
      <c r="Q27" s="9"/>
    </row>
    <row r="28" spans="1:17" x14ac:dyDescent="0.25">
      <c r="A28" s="8">
        <v>45729</v>
      </c>
      <c r="B28" s="3" t="s">
        <v>123</v>
      </c>
      <c r="C28" s="3">
        <v>10069</v>
      </c>
      <c r="D28" s="3" t="s">
        <v>9</v>
      </c>
      <c r="E28" s="3">
        <v>227633</v>
      </c>
      <c r="F28" s="3" t="s">
        <v>119</v>
      </c>
      <c r="G28" s="3" t="s">
        <v>63</v>
      </c>
      <c r="H28" s="3" t="s">
        <v>121</v>
      </c>
      <c r="I28" s="3" t="s">
        <v>122</v>
      </c>
      <c r="J28" s="3" t="s">
        <v>59</v>
      </c>
      <c r="K28" s="5"/>
      <c r="L28" s="5"/>
      <c r="M28" s="5"/>
      <c r="N28" s="5"/>
      <c r="O28" s="9"/>
      <c r="P28" s="9"/>
      <c r="Q28" s="9"/>
    </row>
    <row r="29" spans="1:17" x14ac:dyDescent="0.25">
      <c r="A29" s="8">
        <v>45733</v>
      </c>
      <c r="B29" s="3">
        <v>9135</v>
      </c>
      <c r="C29" s="3">
        <v>10069</v>
      </c>
      <c r="D29" s="3" t="s">
        <v>9</v>
      </c>
      <c r="E29" s="3">
        <v>23343</v>
      </c>
      <c r="F29" s="3" t="s">
        <v>124</v>
      </c>
      <c r="G29" s="3" t="s">
        <v>125</v>
      </c>
      <c r="H29" s="3" t="s">
        <v>126</v>
      </c>
      <c r="I29" s="3" t="s">
        <v>127</v>
      </c>
      <c r="J29" s="3" t="s">
        <v>86</v>
      </c>
      <c r="K29" s="6">
        <v>2018.69</v>
      </c>
      <c r="L29" s="6">
        <v>-1595</v>
      </c>
      <c r="M29" s="4">
        <v>1</v>
      </c>
      <c r="N29" s="4">
        <v>200</v>
      </c>
      <c r="O29" s="9"/>
      <c r="P29" s="9"/>
      <c r="Q29" s="9"/>
    </row>
    <row r="30" spans="1:17" x14ac:dyDescent="0.25">
      <c r="A30" s="8">
        <v>45733</v>
      </c>
      <c r="B30" s="3">
        <v>9135</v>
      </c>
      <c r="C30" s="3">
        <v>10069</v>
      </c>
      <c r="D30" s="3" t="s">
        <v>9</v>
      </c>
      <c r="E30" s="3">
        <v>23343</v>
      </c>
      <c r="F30" s="3" t="s">
        <v>124</v>
      </c>
      <c r="G30" s="3" t="s">
        <v>125</v>
      </c>
      <c r="H30" s="3" t="s">
        <v>128</v>
      </c>
      <c r="I30" s="3" t="s">
        <v>129</v>
      </c>
      <c r="J30" s="3" t="s">
        <v>86</v>
      </c>
      <c r="K30" s="5"/>
      <c r="L30" s="5"/>
      <c r="M30" s="5"/>
      <c r="N30" s="5"/>
      <c r="O30" s="9"/>
      <c r="P30" s="9"/>
      <c r="Q30" s="9"/>
    </row>
    <row r="31" spans="1:17" x14ac:dyDescent="0.25">
      <c r="A31" s="8">
        <v>45741</v>
      </c>
      <c r="B31" s="3">
        <v>9515</v>
      </c>
      <c r="C31" s="3">
        <v>10069</v>
      </c>
      <c r="D31" s="3" t="s">
        <v>9</v>
      </c>
      <c r="E31" s="3">
        <v>23917</v>
      </c>
      <c r="F31" s="3" t="s">
        <v>130</v>
      </c>
      <c r="G31" s="3" t="s">
        <v>63</v>
      </c>
      <c r="H31" s="3" t="s">
        <v>131</v>
      </c>
      <c r="I31" s="3" t="s">
        <v>118</v>
      </c>
      <c r="J31" s="3" t="s">
        <v>59</v>
      </c>
      <c r="K31" s="4">
        <v>0</v>
      </c>
      <c r="L31" s="4">
        <v>0</v>
      </c>
      <c r="M31" s="4">
        <v>0</v>
      </c>
      <c r="N31" s="4">
        <v>0</v>
      </c>
      <c r="O31" s="9"/>
      <c r="P31" s="9"/>
      <c r="Q31" s="9"/>
    </row>
    <row r="32" spans="1:17" x14ac:dyDescent="0.25">
      <c r="A32" s="8">
        <v>45741</v>
      </c>
      <c r="B32" s="3">
        <v>9669</v>
      </c>
      <c r="C32" s="3">
        <v>10069</v>
      </c>
      <c r="D32" s="3" t="s">
        <v>9</v>
      </c>
      <c r="E32" s="3">
        <v>24163</v>
      </c>
      <c r="F32" s="3" t="s">
        <v>132</v>
      </c>
      <c r="G32" s="3" t="s">
        <v>63</v>
      </c>
      <c r="H32" s="3" t="s">
        <v>133</v>
      </c>
      <c r="I32" s="3" t="s">
        <v>118</v>
      </c>
      <c r="J32" s="3" t="s">
        <v>59</v>
      </c>
      <c r="K32" s="4">
        <v>0</v>
      </c>
      <c r="L32" s="4">
        <v>0</v>
      </c>
      <c r="M32" s="4">
        <v>0</v>
      </c>
      <c r="N32" s="4">
        <v>0</v>
      </c>
      <c r="O32" s="9"/>
      <c r="P32" s="9"/>
      <c r="Q32" s="9"/>
    </row>
    <row r="33" spans="1:17" x14ac:dyDescent="0.25">
      <c r="A33" s="8">
        <v>45741</v>
      </c>
      <c r="B33" s="3" t="s">
        <v>134</v>
      </c>
      <c r="C33" s="3">
        <v>10069</v>
      </c>
      <c r="D33" s="3" t="s">
        <v>9</v>
      </c>
      <c r="E33" s="3">
        <v>24163</v>
      </c>
      <c r="F33" s="3" t="s">
        <v>132</v>
      </c>
      <c r="G33" s="3" t="s">
        <v>63</v>
      </c>
      <c r="H33" s="3" t="s">
        <v>133</v>
      </c>
      <c r="I33" s="3" t="s">
        <v>118</v>
      </c>
      <c r="J33" s="3" t="s">
        <v>59</v>
      </c>
      <c r="K33" s="4">
        <v>0</v>
      </c>
      <c r="L33" s="4">
        <v>0</v>
      </c>
      <c r="M33" s="4">
        <v>0</v>
      </c>
      <c r="N33" s="4">
        <v>0</v>
      </c>
      <c r="O33" s="9"/>
      <c r="P33" s="9"/>
      <c r="Q33" s="9"/>
    </row>
    <row r="34" spans="1:17" x14ac:dyDescent="0.25">
      <c r="A34" s="8">
        <v>45742</v>
      </c>
      <c r="B34" s="3">
        <v>9397</v>
      </c>
      <c r="C34" s="3">
        <v>10069</v>
      </c>
      <c r="D34" s="3" t="s">
        <v>9</v>
      </c>
      <c r="E34" s="3">
        <v>219512</v>
      </c>
      <c r="F34" s="3" t="s">
        <v>116</v>
      </c>
      <c r="G34" s="3" t="s">
        <v>63</v>
      </c>
      <c r="H34" s="3" t="s">
        <v>117</v>
      </c>
      <c r="I34" s="3" t="s">
        <v>118</v>
      </c>
      <c r="J34" s="3" t="s">
        <v>59</v>
      </c>
      <c r="K34" s="4">
        <v>0</v>
      </c>
      <c r="L34" s="4">
        <v>0</v>
      </c>
      <c r="M34" s="4">
        <v>0</v>
      </c>
      <c r="N34" s="4">
        <v>0</v>
      </c>
      <c r="O34" s="9"/>
      <c r="P34" s="9"/>
      <c r="Q34" s="9"/>
    </row>
    <row r="35" spans="1:17" x14ac:dyDescent="0.25">
      <c r="A35" s="8">
        <v>45742</v>
      </c>
      <c r="B35" s="3">
        <v>9656</v>
      </c>
      <c r="C35" s="3">
        <v>10069</v>
      </c>
      <c r="D35" s="3" t="s">
        <v>9</v>
      </c>
      <c r="E35" s="3">
        <v>24133</v>
      </c>
      <c r="F35" s="3" t="s">
        <v>135</v>
      </c>
      <c r="G35" s="3" t="s">
        <v>125</v>
      </c>
      <c r="H35" s="3" t="s">
        <v>136</v>
      </c>
      <c r="I35" s="3" t="s">
        <v>137</v>
      </c>
      <c r="J35" s="3" t="s">
        <v>86</v>
      </c>
      <c r="K35" s="6">
        <v>4224.9799999999996</v>
      </c>
      <c r="L35" s="6">
        <v>4902.8500000000004</v>
      </c>
      <c r="M35" s="4">
        <v>1</v>
      </c>
      <c r="N35" s="4">
        <v>882.51</v>
      </c>
      <c r="O35" s="9"/>
      <c r="P35" s="9"/>
      <c r="Q35" s="9"/>
    </row>
    <row r="36" spans="1:17" x14ac:dyDescent="0.25">
      <c r="A36" s="8">
        <v>45743</v>
      </c>
      <c r="B36" s="3">
        <v>9462</v>
      </c>
      <c r="C36" s="3">
        <v>10069</v>
      </c>
      <c r="D36" s="3" t="s">
        <v>9</v>
      </c>
      <c r="E36" s="3">
        <v>23810</v>
      </c>
      <c r="F36" s="3" t="s">
        <v>138</v>
      </c>
      <c r="G36" s="3" t="s">
        <v>63</v>
      </c>
      <c r="H36" s="3" t="s">
        <v>139</v>
      </c>
      <c r="I36" s="3" t="s">
        <v>140</v>
      </c>
      <c r="J36" s="3" t="s">
        <v>59</v>
      </c>
      <c r="K36" s="4">
        <v>0</v>
      </c>
      <c r="L36" s="4">
        <v>0</v>
      </c>
      <c r="M36" s="4">
        <v>0</v>
      </c>
      <c r="N36" s="4">
        <v>0</v>
      </c>
      <c r="O36" s="9"/>
      <c r="P36" s="9"/>
      <c r="Q36" s="9"/>
    </row>
    <row r="37" spans="1:17" x14ac:dyDescent="0.25">
      <c r="A37" s="8">
        <v>45744</v>
      </c>
      <c r="B37" s="3">
        <v>9710</v>
      </c>
      <c r="C37" s="3">
        <v>10069</v>
      </c>
      <c r="D37" s="3" t="s">
        <v>9</v>
      </c>
      <c r="E37" s="3">
        <v>15343</v>
      </c>
      <c r="F37" s="3" t="s">
        <v>141</v>
      </c>
      <c r="G37" s="3" t="s">
        <v>63</v>
      </c>
      <c r="H37" s="3" t="s">
        <v>142</v>
      </c>
      <c r="I37" s="3" t="s">
        <v>143</v>
      </c>
      <c r="J37" s="3" t="s">
        <v>59</v>
      </c>
      <c r="K37" s="4">
        <v>0</v>
      </c>
      <c r="L37" s="4">
        <v>0</v>
      </c>
      <c r="M37" s="4">
        <v>0</v>
      </c>
      <c r="N37" s="4">
        <v>0</v>
      </c>
      <c r="O37" s="9"/>
      <c r="P37" s="9"/>
      <c r="Q37" s="9"/>
    </row>
    <row r="38" spans="1:17" x14ac:dyDescent="0.25">
      <c r="A38" s="8">
        <v>45747</v>
      </c>
      <c r="B38" s="3">
        <v>9976</v>
      </c>
      <c r="C38" s="3">
        <v>10069</v>
      </c>
      <c r="D38" s="3" t="s">
        <v>9</v>
      </c>
      <c r="E38" s="3">
        <v>267004</v>
      </c>
      <c r="F38" s="3" t="s">
        <v>144</v>
      </c>
      <c r="G38" s="3" t="s">
        <v>63</v>
      </c>
      <c r="H38" s="3" t="s">
        <v>145</v>
      </c>
      <c r="I38" s="3" t="s">
        <v>146</v>
      </c>
      <c r="J38" s="3" t="s">
        <v>59</v>
      </c>
      <c r="K38" s="4">
        <v>0</v>
      </c>
      <c r="L38" s="4">
        <v>0</v>
      </c>
      <c r="M38" s="4">
        <v>0</v>
      </c>
      <c r="N38" s="4">
        <v>0</v>
      </c>
      <c r="O38" s="9"/>
      <c r="P38" s="9"/>
      <c r="Q38" s="9"/>
    </row>
    <row r="39" spans="1:17" x14ac:dyDescent="0.25">
      <c r="A39" s="8">
        <v>45747</v>
      </c>
      <c r="B39" s="3">
        <v>9976</v>
      </c>
      <c r="C39" s="3">
        <v>10069</v>
      </c>
      <c r="D39" s="3" t="s">
        <v>9</v>
      </c>
      <c r="E39" s="3">
        <v>267004</v>
      </c>
      <c r="F39" s="3" t="s">
        <v>144</v>
      </c>
      <c r="G39" s="3" t="s">
        <v>63</v>
      </c>
      <c r="H39" s="3" t="s">
        <v>147</v>
      </c>
      <c r="I39" s="3" t="s">
        <v>148</v>
      </c>
      <c r="J39" s="3" t="s">
        <v>59</v>
      </c>
      <c r="K39" s="5"/>
      <c r="L39" s="5"/>
      <c r="M39" s="5"/>
      <c r="N39" s="5"/>
      <c r="O39" s="9"/>
      <c r="P39" s="9"/>
      <c r="Q39" s="9"/>
    </row>
    <row r="40" spans="1:17" x14ac:dyDescent="0.25">
      <c r="A40" s="8">
        <v>45747</v>
      </c>
      <c r="B40" s="3" t="s">
        <v>149</v>
      </c>
      <c r="C40" s="3">
        <v>10069</v>
      </c>
      <c r="D40" s="3" t="s">
        <v>9</v>
      </c>
      <c r="E40" s="3">
        <v>267004</v>
      </c>
      <c r="F40" s="3" t="s">
        <v>144</v>
      </c>
      <c r="G40" s="3" t="s">
        <v>63</v>
      </c>
      <c r="H40" s="3" t="s">
        <v>145</v>
      </c>
      <c r="I40" s="3" t="s">
        <v>146</v>
      </c>
      <c r="J40" s="3" t="s">
        <v>59</v>
      </c>
      <c r="K40" s="4">
        <v>849.36</v>
      </c>
      <c r="L40" s="4">
        <v>-619.09</v>
      </c>
      <c r="M40" s="4">
        <v>1</v>
      </c>
      <c r="N40" s="4">
        <v>200</v>
      </c>
      <c r="O40" s="9"/>
      <c r="P40" s="9"/>
      <c r="Q40" s="9"/>
    </row>
    <row r="41" spans="1:17" x14ac:dyDescent="0.25">
      <c r="A41" s="8">
        <v>45747</v>
      </c>
      <c r="B41" s="3" t="s">
        <v>149</v>
      </c>
      <c r="C41" s="3">
        <v>10069</v>
      </c>
      <c r="D41" s="3" t="s">
        <v>9</v>
      </c>
      <c r="E41" s="3">
        <v>267004</v>
      </c>
      <c r="F41" s="3" t="s">
        <v>144</v>
      </c>
      <c r="G41" s="3" t="s">
        <v>63</v>
      </c>
      <c r="H41" s="3" t="s">
        <v>147</v>
      </c>
      <c r="I41" s="3" t="s">
        <v>148</v>
      </c>
      <c r="J41" s="3" t="s">
        <v>59</v>
      </c>
      <c r="K41" s="5"/>
      <c r="L41" s="5"/>
      <c r="M41" s="5"/>
      <c r="N41" s="5"/>
      <c r="O41" s="9"/>
      <c r="P41" s="9"/>
      <c r="Q41" s="9"/>
    </row>
    <row r="42" spans="1:17" x14ac:dyDescent="0.25">
      <c r="A42" s="8">
        <v>45747</v>
      </c>
      <c r="B42" s="3" t="s">
        <v>150</v>
      </c>
      <c r="C42" s="3">
        <v>10069</v>
      </c>
      <c r="D42" s="3" t="s">
        <v>9</v>
      </c>
      <c r="E42" s="3">
        <v>23810</v>
      </c>
      <c r="F42" s="3" t="s">
        <v>138</v>
      </c>
      <c r="G42" s="3" t="s">
        <v>63</v>
      </c>
      <c r="H42" s="3" t="s">
        <v>139</v>
      </c>
      <c r="I42" s="3" t="s">
        <v>140</v>
      </c>
      <c r="J42" s="3" t="s">
        <v>59</v>
      </c>
      <c r="K42" s="4">
        <v>892.15</v>
      </c>
      <c r="L42" s="4">
        <v>-657.58</v>
      </c>
      <c r="M42" s="4">
        <v>0.5</v>
      </c>
      <c r="N42" s="4">
        <v>100</v>
      </c>
      <c r="O42" s="9"/>
      <c r="P42" s="9"/>
      <c r="Q42" s="9"/>
    </row>
    <row r="43" spans="1:17" x14ac:dyDescent="0.25">
      <c r="A43" s="8">
        <v>45747</v>
      </c>
      <c r="B43" s="3" t="s">
        <v>151</v>
      </c>
      <c r="C43" s="3">
        <v>10069</v>
      </c>
      <c r="D43" s="3" t="s">
        <v>9</v>
      </c>
      <c r="E43" s="3">
        <v>15343</v>
      </c>
      <c r="F43" s="3" t="s">
        <v>141</v>
      </c>
      <c r="G43" s="3" t="s">
        <v>63</v>
      </c>
      <c r="H43" s="3" t="s">
        <v>142</v>
      </c>
      <c r="I43" s="3" t="s">
        <v>143</v>
      </c>
      <c r="J43" s="3" t="s">
        <v>59</v>
      </c>
      <c r="K43" s="6">
        <v>1644.17</v>
      </c>
      <c r="L43" s="6">
        <v>1899</v>
      </c>
      <c r="M43" s="4">
        <v>1</v>
      </c>
      <c r="N43" s="4">
        <v>341.82</v>
      </c>
      <c r="O43" s="9"/>
      <c r="P43" s="9"/>
      <c r="Q43" s="9"/>
    </row>
    <row r="44" spans="1:17" x14ac:dyDescent="0.25">
      <c r="A44" s="8">
        <v>45747</v>
      </c>
      <c r="B44" s="3" t="s">
        <v>152</v>
      </c>
      <c r="C44" s="3">
        <v>10069</v>
      </c>
      <c r="D44" s="3" t="s">
        <v>9</v>
      </c>
      <c r="E44" s="3">
        <v>219512</v>
      </c>
      <c r="F44" s="3" t="s">
        <v>116</v>
      </c>
      <c r="G44" s="3" t="s">
        <v>63</v>
      </c>
      <c r="H44" s="3" t="s">
        <v>117</v>
      </c>
      <c r="I44" s="3" t="s">
        <v>118</v>
      </c>
      <c r="J44" s="3" t="s">
        <v>59</v>
      </c>
      <c r="K44" s="4">
        <v>0</v>
      </c>
      <c r="L44" s="4">
        <v>0</v>
      </c>
      <c r="M44" s="4">
        <v>0</v>
      </c>
      <c r="N44" s="4">
        <v>0</v>
      </c>
      <c r="O44" s="9"/>
      <c r="P44" s="9"/>
      <c r="Q44" s="9"/>
    </row>
    <row r="45" spans="1:17" x14ac:dyDescent="0.25">
      <c r="A45" s="8">
        <v>45747</v>
      </c>
      <c r="B45" s="3" t="s">
        <v>153</v>
      </c>
      <c r="C45" s="3">
        <v>10069</v>
      </c>
      <c r="D45" s="3" t="s">
        <v>9</v>
      </c>
      <c r="E45" s="3">
        <v>23917</v>
      </c>
      <c r="F45" s="3" t="s">
        <v>130</v>
      </c>
      <c r="G45" s="3" t="s">
        <v>63</v>
      </c>
      <c r="H45" s="3" t="s">
        <v>131</v>
      </c>
      <c r="I45" s="3" t="s">
        <v>118</v>
      </c>
      <c r="J45" s="3" t="s">
        <v>59</v>
      </c>
      <c r="K45" s="4">
        <v>694.21</v>
      </c>
      <c r="L45" s="6">
        <v>1136.23</v>
      </c>
      <c r="M45" s="4">
        <v>0.5</v>
      </c>
      <c r="N45" s="4">
        <v>204.52</v>
      </c>
      <c r="O45" s="9"/>
      <c r="P45" s="9"/>
      <c r="Q45" s="9"/>
    </row>
    <row r="46" spans="1:17" x14ac:dyDescent="0.25">
      <c r="A46" s="8">
        <v>45747</v>
      </c>
      <c r="B46" s="3" t="s">
        <v>154</v>
      </c>
      <c r="C46" s="3">
        <v>10069</v>
      </c>
      <c r="D46" s="3" t="s">
        <v>9</v>
      </c>
      <c r="E46" s="3">
        <v>24163</v>
      </c>
      <c r="F46" s="3" t="s">
        <v>132</v>
      </c>
      <c r="G46" s="3" t="s">
        <v>63</v>
      </c>
      <c r="H46" s="3" t="s">
        <v>133</v>
      </c>
      <c r="I46" s="3" t="s">
        <v>118</v>
      </c>
      <c r="J46" s="3" t="s">
        <v>59</v>
      </c>
      <c r="K46" s="6">
        <v>1711.03</v>
      </c>
      <c r="L46" s="4">
        <v>-756.23</v>
      </c>
      <c r="M46" s="4">
        <v>1</v>
      </c>
      <c r="N46" s="4">
        <v>200</v>
      </c>
      <c r="O46" s="9"/>
      <c r="P46" s="9"/>
      <c r="Q46" s="9"/>
    </row>
    <row r="47" spans="1:17" x14ac:dyDescent="0.25">
      <c r="A47" s="8">
        <v>45747</v>
      </c>
      <c r="B47" s="3" t="s">
        <v>155</v>
      </c>
      <c r="C47" s="3">
        <v>10069</v>
      </c>
      <c r="D47" s="3" t="s">
        <v>9</v>
      </c>
      <c r="E47" s="3">
        <v>219512</v>
      </c>
      <c r="F47" s="3" t="s">
        <v>116</v>
      </c>
      <c r="G47" s="3" t="s">
        <v>63</v>
      </c>
      <c r="H47" s="3" t="s">
        <v>117</v>
      </c>
      <c r="I47" s="3" t="s">
        <v>118</v>
      </c>
      <c r="J47" s="3" t="s">
        <v>59</v>
      </c>
      <c r="K47" s="6">
        <v>2479.7399999999998</v>
      </c>
      <c r="L47" s="4">
        <v>174.35</v>
      </c>
      <c r="M47" s="4">
        <v>1</v>
      </c>
      <c r="N47" s="4">
        <v>200</v>
      </c>
      <c r="O47" s="9"/>
      <c r="P47" s="9"/>
      <c r="Q47" s="9"/>
    </row>
    <row r="48" spans="1:17" x14ac:dyDescent="0.25">
      <c r="A48" s="8">
        <v>45747</v>
      </c>
      <c r="B48" s="3">
        <v>7299</v>
      </c>
      <c r="C48" s="3">
        <v>10069</v>
      </c>
      <c r="D48" s="3" t="s">
        <v>9</v>
      </c>
      <c r="E48" s="3">
        <v>20769</v>
      </c>
      <c r="F48" s="3" t="s">
        <v>156</v>
      </c>
      <c r="G48" s="3" t="s">
        <v>69</v>
      </c>
      <c r="H48" s="3" t="s">
        <v>157</v>
      </c>
      <c r="I48" s="3" t="s">
        <v>158</v>
      </c>
      <c r="J48" s="3" t="s">
        <v>59</v>
      </c>
      <c r="K48" s="6">
        <v>3262.87</v>
      </c>
      <c r="L48" s="6">
        <v>2044.32</v>
      </c>
      <c r="M48" s="4">
        <v>0.5</v>
      </c>
      <c r="N48" s="4">
        <v>367.98</v>
      </c>
      <c r="O48" s="9"/>
      <c r="P48" s="9"/>
      <c r="Q48" s="9"/>
    </row>
    <row r="49" spans="1:17" x14ac:dyDescent="0.25">
      <c r="A49" s="8">
        <v>45747</v>
      </c>
      <c r="B49" s="3">
        <v>9836</v>
      </c>
      <c r="C49" s="3">
        <v>10069</v>
      </c>
      <c r="D49" s="3" t="s">
        <v>9</v>
      </c>
      <c r="E49" s="3">
        <v>24367</v>
      </c>
      <c r="F49" s="3" t="s">
        <v>159</v>
      </c>
      <c r="G49" s="3" t="s">
        <v>108</v>
      </c>
      <c r="H49" s="3" t="s">
        <v>160</v>
      </c>
      <c r="I49" s="3" t="s">
        <v>161</v>
      </c>
      <c r="J49" s="3" t="s">
        <v>86</v>
      </c>
      <c r="K49" s="4">
        <v>809.1</v>
      </c>
      <c r="L49" s="6">
        <v>2903.96</v>
      </c>
      <c r="M49" s="4">
        <v>1</v>
      </c>
      <c r="N49" s="4">
        <v>522.71</v>
      </c>
      <c r="O49" s="9"/>
      <c r="P49" s="9"/>
      <c r="Q49" s="9"/>
    </row>
    <row r="50" spans="1:17" x14ac:dyDescent="0.25">
      <c r="A50" s="8">
        <v>45721</v>
      </c>
      <c r="B50" s="3">
        <v>9319</v>
      </c>
      <c r="C50" s="3">
        <v>10303</v>
      </c>
      <c r="D50" s="3" t="s">
        <v>10</v>
      </c>
      <c r="E50" s="3">
        <v>23563</v>
      </c>
      <c r="F50" s="3" t="s">
        <v>162</v>
      </c>
      <c r="G50" s="3" t="s">
        <v>56</v>
      </c>
      <c r="H50" s="3" t="s">
        <v>163</v>
      </c>
      <c r="I50" s="3" t="s">
        <v>71</v>
      </c>
      <c r="J50" s="3" t="s">
        <v>59</v>
      </c>
      <c r="K50" s="6">
        <v>6879.62</v>
      </c>
      <c r="L50" s="6">
        <v>3352</v>
      </c>
      <c r="M50" s="4">
        <v>1</v>
      </c>
      <c r="N50" s="4">
        <v>603.36</v>
      </c>
      <c r="O50" s="9"/>
      <c r="P50" s="9"/>
      <c r="Q50" s="9"/>
    </row>
    <row r="51" spans="1:17" x14ac:dyDescent="0.25">
      <c r="A51" s="8">
        <v>45721</v>
      </c>
      <c r="B51" s="3">
        <v>9319</v>
      </c>
      <c r="C51" s="3">
        <v>10303</v>
      </c>
      <c r="D51" s="3" t="s">
        <v>10</v>
      </c>
      <c r="E51" s="3">
        <v>23563</v>
      </c>
      <c r="F51" s="3" t="s">
        <v>162</v>
      </c>
      <c r="G51" s="3" t="s">
        <v>56</v>
      </c>
      <c r="H51" s="3" t="s">
        <v>109</v>
      </c>
      <c r="I51" s="3" t="s">
        <v>110</v>
      </c>
      <c r="J51" s="3" t="s">
        <v>59</v>
      </c>
      <c r="K51" s="5"/>
      <c r="L51" s="5"/>
      <c r="M51" s="5"/>
      <c r="N51" s="5"/>
      <c r="O51" s="9"/>
      <c r="P51" s="9"/>
      <c r="Q51" s="9"/>
    </row>
    <row r="52" spans="1:17" x14ac:dyDescent="0.25">
      <c r="A52" s="8">
        <v>45726</v>
      </c>
      <c r="B52" s="3">
        <v>9380</v>
      </c>
      <c r="C52" s="3">
        <v>10303</v>
      </c>
      <c r="D52" s="3" t="s">
        <v>10</v>
      </c>
      <c r="E52" s="3">
        <v>238649</v>
      </c>
      <c r="F52" s="3" t="s">
        <v>164</v>
      </c>
      <c r="G52" s="3" t="s">
        <v>56</v>
      </c>
      <c r="H52" s="3" t="s">
        <v>165</v>
      </c>
      <c r="I52" s="3" t="s">
        <v>166</v>
      </c>
      <c r="J52" s="3" t="s">
        <v>59</v>
      </c>
      <c r="K52" s="4">
        <v>62</v>
      </c>
      <c r="L52" s="6">
        <v>-1739.03</v>
      </c>
      <c r="M52" s="4">
        <v>1</v>
      </c>
      <c r="N52" s="4">
        <v>200</v>
      </c>
      <c r="O52" s="9"/>
      <c r="P52" s="9"/>
      <c r="Q52" s="9"/>
    </row>
    <row r="53" spans="1:17" x14ac:dyDescent="0.25">
      <c r="A53" s="8">
        <v>45726</v>
      </c>
      <c r="B53" s="3">
        <v>9380</v>
      </c>
      <c r="C53" s="3">
        <v>10303</v>
      </c>
      <c r="D53" s="3" t="s">
        <v>10</v>
      </c>
      <c r="E53" s="3">
        <v>238649</v>
      </c>
      <c r="F53" s="3" t="s">
        <v>164</v>
      </c>
      <c r="G53" s="3" t="s">
        <v>56</v>
      </c>
      <c r="H53" s="3" t="s">
        <v>167</v>
      </c>
      <c r="I53" s="3" t="s">
        <v>168</v>
      </c>
      <c r="J53" s="3" t="s">
        <v>59</v>
      </c>
      <c r="K53" s="5"/>
      <c r="L53" s="5"/>
      <c r="M53" s="5"/>
      <c r="N53" s="5"/>
      <c r="O53" s="9"/>
      <c r="P53" s="9"/>
      <c r="Q53" s="9"/>
    </row>
    <row r="54" spans="1:17" x14ac:dyDescent="0.25">
      <c r="A54" s="8">
        <v>45726</v>
      </c>
      <c r="B54" s="3">
        <v>9432</v>
      </c>
      <c r="C54" s="3">
        <v>10303</v>
      </c>
      <c r="D54" s="3" t="s">
        <v>10</v>
      </c>
      <c r="E54" s="3">
        <v>23749</v>
      </c>
      <c r="F54" s="3" t="s">
        <v>169</v>
      </c>
      <c r="G54" s="3" t="s">
        <v>56</v>
      </c>
      <c r="H54" s="3" t="s">
        <v>170</v>
      </c>
      <c r="I54" s="3" t="s">
        <v>67</v>
      </c>
      <c r="J54" s="3" t="s">
        <v>59</v>
      </c>
      <c r="K54" s="4">
        <v>170</v>
      </c>
      <c r="L54" s="4">
        <v>-326.5</v>
      </c>
      <c r="M54" s="4">
        <v>1</v>
      </c>
      <c r="N54" s="4">
        <v>200</v>
      </c>
      <c r="O54" s="9"/>
      <c r="P54" s="9"/>
      <c r="Q54" s="9"/>
    </row>
    <row r="55" spans="1:17" x14ac:dyDescent="0.25">
      <c r="A55" s="8">
        <v>45730</v>
      </c>
      <c r="B55" s="3">
        <v>9507</v>
      </c>
      <c r="C55" s="3">
        <v>10303</v>
      </c>
      <c r="D55" s="3" t="s">
        <v>10</v>
      </c>
      <c r="E55" s="3">
        <v>247357</v>
      </c>
      <c r="F55" s="3" t="s">
        <v>171</v>
      </c>
      <c r="G55" s="3" t="s">
        <v>56</v>
      </c>
      <c r="H55" s="3" t="s">
        <v>172</v>
      </c>
      <c r="I55" s="3" t="s">
        <v>173</v>
      </c>
      <c r="J55" s="3" t="s">
        <v>59</v>
      </c>
      <c r="K55" s="6">
        <v>2423.0300000000002</v>
      </c>
      <c r="L55" s="6">
        <v>-4783</v>
      </c>
      <c r="M55" s="4">
        <v>1</v>
      </c>
      <c r="N55" s="4">
        <v>200</v>
      </c>
      <c r="O55" s="9"/>
      <c r="P55" s="9"/>
      <c r="Q55" s="9"/>
    </row>
    <row r="56" spans="1:17" x14ac:dyDescent="0.25">
      <c r="A56" s="8">
        <v>45730</v>
      </c>
      <c r="B56" s="3">
        <v>9507</v>
      </c>
      <c r="C56" s="3">
        <v>10303</v>
      </c>
      <c r="D56" s="3" t="s">
        <v>10</v>
      </c>
      <c r="E56" s="3">
        <v>247357</v>
      </c>
      <c r="F56" s="3" t="s">
        <v>171</v>
      </c>
      <c r="G56" s="3" t="s">
        <v>56</v>
      </c>
      <c r="H56" s="3" t="s">
        <v>174</v>
      </c>
      <c r="I56" s="3" t="s">
        <v>175</v>
      </c>
      <c r="J56" s="3" t="s">
        <v>59</v>
      </c>
      <c r="K56" s="5"/>
      <c r="L56" s="5"/>
      <c r="M56" s="5"/>
      <c r="N56" s="5"/>
      <c r="O56" s="9"/>
      <c r="P56" s="9"/>
      <c r="Q56" s="9"/>
    </row>
    <row r="57" spans="1:17" x14ac:dyDescent="0.25">
      <c r="A57" s="8">
        <v>45733</v>
      </c>
      <c r="B57" s="3">
        <v>9479</v>
      </c>
      <c r="C57" s="3">
        <v>10303</v>
      </c>
      <c r="D57" s="3" t="s">
        <v>10</v>
      </c>
      <c r="E57" s="3">
        <v>23822</v>
      </c>
      <c r="F57" s="3" t="s">
        <v>176</v>
      </c>
      <c r="G57" s="3" t="s">
        <v>56</v>
      </c>
      <c r="H57" s="3" t="s">
        <v>177</v>
      </c>
      <c r="I57" s="3" t="s">
        <v>178</v>
      </c>
      <c r="J57" s="3" t="s">
        <v>59</v>
      </c>
      <c r="K57" s="6">
        <v>3174.1</v>
      </c>
      <c r="L57" s="6">
        <v>-3979.5</v>
      </c>
      <c r="M57" s="4">
        <v>1</v>
      </c>
      <c r="N57" s="4">
        <v>200</v>
      </c>
      <c r="O57" s="9"/>
      <c r="P57" s="9"/>
      <c r="Q57" s="9"/>
    </row>
    <row r="58" spans="1:17" x14ac:dyDescent="0.25">
      <c r="A58" s="8">
        <v>45734</v>
      </c>
      <c r="B58" s="3">
        <v>9526</v>
      </c>
      <c r="C58" s="3">
        <v>10303</v>
      </c>
      <c r="D58" s="3" t="s">
        <v>10</v>
      </c>
      <c r="E58" s="3">
        <v>261898</v>
      </c>
      <c r="F58" s="3" t="s">
        <v>179</v>
      </c>
      <c r="G58" s="3" t="s">
        <v>56</v>
      </c>
      <c r="H58" s="3" t="s">
        <v>180</v>
      </c>
      <c r="I58" s="3" t="s">
        <v>71</v>
      </c>
      <c r="J58" s="3" t="s">
        <v>59</v>
      </c>
      <c r="K58" s="6">
        <v>1508</v>
      </c>
      <c r="L58" s="4">
        <v>-299.94</v>
      </c>
      <c r="M58" s="4">
        <v>1</v>
      </c>
      <c r="N58" s="4">
        <v>200</v>
      </c>
      <c r="O58" s="9"/>
      <c r="P58" s="9"/>
      <c r="Q58" s="9"/>
    </row>
    <row r="59" spans="1:17" x14ac:dyDescent="0.25">
      <c r="A59" s="8">
        <v>45734</v>
      </c>
      <c r="B59" s="3">
        <v>9526</v>
      </c>
      <c r="C59" s="3">
        <v>10303</v>
      </c>
      <c r="D59" s="3" t="s">
        <v>10</v>
      </c>
      <c r="E59" s="3">
        <v>261898</v>
      </c>
      <c r="F59" s="3" t="s">
        <v>179</v>
      </c>
      <c r="G59" s="3" t="s">
        <v>56</v>
      </c>
      <c r="H59" s="3" t="s">
        <v>181</v>
      </c>
      <c r="I59" s="3" t="s">
        <v>182</v>
      </c>
      <c r="J59" s="3" t="s">
        <v>59</v>
      </c>
      <c r="K59" s="5"/>
      <c r="L59" s="5"/>
      <c r="M59" s="5"/>
      <c r="N59" s="5"/>
      <c r="O59" s="9"/>
      <c r="P59" s="9"/>
      <c r="Q59" s="9"/>
    </row>
    <row r="60" spans="1:17" x14ac:dyDescent="0.25">
      <c r="A60" s="8">
        <v>45736</v>
      </c>
      <c r="B60" s="3">
        <v>7012</v>
      </c>
      <c r="C60" s="3">
        <v>10303</v>
      </c>
      <c r="D60" s="3" t="s">
        <v>10</v>
      </c>
      <c r="E60" s="3">
        <v>275177</v>
      </c>
      <c r="F60" s="3" t="s">
        <v>111</v>
      </c>
      <c r="G60" s="3" t="s">
        <v>69</v>
      </c>
      <c r="H60" s="3" t="s">
        <v>112</v>
      </c>
      <c r="I60" s="3" t="s">
        <v>113</v>
      </c>
      <c r="J60" s="3" t="s">
        <v>59</v>
      </c>
      <c r="K60" s="4">
        <v>0</v>
      </c>
      <c r="L60" s="4">
        <v>0</v>
      </c>
      <c r="M60" s="4">
        <v>0</v>
      </c>
      <c r="N60" s="4">
        <v>0</v>
      </c>
      <c r="O60" s="9"/>
      <c r="P60" s="9"/>
      <c r="Q60" s="9"/>
    </row>
    <row r="61" spans="1:17" x14ac:dyDescent="0.25">
      <c r="A61" s="8">
        <v>45736</v>
      </c>
      <c r="B61" s="3">
        <v>7012</v>
      </c>
      <c r="C61" s="3">
        <v>10303</v>
      </c>
      <c r="D61" s="3" t="s">
        <v>10</v>
      </c>
      <c r="E61" s="3">
        <v>275177</v>
      </c>
      <c r="F61" s="3" t="s">
        <v>111</v>
      </c>
      <c r="G61" s="3" t="s">
        <v>69</v>
      </c>
      <c r="H61" s="3" t="s">
        <v>114</v>
      </c>
      <c r="I61" s="3" t="s">
        <v>115</v>
      </c>
      <c r="J61" s="3" t="s">
        <v>59</v>
      </c>
      <c r="K61" s="5"/>
      <c r="L61" s="5"/>
      <c r="M61" s="5"/>
      <c r="N61" s="5"/>
      <c r="O61" s="9"/>
      <c r="P61" s="9"/>
      <c r="Q61" s="9"/>
    </row>
    <row r="62" spans="1:17" x14ac:dyDescent="0.25">
      <c r="A62" s="8">
        <v>45742</v>
      </c>
      <c r="B62" s="3" t="s">
        <v>183</v>
      </c>
      <c r="C62" s="3">
        <v>10303</v>
      </c>
      <c r="D62" s="3" t="s">
        <v>10</v>
      </c>
      <c r="E62" s="3">
        <v>275177</v>
      </c>
      <c r="F62" s="3" t="s">
        <v>111</v>
      </c>
      <c r="G62" s="3" t="s">
        <v>69</v>
      </c>
      <c r="H62" s="3" t="s">
        <v>112</v>
      </c>
      <c r="I62" s="3" t="s">
        <v>113</v>
      </c>
      <c r="J62" s="3" t="s">
        <v>59</v>
      </c>
      <c r="K62" s="6">
        <v>4952.72</v>
      </c>
      <c r="L62" s="6">
        <v>6910</v>
      </c>
      <c r="M62" s="4">
        <v>1</v>
      </c>
      <c r="N62" s="6">
        <v>1243.8</v>
      </c>
      <c r="O62" s="9"/>
      <c r="P62" s="9"/>
      <c r="Q62" s="9"/>
    </row>
    <row r="63" spans="1:17" x14ac:dyDescent="0.25">
      <c r="A63" s="8">
        <v>45742</v>
      </c>
      <c r="B63" s="3" t="s">
        <v>183</v>
      </c>
      <c r="C63" s="3">
        <v>10303</v>
      </c>
      <c r="D63" s="3" t="s">
        <v>10</v>
      </c>
      <c r="E63" s="3">
        <v>275177</v>
      </c>
      <c r="F63" s="3" t="s">
        <v>111</v>
      </c>
      <c r="G63" s="3" t="s">
        <v>69</v>
      </c>
      <c r="H63" s="3" t="s">
        <v>114</v>
      </c>
      <c r="I63" s="3" t="s">
        <v>115</v>
      </c>
      <c r="J63" s="3" t="s">
        <v>59</v>
      </c>
      <c r="K63" s="5"/>
      <c r="L63" s="5"/>
      <c r="M63" s="5"/>
      <c r="N63" s="5"/>
      <c r="O63" s="9"/>
      <c r="P63" s="9"/>
      <c r="Q63" s="9"/>
    </row>
    <row r="64" spans="1:17" x14ac:dyDescent="0.25">
      <c r="A64" s="8">
        <v>45743</v>
      </c>
      <c r="B64" s="3">
        <v>9700</v>
      </c>
      <c r="C64" s="3">
        <v>10303</v>
      </c>
      <c r="D64" s="3" t="s">
        <v>10</v>
      </c>
      <c r="E64" s="3">
        <v>24269</v>
      </c>
      <c r="F64" s="3" t="s">
        <v>184</v>
      </c>
      <c r="G64" s="3" t="s">
        <v>69</v>
      </c>
      <c r="H64" s="3" t="s">
        <v>185</v>
      </c>
      <c r="I64" s="3" t="s">
        <v>106</v>
      </c>
      <c r="J64" s="3" t="s">
        <v>59</v>
      </c>
      <c r="K64" s="6">
        <v>1512</v>
      </c>
      <c r="L64" s="6">
        <v>4110</v>
      </c>
      <c r="M64" s="4">
        <v>1</v>
      </c>
      <c r="N64" s="4">
        <v>739.8</v>
      </c>
      <c r="O64" s="9"/>
      <c r="P64" s="9"/>
      <c r="Q64" s="9"/>
    </row>
    <row r="65" spans="1:17" x14ac:dyDescent="0.25">
      <c r="A65" s="8">
        <v>45744</v>
      </c>
      <c r="B65" s="3">
        <v>9738</v>
      </c>
      <c r="C65" s="3">
        <v>10303</v>
      </c>
      <c r="D65" s="3" t="s">
        <v>10</v>
      </c>
      <c r="E65" s="3">
        <v>24259</v>
      </c>
      <c r="F65" s="3" t="s">
        <v>186</v>
      </c>
      <c r="G65" s="3" t="s">
        <v>69</v>
      </c>
      <c r="H65" s="3" t="s">
        <v>187</v>
      </c>
      <c r="I65" s="3" t="s">
        <v>188</v>
      </c>
      <c r="J65" s="3" t="s">
        <v>59</v>
      </c>
      <c r="K65" s="6">
        <v>4758.1499999999996</v>
      </c>
      <c r="L65" s="6">
        <v>7071</v>
      </c>
      <c r="M65" s="4">
        <v>1</v>
      </c>
      <c r="N65" s="6">
        <v>1272.78</v>
      </c>
      <c r="O65" s="9"/>
      <c r="P65" s="9"/>
      <c r="Q65" s="9"/>
    </row>
    <row r="66" spans="1:17" x14ac:dyDescent="0.25">
      <c r="A66" s="8">
        <v>45744</v>
      </c>
      <c r="B66" s="3">
        <v>9738</v>
      </c>
      <c r="C66" s="3">
        <v>10303</v>
      </c>
      <c r="D66" s="3" t="s">
        <v>10</v>
      </c>
      <c r="E66" s="3">
        <v>24259</v>
      </c>
      <c r="F66" s="3" t="s">
        <v>186</v>
      </c>
      <c r="G66" s="3" t="s">
        <v>69</v>
      </c>
      <c r="H66" s="3" t="s">
        <v>189</v>
      </c>
      <c r="I66" s="3" t="s">
        <v>190</v>
      </c>
      <c r="J66" s="3" t="s">
        <v>59</v>
      </c>
      <c r="K66" s="5"/>
      <c r="L66" s="5"/>
      <c r="M66" s="5"/>
      <c r="N66" s="5"/>
      <c r="O66" s="9"/>
      <c r="P66" s="9"/>
      <c r="Q66" s="9"/>
    </row>
    <row r="67" spans="1:17" x14ac:dyDescent="0.25">
      <c r="A67" s="8">
        <v>45744</v>
      </c>
      <c r="B67" s="3">
        <v>9764</v>
      </c>
      <c r="C67" s="3">
        <v>10303</v>
      </c>
      <c r="D67" s="3" t="s">
        <v>10</v>
      </c>
      <c r="E67" s="3">
        <v>24278</v>
      </c>
      <c r="F67" s="3" t="s">
        <v>191</v>
      </c>
      <c r="G67" s="3" t="s">
        <v>69</v>
      </c>
      <c r="H67" s="3" t="s">
        <v>192</v>
      </c>
      <c r="I67" s="3" t="s">
        <v>188</v>
      </c>
      <c r="J67" s="3" t="s">
        <v>59</v>
      </c>
      <c r="K67" s="6">
        <v>1910.7</v>
      </c>
      <c r="L67" s="4">
        <v>-268.14999999999998</v>
      </c>
      <c r="M67" s="4">
        <v>1</v>
      </c>
      <c r="N67" s="4">
        <v>200</v>
      </c>
      <c r="O67" s="9"/>
      <c r="P67" s="9"/>
      <c r="Q67" s="9"/>
    </row>
    <row r="68" spans="1:17" x14ac:dyDescent="0.25">
      <c r="A68" s="8">
        <v>45747</v>
      </c>
      <c r="B68" s="3">
        <v>9778</v>
      </c>
      <c r="C68" s="3">
        <v>10303</v>
      </c>
      <c r="D68" s="3" t="s">
        <v>10</v>
      </c>
      <c r="E68" s="3">
        <v>19492</v>
      </c>
      <c r="F68" s="3" t="s">
        <v>193</v>
      </c>
      <c r="G68" s="3" t="s">
        <v>69</v>
      </c>
      <c r="H68" s="3" t="s">
        <v>194</v>
      </c>
      <c r="I68" s="3" t="s">
        <v>113</v>
      </c>
      <c r="J68" s="3" t="s">
        <v>59</v>
      </c>
      <c r="K68" s="6">
        <v>6635.9</v>
      </c>
      <c r="L68" s="6">
        <v>5472.51</v>
      </c>
      <c r="M68" s="4">
        <v>1</v>
      </c>
      <c r="N68" s="4">
        <v>985.05</v>
      </c>
      <c r="O68" s="9"/>
      <c r="P68" s="9"/>
      <c r="Q68" s="9"/>
    </row>
    <row r="69" spans="1:17" x14ac:dyDescent="0.25">
      <c r="A69" s="8">
        <v>45747</v>
      </c>
      <c r="B69" s="3">
        <v>9778</v>
      </c>
      <c r="C69" s="3">
        <v>10303</v>
      </c>
      <c r="D69" s="3" t="s">
        <v>10</v>
      </c>
      <c r="E69" s="3">
        <v>19492</v>
      </c>
      <c r="F69" s="3" t="s">
        <v>193</v>
      </c>
      <c r="G69" s="3" t="s">
        <v>69</v>
      </c>
      <c r="H69" s="3" t="s">
        <v>195</v>
      </c>
      <c r="I69" s="3" t="s">
        <v>196</v>
      </c>
      <c r="J69" s="3" t="s">
        <v>59</v>
      </c>
      <c r="K69" s="5"/>
      <c r="L69" s="5"/>
      <c r="M69" s="5"/>
      <c r="N69" s="5"/>
      <c r="O69" s="9"/>
      <c r="P69" s="9"/>
      <c r="Q69" s="9"/>
    </row>
    <row r="70" spans="1:17" x14ac:dyDescent="0.25">
      <c r="A70" s="8">
        <v>45747</v>
      </c>
      <c r="B70" s="3">
        <v>9923</v>
      </c>
      <c r="C70" s="3">
        <v>10303</v>
      </c>
      <c r="D70" s="3" t="s">
        <v>10</v>
      </c>
      <c r="E70" s="3">
        <v>24473</v>
      </c>
      <c r="F70" s="3" t="s">
        <v>197</v>
      </c>
      <c r="G70" s="3" t="s">
        <v>69</v>
      </c>
      <c r="H70" s="3" t="s">
        <v>198</v>
      </c>
      <c r="I70" s="3" t="s">
        <v>188</v>
      </c>
      <c r="J70" s="3" t="s">
        <v>59</v>
      </c>
      <c r="K70" s="6">
        <v>1350.78</v>
      </c>
      <c r="L70" s="6">
        <v>-3165</v>
      </c>
      <c r="M70" s="4">
        <v>1</v>
      </c>
      <c r="N70" s="4">
        <v>200</v>
      </c>
      <c r="O70" s="9"/>
      <c r="P70" s="9"/>
      <c r="Q70" s="9"/>
    </row>
    <row r="71" spans="1:17" x14ac:dyDescent="0.25">
      <c r="A71" s="8">
        <v>45747</v>
      </c>
      <c r="B71" s="3">
        <v>9923</v>
      </c>
      <c r="C71" s="3">
        <v>10303</v>
      </c>
      <c r="D71" s="3" t="s">
        <v>10</v>
      </c>
      <c r="E71" s="3">
        <v>24473</v>
      </c>
      <c r="F71" s="3" t="s">
        <v>197</v>
      </c>
      <c r="G71" s="3" t="s">
        <v>69</v>
      </c>
      <c r="H71" s="3" t="s">
        <v>199</v>
      </c>
      <c r="I71" s="3" t="s">
        <v>200</v>
      </c>
      <c r="J71" s="3" t="s">
        <v>59</v>
      </c>
      <c r="K71" s="5"/>
      <c r="L71" s="5"/>
      <c r="M71" s="5"/>
      <c r="N71" s="5"/>
      <c r="O71" s="9"/>
      <c r="P71" s="9"/>
      <c r="Q71" s="9"/>
    </row>
    <row r="72" spans="1:17" x14ac:dyDescent="0.25">
      <c r="A72" s="8">
        <v>45747</v>
      </c>
      <c r="B72" s="3">
        <v>9984</v>
      </c>
      <c r="C72" s="3">
        <v>10303</v>
      </c>
      <c r="D72" s="3" t="s">
        <v>10</v>
      </c>
      <c r="E72" s="3">
        <v>24538</v>
      </c>
      <c r="F72" s="3" t="s">
        <v>201</v>
      </c>
      <c r="G72" s="3" t="s">
        <v>69</v>
      </c>
      <c r="H72" s="3" t="s">
        <v>202</v>
      </c>
      <c r="I72" s="3" t="s">
        <v>203</v>
      </c>
      <c r="J72" s="3" t="s">
        <v>59</v>
      </c>
      <c r="K72" s="6">
        <v>1211.4000000000001</v>
      </c>
      <c r="L72" s="4">
        <v>-194</v>
      </c>
      <c r="M72" s="4">
        <v>1</v>
      </c>
      <c r="N72" s="4">
        <v>200</v>
      </c>
      <c r="O72" s="9"/>
      <c r="P72" s="9"/>
      <c r="Q72" s="9"/>
    </row>
    <row r="73" spans="1:17" x14ac:dyDescent="0.25">
      <c r="A73" s="8">
        <v>45747</v>
      </c>
      <c r="B73" s="3">
        <v>9907</v>
      </c>
      <c r="C73" s="3">
        <v>10303</v>
      </c>
      <c r="D73" s="3" t="s">
        <v>10</v>
      </c>
      <c r="E73" s="3">
        <v>10950</v>
      </c>
      <c r="F73" s="3" t="s">
        <v>204</v>
      </c>
      <c r="G73" s="3" t="s">
        <v>69</v>
      </c>
      <c r="H73" s="3" t="s">
        <v>205</v>
      </c>
      <c r="I73" s="3" t="s">
        <v>173</v>
      </c>
      <c r="J73" s="3" t="s">
        <v>59</v>
      </c>
      <c r="K73" s="4">
        <v>919.85</v>
      </c>
      <c r="L73" s="4">
        <v>-164.5</v>
      </c>
      <c r="M73" s="4">
        <v>0.5</v>
      </c>
      <c r="N73" s="4">
        <v>100</v>
      </c>
      <c r="O73" s="9"/>
      <c r="P73" s="9"/>
      <c r="Q73" s="9"/>
    </row>
    <row r="74" spans="1:17" x14ac:dyDescent="0.25">
      <c r="A74" s="8">
        <v>45747</v>
      </c>
      <c r="B74" s="3">
        <v>9819</v>
      </c>
      <c r="C74" s="3">
        <v>10303</v>
      </c>
      <c r="D74" s="3" t="s">
        <v>10</v>
      </c>
      <c r="E74" s="3">
        <v>24333</v>
      </c>
      <c r="F74" s="3" t="s">
        <v>206</v>
      </c>
      <c r="G74" s="3" t="s">
        <v>56</v>
      </c>
      <c r="H74" s="3" t="s">
        <v>207</v>
      </c>
      <c r="I74" s="3" t="s">
        <v>188</v>
      </c>
      <c r="J74" s="3" t="s">
        <v>59</v>
      </c>
      <c r="K74" s="6">
        <v>1588</v>
      </c>
      <c r="L74" s="6">
        <v>2021</v>
      </c>
      <c r="M74" s="4">
        <v>1</v>
      </c>
      <c r="N74" s="4">
        <v>363.78</v>
      </c>
      <c r="O74" s="9"/>
      <c r="P74" s="9"/>
      <c r="Q74" s="9"/>
    </row>
    <row r="75" spans="1:17" x14ac:dyDescent="0.25">
      <c r="A75" s="8">
        <v>45747</v>
      </c>
      <c r="B75" s="3">
        <v>9944</v>
      </c>
      <c r="C75" s="3">
        <v>10303</v>
      </c>
      <c r="D75" s="3" t="s">
        <v>10</v>
      </c>
      <c r="E75" s="3">
        <v>14579</v>
      </c>
      <c r="F75" s="3" t="s">
        <v>208</v>
      </c>
      <c r="G75" s="3" t="s">
        <v>56</v>
      </c>
      <c r="H75" s="3" t="s">
        <v>209</v>
      </c>
      <c r="I75" s="3" t="s">
        <v>210</v>
      </c>
      <c r="J75" s="3" t="s">
        <v>59</v>
      </c>
      <c r="K75" s="6">
        <v>1403.19</v>
      </c>
      <c r="L75" s="4">
        <v>440.39</v>
      </c>
      <c r="M75" s="4">
        <v>1</v>
      </c>
      <c r="N75" s="4">
        <v>200</v>
      </c>
      <c r="O75" s="9"/>
      <c r="P75" s="9"/>
      <c r="Q75" s="9"/>
    </row>
    <row r="76" spans="1:17" x14ac:dyDescent="0.25">
      <c r="A76" s="8">
        <v>45747</v>
      </c>
      <c r="B76" s="3">
        <v>9944</v>
      </c>
      <c r="C76" s="3">
        <v>10303</v>
      </c>
      <c r="D76" s="3" t="s">
        <v>10</v>
      </c>
      <c r="E76" s="3">
        <v>14579</v>
      </c>
      <c r="F76" s="3" t="s">
        <v>208</v>
      </c>
      <c r="G76" s="3" t="s">
        <v>56</v>
      </c>
      <c r="H76" s="3" t="s">
        <v>211</v>
      </c>
      <c r="I76" s="3" t="s">
        <v>212</v>
      </c>
      <c r="J76" s="3" t="s">
        <v>59</v>
      </c>
      <c r="K76" s="5"/>
      <c r="L76" s="5"/>
      <c r="M76" s="5"/>
      <c r="N76" s="5"/>
      <c r="O76" s="9"/>
      <c r="P76" s="9"/>
      <c r="Q76" s="9"/>
    </row>
    <row r="77" spans="1:17" x14ac:dyDescent="0.25">
      <c r="A77" s="8">
        <v>45747</v>
      </c>
      <c r="B77" s="3">
        <v>9903</v>
      </c>
      <c r="C77" s="3">
        <v>10303</v>
      </c>
      <c r="D77" s="3" t="s">
        <v>10</v>
      </c>
      <c r="E77" s="3">
        <v>24450</v>
      </c>
      <c r="F77" s="3" t="s">
        <v>213</v>
      </c>
      <c r="G77" s="3" t="s">
        <v>108</v>
      </c>
      <c r="H77" s="3" t="s">
        <v>214</v>
      </c>
      <c r="I77" s="3" t="s">
        <v>215</v>
      </c>
      <c r="J77" s="3" t="s">
        <v>86</v>
      </c>
      <c r="K77" s="6">
        <v>4920.1099999999997</v>
      </c>
      <c r="L77" s="6">
        <v>-1286.5899999999999</v>
      </c>
      <c r="M77" s="4">
        <v>1</v>
      </c>
      <c r="N77" s="4">
        <v>200</v>
      </c>
      <c r="O77" s="9"/>
      <c r="P77" s="9"/>
      <c r="Q77" s="9"/>
    </row>
    <row r="78" spans="1:17" x14ac:dyDescent="0.25">
      <c r="A78" s="8">
        <v>45721</v>
      </c>
      <c r="B78" s="3">
        <v>9325</v>
      </c>
      <c r="C78" s="3">
        <v>10304</v>
      </c>
      <c r="D78" s="3" t="s">
        <v>11</v>
      </c>
      <c r="E78" s="3">
        <v>267026</v>
      </c>
      <c r="F78" s="3" t="s">
        <v>216</v>
      </c>
      <c r="G78" s="3" t="s">
        <v>108</v>
      </c>
      <c r="H78" s="3" t="s">
        <v>217</v>
      </c>
      <c r="I78" s="3" t="s">
        <v>218</v>
      </c>
      <c r="J78" s="3" t="s">
        <v>86</v>
      </c>
      <c r="K78" s="6">
        <v>4659.16</v>
      </c>
      <c r="L78" s="4">
        <v>-597.78</v>
      </c>
      <c r="M78" s="4">
        <v>0.5</v>
      </c>
      <c r="N78" s="4">
        <v>100</v>
      </c>
      <c r="O78" s="9"/>
      <c r="P78" s="9"/>
      <c r="Q78" s="9"/>
    </row>
    <row r="79" spans="1:17" x14ac:dyDescent="0.25">
      <c r="A79" s="8">
        <v>45728</v>
      </c>
      <c r="B79" s="3">
        <v>9493</v>
      </c>
      <c r="C79" s="3">
        <v>10304</v>
      </c>
      <c r="D79" s="3" t="s">
        <v>11</v>
      </c>
      <c r="E79" s="3">
        <v>23839</v>
      </c>
      <c r="F79" s="3" t="s">
        <v>219</v>
      </c>
      <c r="G79" s="3" t="s">
        <v>108</v>
      </c>
      <c r="H79" s="3" t="s">
        <v>220</v>
      </c>
      <c r="I79" s="3" t="s">
        <v>161</v>
      </c>
      <c r="J79" s="3" t="s">
        <v>86</v>
      </c>
      <c r="K79" s="4">
        <v>0</v>
      </c>
      <c r="L79" s="4">
        <v>0</v>
      </c>
      <c r="M79" s="4">
        <v>0</v>
      </c>
      <c r="N79" s="4">
        <v>0</v>
      </c>
      <c r="O79" s="9"/>
      <c r="P79" s="9"/>
      <c r="Q79" s="9"/>
    </row>
    <row r="80" spans="1:17" x14ac:dyDescent="0.25">
      <c r="A80" s="8">
        <v>45728</v>
      </c>
      <c r="B80" s="3" t="s">
        <v>221</v>
      </c>
      <c r="C80" s="3">
        <v>10304</v>
      </c>
      <c r="D80" s="3" t="s">
        <v>11</v>
      </c>
      <c r="E80" s="3">
        <v>23839</v>
      </c>
      <c r="F80" s="3" t="s">
        <v>219</v>
      </c>
      <c r="G80" s="3" t="s">
        <v>108</v>
      </c>
      <c r="H80" s="3" t="s">
        <v>220</v>
      </c>
      <c r="I80" s="3" t="s">
        <v>161</v>
      </c>
      <c r="J80" s="3" t="s">
        <v>86</v>
      </c>
      <c r="K80" s="6">
        <v>6405.8</v>
      </c>
      <c r="L80" s="6">
        <v>2646.59</v>
      </c>
      <c r="M80" s="4">
        <v>1</v>
      </c>
      <c r="N80" s="4">
        <v>476.39</v>
      </c>
      <c r="O80" s="9"/>
      <c r="P80" s="9"/>
      <c r="Q80" s="9"/>
    </row>
    <row r="81" spans="1:17" x14ac:dyDescent="0.25">
      <c r="A81" s="8">
        <v>45733</v>
      </c>
      <c r="B81" s="3">
        <v>9442</v>
      </c>
      <c r="C81" s="3">
        <v>10304</v>
      </c>
      <c r="D81" s="3" t="s">
        <v>11</v>
      </c>
      <c r="E81" s="3">
        <v>23780</v>
      </c>
      <c r="F81" s="3" t="s">
        <v>222</v>
      </c>
      <c r="G81" s="3" t="s">
        <v>108</v>
      </c>
      <c r="H81" s="3" t="s">
        <v>223</v>
      </c>
      <c r="I81" s="3" t="s">
        <v>224</v>
      </c>
      <c r="J81" s="3" t="s">
        <v>86</v>
      </c>
      <c r="K81" s="4">
        <v>0</v>
      </c>
      <c r="L81" s="4">
        <v>803.84</v>
      </c>
      <c r="M81" s="4">
        <v>1</v>
      </c>
      <c r="N81" s="4">
        <v>200</v>
      </c>
      <c r="O81" s="9"/>
      <c r="P81" s="9"/>
      <c r="Q81" s="9"/>
    </row>
    <row r="82" spans="1:17" x14ac:dyDescent="0.25">
      <c r="A82" s="8">
        <v>45733</v>
      </c>
      <c r="B82" s="3">
        <v>9442</v>
      </c>
      <c r="C82" s="3">
        <v>10304</v>
      </c>
      <c r="D82" s="3" t="s">
        <v>11</v>
      </c>
      <c r="E82" s="3">
        <v>23780</v>
      </c>
      <c r="F82" s="3" t="s">
        <v>222</v>
      </c>
      <c r="G82" s="3" t="s">
        <v>108</v>
      </c>
      <c r="H82" s="3" t="s">
        <v>225</v>
      </c>
      <c r="I82" s="3" t="s">
        <v>226</v>
      </c>
      <c r="J82" s="3" t="s">
        <v>86</v>
      </c>
      <c r="K82" s="5"/>
      <c r="L82" s="5"/>
      <c r="M82" s="5"/>
      <c r="N82" s="5"/>
      <c r="O82" s="9"/>
      <c r="P82" s="9"/>
      <c r="Q82" s="9"/>
    </row>
    <row r="83" spans="1:17" x14ac:dyDescent="0.25">
      <c r="A83" s="8">
        <v>45735</v>
      </c>
      <c r="B83" s="3">
        <v>9467</v>
      </c>
      <c r="C83" s="3">
        <v>10304</v>
      </c>
      <c r="D83" s="3" t="s">
        <v>11</v>
      </c>
      <c r="E83" s="3">
        <v>23815</v>
      </c>
      <c r="F83" s="3" t="s">
        <v>227</v>
      </c>
      <c r="G83" s="3" t="s">
        <v>69</v>
      </c>
      <c r="H83" s="3" t="s">
        <v>228</v>
      </c>
      <c r="I83" s="3" t="s">
        <v>229</v>
      </c>
      <c r="J83" s="3" t="s">
        <v>59</v>
      </c>
      <c r="K83" s="6">
        <v>1871.1</v>
      </c>
      <c r="L83" s="6">
        <v>3948.51</v>
      </c>
      <c r="M83" s="4">
        <v>1</v>
      </c>
      <c r="N83" s="4">
        <v>710.73</v>
      </c>
      <c r="O83" s="9"/>
      <c r="P83" s="9"/>
      <c r="Q83" s="9"/>
    </row>
    <row r="84" spans="1:17" x14ac:dyDescent="0.25">
      <c r="A84" s="8">
        <v>45743</v>
      </c>
      <c r="B84" s="3">
        <v>9676</v>
      </c>
      <c r="C84" s="3">
        <v>10304</v>
      </c>
      <c r="D84" s="3" t="s">
        <v>11</v>
      </c>
      <c r="E84" s="3">
        <v>24182</v>
      </c>
      <c r="F84" s="3" t="s">
        <v>230</v>
      </c>
      <c r="G84" s="3" t="s">
        <v>108</v>
      </c>
      <c r="H84" s="3" t="s">
        <v>231</v>
      </c>
      <c r="I84" s="3" t="s">
        <v>232</v>
      </c>
      <c r="J84" s="3" t="s">
        <v>86</v>
      </c>
      <c r="K84" s="6">
        <v>2222.2600000000002</v>
      </c>
      <c r="L84" s="6">
        <v>-2472.16</v>
      </c>
      <c r="M84" s="4">
        <v>0.5</v>
      </c>
      <c r="N84" s="4">
        <v>100</v>
      </c>
      <c r="O84" s="9"/>
      <c r="P84" s="9"/>
      <c r="Q84" s="9"/>
    </row>
    <row r="85" spans="1:17" x14ac:dyDescent="0.25">
      <c r="A85" s="8">
        <v>45743</v>
      </c>
      <c r="B85" s="3">
        <v>9676</v>
      </c>
      <c r="C85" s="3">
        <v>10304</v>
      </c>
      <c r="D85" s="3" t="s">
        <v>11</v>
      </c>
      <c r="E85" s="3">
        <v>24182</v>
      </c>
      <c r="F85" s="3" t="s">
        <v>230</v>
      </c>
      <c r="G85" s="3" t="s">
        <v>108</v>
      </c>
      <c r="H85" s="3" t="s">
        <v>233</v>
      </c>
      <c r="I85" s="3" t="s">
        <v>234</v>
      </c>
      <c r="J85" s="3" t="s">
        <v>86</v>
      </c>
      <c r="K85" s="5"/>
      <c r="L85" s="5"/>
      <c r="M85" s="5"/>
      <c r="N85" s="5"/>
      <c r="O85" s="9"/>
      <c r="P85" s="9"/>
      <c r="Q85" s="9"/>
    </row>
    <row r="86" spans="1:17" x14ac:dyDescent="0.25">
      <c r="A86" s="8">
        <v>45744</v>
      </c>
      <c r="B86" s="3">
        <v>9762</v>
      </c>
      <c r="C86" s="3">
        <v>10304</v>
      </c>
      <c r="D86" s="3" t="s">
        <v>11</v>
      </c>
      <c r="E86" s="3">
        <v>24277</v>
      </c>
      <c r="F86" s="3" t="s">
        <v>235</v>
      </c>
      <c r="G86" s="3" t="s">
        <v>108</v>
      </c>
      <c r="H86" s="3" t="s">
        <v>236</v>
      </c>
      <c r="I86" s="3" t="s">
        <v>161</v>
      </c>
      <c r="J86" s="3" t="s">
        <v>86</v>
      </c>
      <c r="K86" s="6">
        <v>2020</v>
      </c>
      <c r="L86" s="4">
        <v>478.47</v>
      </c>
      <c r="M86" s="4">
        <v>1</v>
      </c>
      <c r="N86" s="4">
        <v>200</v>
      </c>
      <c r="O86" s="9"/>
      <c r="P86" s="9"/>
      <c r="Q86" s="9"/>
    </row>
    <row r="87" spans="1:17" x14ac:dyDescent="0.25">
      <c r="A87" s="8">
        <v>45744</v>
      </c>
      <c r="B87" s="3">
        <v>9762</v>
      </c>
      <c r="C87" s="3">
        <v>10304</v>
      </c>
      <c r="D87" s="3" t="s">
        <v>11</v>
      </c>
      <c r="E87" s="3">
        <v>24277</v>
      </c>
      <c r="F87" s="3" t="s">
        <v>235</v>
      </c>
      <c r="G87" s="3" t="s">
        <v>108</v>
      </c>
      <c r="H87" s="3" t="s">
        <v>237</v>
      </c>
      <c r="I87" s="3" t="s">
        <v>238</v>
      </c>
      <c r="J87" s="3" t="s">
        <v>86</v>
      </c>
      <c r="K87" s="5"/>
      <c r="L87" s="5"/>
      <c r="M87" s="5"/>
      <c r="N87" s="5"/>
      <c r="O87" s="9"/>
      <c r="P87" s="9"/>
      <c r="Q87" s="9"/>
    </row>
    <row r="88" spans="1:17" x14ac:dyDescent="0.25">
      <c r="A88" s="8">
        <v>45747</v>
      </c>
      <c r="B88" s="3">
        <v>7299</v>
      </c>
      <c r="C88" s="3">
        <v>10304</v>
      </c>
      <c r="D88" s="3" t="s">
        <v>11</v>
      </c>
      <c r="E88" s="3">
        <v>20769</v>
      </c>
      <c r="F88" s="3" t="s">
        <v>156</v>
      </c>
      <c r="G88" s="3" t="s">
        <v>69</v>
      </c>
      <c r="H88" s="3" t="s">
        <v>157</v>
      </c>
      <c r="I88" s="3" t="s">
        <v>158</v>
      </c>
      <c r="J88" s="3" t="s">
        <v>59</v>
      </c>
      <c r="K88" s="6">
        <v>3262.87</v>
      </c>
      <c r="L88" s="6">
        <v>2044.32</v>
      </c>
      <c r="M88" s="4">
        <v>0.5</v>
      </c>
      <c r="N88" s="4">
        <v>367.98</v>
      </c>
      <c r="O88" s="9"/>
      <c r="P88" s="9"/>
      <c r="Q88" s="9"/>
    </row>
    <row r="89" spans="1:17" x14ac:dyDescent="0.25">
      <c r="A89" s="8">
        <v>45747</v>
      </c>
      <c r="B89" s="3">
        <v>9857</v>
      </c>
      <c r="C89" s="3">
        <v>10304</v>
      </c>
      <c r="D89" s="3" t="s">
        <v>11</v>
      </c>
      <c r="E89" s="3">
        <v>24394</v>
      </c>
      <c r="F89" s="3" t="s">
        <v>239</v>
      </c>
      <c r="G89" s="3" t="s">
        <v>56</v>
      </c>
      <c r="H89" s="3" t="s">
        <v>240</v>
      </c>
      <c r="I89" s="3" t="s">
        <v>89</v>
      </c>
      <c r="J89" s="3" t="s">
        <v>59</v>
      </c>
      <c r="K89" s="4">
        <v>0</v>
      </c>
      <c r="L89" s="6">
        <v>2197.1999999999998</v>
      </c>
      <c r="M89" s="4">
        <v>1</v>
      </c>
      <c r="N89" s="4">
        <v>395.5</v>
      </c>
      <c r="O89" s="9"/>
      <c r="P89" s="9"/>
      <c r="Q89" s="9"/>
    </row>
    <row r="90" spans="1:17" x14ac:dyDescent="0.25">
      <c r="A90" s="8">
        <v>45747</v>
      </c>
      <c r="B90" s="3">
        <v>9857</v>
      </c>
      <c r="C90" s="3">
        <v>10304</v>
      </c>
      <c r="D90" s="3" t="s">
        <v>11</v>
      </c>
      <c r="E90" s="3">
        <v>24394</v>
      </c>
      <c r="F90" s="3" t="s">
        <v>239</v>
      </c>
      <c r="G90" s="3" t="s">
        <v>56</v>
      </c>
      <c r="H90" s="3" t="s">
        <v>241</v>
      </c>
      <c r="I90" s="3" t="s">
        <v>242</v>
      </c>
      <c r="J90" s="3" t="s">
        <v>59</v>
      </c>
      <c r="K90" s="5"/>
      <c r="L90" s="5"/>
      <c r="M90" s="5"/>
      <c r="N90" s="5"/>
      <c r="O90" s="9"/>
      <c r="P90" s="9"/>
      <c r="Q90" s="9"/>
    </row>
    <row r="91" spans="1:17" x14ac:dyDescent="0.25">
      <c r="A91" s="8">
        <v>45747</v>
      </c>
      <c r="B91" s="3">
        <v>9910</v>
      </c>
      <c r="C91" s="3">
        <v>10304</v>
      </c>
      <c r="D91" s="3" t="s">
        <v>11</v>
      </c>
      <c r="E91" s="3">
        <v>24460</v>
      </c>
      <c r="F91" s="3" t="s">
        <v>243</v>
      </c>
      <c r="G91" s="3" t="s">
        <v>108</v>
      </c>
      <c r="H91" s="3" t="s">
        <v>181</v>
      </c>
      <c r="I91" s="3" t="s">
        <v>182</v>
      </c>
      <c r="J91" s="3" t="s">
        <v>86</v>
      </c>
      <c r="K91" s="4">
        <v>0</v>
      </c>
      <c r="L91" s="4">
        <v>-505.73</v>
      </c>
      <c r="M91" s="4">
        <v>1</v>
      </c>
      <c r="N91" s="4">
        <v>200</v>
      </c>
      <c r="O91" s="9"/>
      <c r="P91" s="9"/>
      <c r="Q91" s="9"/>
    </row>
    <row r="92" spans="1:17" x14ac:dyDescent="0.25">
      <c r="A92" s="8">
        <v>45722</v>
      </c>
      <c r="B92" s="3">
        <v>9355</v>
      </c>
      <c r="C92" s="3">
        <v>10775</v>
      </c>
      <c r="D92" s="3" t="s">
        <v>12</v>
      </c>
      <c r="E92" s="3">
        <v>23616</v>
      </c>
      <c r="F92" s="3" t="s">
        <v>244</v>
      </c>
      <c r="G92" s="3" t="s">
        <v>56</v>
      </c>
      <c r="H92" s="3" t="s">
        <v>245</v>
      </c>
      <c r="I92" s="3" t="s">
        <v>210</v>
      </c>
      <c r="J92" s="3" t="s">
        <v>59</v>
      </c>
      <c r="K92" s="6">
        <v>2018.91</v>
      </c>
      <c r="L92" s="6">
        <v>-3732.99</v>
      </c>
      <c r="M92" s="4">
        <v>1</v>
      </c>
      <c r="N92" s="4">
        <v>200</v>
      </c>
      <c r="O92" s="9"/>
      <c r="P92" s="9"/>
      <c r="Q92" s="9"/>
    </row>
    <row r="93" spans="1:17" x14ac:dyDescent="0.25">
      <c r="A93" s="8">
        <v>45727</v>
      </c>
      <c r="B93" s="3">
        <v>9240</v>
      </c>
      <c r="C93" s="3">
        <v>10775</v>
      </c>
      <c r="D93" s="3" t="s">
        <v>12</v>
      </c>
      <c r="E93" s="3">
        <v>23481</v>
      </c>
      <c r="F93" s="3" t="s">
        <v>246</v>
      </c>
      <c r="G93" s="3" t="s">
        <v>69</v>
      </c>
      <c r="H93" s="3" t="s">
        <v>247</v>
      </c>
      <c r="I93" s="3" t="s">
        <v>248</v>
      </c>
      <c r="J93" s="3" t="s">
        <v>59</v>
      </c>
      <c r="K93" s="6">
        <v>4412.74</v>
      </c>
      <c r="L93" s="6">
        <v>-6041</v>
      </c>
      <c r="M93" s="4">
        <v>1</v>
      </c>
      <c r="N93" s="4">
        <v>200</v>
      </c>
      <c r="O93" s="9"/>
      <c r="P93" s="9"/>
      <c r="Q93" s="9"/>
    </row>
    <row r="94" spans="1:17" x14ac:dyDescent="0.25">
      <c r="A94" s="8">
        <v>45727</v>
      </c>
      <c r="B94" s="3">
        <v>9240</v>
      </c>
      <c r="C94" s="3">
        <v>10775</v>
      </c>
      <c r="D94" s="3" t="s">
        <v>12</v>
      </c>
      <c r="E94" s="3">
        <v>23481</v>
      </c>
      <c r="F94" s="3" t="s">
        <v>246</v>
      </c>
      <c r="G94" s="3" t="s">
        <v>69</v>
      </c>
      <c r="H94" s="3" t="s">
        <v>249</v>
      </c>
      <c r="I94" s="3" t="s">
        <v>250</v>
      </c>
      <c r="J94" s="3" t="s">
        <v>59</v>
      </c>
      <c r="K94" s="5"/>
      <c r="L94" s="5"/>
      <c r="M94" s="5"/>
      <c r="N94" s="5"/>
      <c r="O94" s="9"/>
      <c r="P94" s="9"/>
      <c r="Q94" s="9"/>
    </row>
    <row r="95" spans="1:17" x14ac:dyDescent="0.25">
      <c r="A95" s="8">
        <v>45727</v>
      </c>
      <c r="B95" s="3">
        <v>9464</v>
      </c>
      <c r="C95" s="3">
        <v>10775</v>
      </c>
      <c r="D95" s="3" t="s">
        <v>12</v>
      </c>
      <c r="E95" s="3">
        <v>23811</v>
      </c>
      <c r="F95" s="3" t="s">
        <v>251</v>
      </c>
      <c r="G95" s="3" t="s">
        <v>56</v>
      </c>
      <c r="H95" s="3" t="s">
        <v>252</v>
      </c>
      <c r="I95" s="3" t="s">
        <v>253</v>
      </c>
      <c r="J95" s="3" t="s">
        <v>59</v>
      </c>
      <c r="K95" s="4">
        <v>0</v>
      </c>
      <c r="L95" s="6">
        <v>1573.35</v>
      </c>
      <c r="M95" s="4">
        <v>0.5</v>
      </c>
      <c r="N95" s="4">
        <v>283.20999999999998</v>
      </c>
      <c r="O95" s="9"/>
      <c r="P95" s="9"/>
      <c r="Q95" s="9"/>
    </row>
    <row r="96" spans="1:17" x14ac:dyDescent="0.25">
      <c r="A96" s="8">
        <v>45729</v>
      </c>
      <c r="B96" s="3">
        <v>9437</v>
      </c>
      <c r="C96" s="3">
        <v>10775</v>
      </c>
      <c r="D96" s="3" t="s">
        <v>12</v>
      </c>
      <c r="E96" s="3">
        <v>11088</v>
      </c>
      <c r="F96" s="3" t="s">
        <v>254</v>
      </c>
      <c r="G96" s="3" t="s">
        <v>83</v>
      </c>
      <c r="H96" s="3" t="s">
        <v>255</v>
      </c>
      <c r="I96" s="3" t="s">
        <v>256</v>
      </c>
      <c r="J96" s="3" t="s">
        <v>86</v>
      </c>
      <c r="K96" s="4">
        <v>0</v>
      </c>
      <c r="L96" s="4">
        <v>0</v>
      </c>
      <c r="M96" s="4">
        <v>1</v>
      </c>
      <c r="N96" s="4">
        <v>200</v>
      </c>
      <c r="O96" s="9"/>
      <c r="P96" s="9"/>
      <c r="Q96" s="9"/>
    </row>
    <row r="97" spans="1:17" x14ac:dyDescent="0.25">
      <c r="A97" s="8">
        <v>45735</v>
      </c>
      <c r="B97" s="3">
        <v>9595</v>
      </c>
      <c r="C97" s="3">
        <v>10775</v>
      </c>
      <c r="D97" s="3" t="s">
        <v>12</v>
      </c>
      <c r="E97" s="3">
        <v>24028</v>
      </c>
      <c r="F97" s="3" t="s">
        <v>257</v>
      </c>
      <c r="G97" s="3" t="s">
        <v>56</v>
      </c>
      <c r="H97" s="3" t="s">
        <v>258</v>
      </c>
      <c r="I97" s="3" t="s">
        <v>259</v>
      </c>
      <c r="J97" s="3" t="s">
        <v>59</v>
      </c>
      <c r="K97" s="4">
        <v>692</v>
      </c>
      <c r="L97" s="6">
        <v>-1630</v>
      </c>
      <c r="M97" s="4">
        <v>1</v>
      </c>
      <c r="N97" s="4">
        <v>200</v>
      </c>
      <c r="O97" s="9"/>
      <c r="P97" s="9"/>
      <c r="Q97" s="9"/>
    </row>
    <row r="98" spans="1:17" x14ac:dyDescent="0.25">
      <c r="A98" s="8">
        <v>45735</v>
      </c>
      <c r="B98" s="3">
        <v>9595</v>
      </c>
      <c r="C98" s="3">
        <v>10775</v>
      </c>
      <c r="D98" s="3" t="s">
        <v>12</v>
      </c>
      <c r="E98" s="3">
        <v>24028</v>
      </c>
      <c r="F98" s="3" t="s">
        <v>257</v>
      </c>
      <c r="G98" s="3" t="s">
        <v>56</v>
      </c>
      <c r="H98" s="3" t="s">
        <v>260</v>
      </c>
      <c r="I98" s="3" t="s">
        <v>261</v>
      </c>
      <c r="J98" s="3" t="s">
        <v>59</v>
      </c>
      <c r="K98" s="5"/>
      <c r="L98" s="5"/>
      <c r="M98" s="5"/>
      <c r="N98" s="5"/>
      <c r="O98" s="9"/>
      <c r="P98" s="9"/>
      <c r="Q98" s="9"/>
    </row>
    <row r="99" spans="1:17" x14ac:dyDescent="0.25">
      <c r="A99" s="8">
        <v>45735</v>
      </c>
      <c r="B99" s="3">
        <v>9034</v>
      </c>
      <c r="C99" s="3">
        <v>10775</v>
      </c>
      <c r="D99" s="3" t="s">
        <v>12</v>
      </c>
      <c r="E99" s="3">
        <v>23171</v>
      </c>
      <c r="F99" s="3" t="s">
        <v>262</v>
      </c>
      <c r="G99" s="3" t="s">
        <v>56</v>
      </c>
      <c r="H99" s="3" t="s">
        <v>263</v>
      </c>
      <c r="I99" s="3" t="s">
        <v>264</v>
      </c>
      <c r="J99" s="3" t="s">
        <v>59</v>
      </c>
      <c r="K99" s="6">
        <v>2994.43</v>
      </c>
      <c r="L99" s="6">
        <v>3371.01</v>
      </c>
      <c r="M99" s="4">
        <v>0.5</v>
      </c>
      <c r="N99" s="4">
        <v>606.78</v>
      </c>
      <c r="O99" s="9"/>
      <c r="P99" s="9"/>
      <c r="Q99" s="9"/>
    </row>
    <row r="100" spans="1:17" x14ac:dyDescent="0.25">
      <c r="A100" s="8">
        <v>45736</v>
      </c>
      <c r="B100" s="3">
        <v>9387</v>
      </c>
      <c r="C100" s="3">
        <v>10775</v>
      </c>
      <c r="D100" s="3" t="s">
        <v>12</v>
      </c>
      <c r="E100" s="3">
        <v>243669</v>
      </c>
      <c r="F100" s="3" t="s">
        <v>265</v>
      </c>
      <c r="G100" s="3" t="s">
        <v>83</v>
      </c>
      <c r="H100" s="3" t="s">
        <v>266</v>
      </c>
      <c r="I100" s="3" t="s">
        <v>267</v>
      </c>
      <c r="J100" s="3" t="s">
        <v>86</v>
      </c>
      <c r="K100" s="4">
        <v>0</v>
      </c>
      <c r="L100" s="4">
        <v>750</v>
      </c>
      <c r="M100" s="4">
        <v>1</v>
      </c>
      <c r="N100" s="4">
        <v>200</v>
      </c>
      <c r="O100" s="9"/>
      <c r="P100" s="9"/>
      <c r="Q100" s="9"/>
    </row>
    <row r="101" spans="1:17" x14ac:dyDescent="0.25">
      <c r="A101" s="8">
        <v>45741</v>
      </c>
      <c r="B101" s="3">
        <v>9578</v>
      </c>
      <c r="C101" s="3">
        <v>10775</v>
      </c>
      <c r="D101" s="3" t="s">
        <v>12</v>
      </c>
      <c r="E101" s="3">
        <v>11737</v>
      </c>
      <c r="F101" s="3" t="s">
        <v>268</v>
      </c>
      <c r="G101" s="3" t="s">
        <v>69</v>
      </c>
      <c r="H101" s="3" t="s">
        <v>269</v>
      </c>
      <c r="I101" s="3" t="s">
        <v>270</v>
      </c>
      <c r="J101" s="3" t="s">
        <v>59</v>
      </c>
      <c r="K101" s="4">
        <v>0</v>
      </c>
      <c r="L101" s="4">
        <v>0</v>
      </c>
      <c r="M101" s="4">
        <v>0</v>
      </c>
      <c r="N101" s="4">
        <v>0</v>
      </c>
      <c r="O101" s="9"/>
      <c r="P101" s="9"/>
      <c r="Q101" s="9"/>
    </row>
    <row r="102" spans="1:17" x14ac:dyDescent="0.25">
      <c r="A102" s="8">
        <v>45741</v>
      </c>
      <c r="B102" s="3" t="s">
        <v>271</v>
      </c>
      <c r="C102" s="3">
        <v>10775</v>
      </c>
      <c r="D102" s="3" t="s">
        <v>12</v>
      </c>
      <c r="E102" s="3">
        <v>11737</v>
      </c>
      <c r="F102" s="3" t="s">
        <v>268</v>
      </c>
      <c r="G102" s="3" t="s">
        <v>69</v>
      </c>
      <c r="H102" s="3" t="s">
        <v>269</v>
      </c>
      <c r="I102" s="3" t="s">
        <v>270</v>
      </c>
      <c r="J102" s="3" t="s">
        <v>59</v>
      </c>
      <c r="K102" s="4">
        <v>500</v>
      </c>
      <c r="L102" s="6">
        <v>11954.89</v>
      </c>
      <c r="M102" s="4">
        <v>1</v>
      </c>
      <c r="N102" s="6">
        <v>2151.88</v>
      </c>
      <c r="O102" s="9"/>
      <c r="P102" s="9"/>
      <c r="Q102" s="9"/>
    </row>
    <row r="103" spans="1:17" x14ac:dyDescent="0.25">
      <c r="A103" s="8">
        <v>45742</v>
      </c>
      <c r="B103" s="3">
        <v>9677</v>
      </c>
      <c r="C103" s="3">
        <v>10775</v>
      </c>
      <c r="D103" s="3" t="s">
        <v>12</v>
      </c>
      <c r="E103" s="3">
        <v>227687</v>
      </c>
      <c r="F103" s="3" t="s">
        <v>272</v>
      </c>
      <c r="G103" s="3" t="s">
        <v>69</v>
      </c>
      <c r="H103" s="3" t="s">
        <v>273</v>
      </c>
      <c r="I103" s="3" t="s">
        <v>274</v>
      </c>
      <c r="J103" s="3" t="s">
        <v>59</v>
      </c>
      <c r="K103" s="6">
        <v>2410.16</v>
      </c>
      <c r="L103" s="6">
        <v>1910</v>
      </c>
      <c r="M103" s="4">
        <v>1</v>
      </c>
      <c r="N103" s="4">
        <v>343.8</v>
      </c>
      <c r="O103" s="9"/>
      <c r="P103" s="9"/>
      <c r="Q103" s="9"/>
    </row>
    <row r="104" spans="1:17" x14ac:dyDescent="0.25">
      <c r="A104" s="8">
        <v>45742</v>
      </c>
      <c r="B104" s="3">
        <v>9677</v>
      </c>
      <c r="C104" s="3">
        <v>10775</v>
      </c>
      <c r="D104" s="3" t="s">
        <v>12</v>
      </c>
      <c r="E104" s="3">
        <v>227687</v>
      </c>
      <c r="F104" s="3" t="s">
        <v>272</v>
      </c>
      <c r="G104" s="3" t="s">
        <v>69</v>
      </c>
      <c r="H104" s="3" t="s">
        <v>275</v>
      </c>
      <c r="I104" s="3" t="s">
        <v>276</v>
      </c>
      <c r="J104" s="3" t="s">
        <v>59</v>
      </c>
      <c r="K104" s="5"/>
      <c r="L104" s="5"/>
      <c r="M104" s="5"/>
      <c r="N104" s="5"/>
      <c r="O104" s="9"/>
      <c r="P104" s="9"/>
      <c r="Q104" s="9"/>
    </row>
    <row r="105" spans="1:17" x14ac:dyDescent="0.25">
      <c r="A105" s="8">
        <v>45743</v>
      </c>
      <c r="B105" s="3">
        <v>9610</v>
      </c>
      <c r="C105" s="3">
        <v>10775</v>
      </c>
      <c r="D105" s="3" t="s">
        <v>12</v>
      </c>
      <c r="E105" s="3">
        <v>24040</v>
      </c>
      <c r="F105" s="3" t="s">
        <v>277</v>
      </c>
      <c r="G105" s="3" t="s">
        <v>69</v>
      </c>
      <c r="H105" s="3" t="s">
        <v>278</v>
      </c>
      <c r="I105" s="3" t="s">
        <v>279</v>
      </c>
      <c r="J105" s="3" t="s">
        <v>59</v>
      </c>
      <c r="K105" s="6">
        <v>2199.67</v>
      </c>
      <c r="L105" s="6">
        <v>2136</v>
      </c>
      <c r="M105" s="4">
        <v>1</v>
      </c>
      <c r="N105" s="4">
        <v>384.48</v>
      </c>
      <c r="O105" s="9"/>
      <c r="P105" s="9"/>
      <c r="Q105" s="9"/>
    </row>
    <row r="106" spans="1:17" x14ac:dyDescent="0.25">
      <c r="A106" s="8">
        <v>45743</v>
      </c>
      <c r="B106" s="3">
        <v>9610</v>
      </c>
      <c r="C106" s="3">
        <v>10775</v>
      </c>
      <c r="D106" s="3" t="s">
        <v>12</v>
      </c>
      <c r="E106" s="3">
        <v>24040</v>
      </c>
      <c r="F106" s="3" t="s">
        <v>277</v>
      </c>
      <c r="G106" s="3" t="s">
        <v>69</v>
      </c>
      <c r="H106" s="3" t="s">
        <v>280</v>
      </c>
      <c r="I106" s="3" t="s">
        <v>281</v>
      </c>
      <c r="J106" s="3" t="s">
        <v>59</v>
      </c>
      <c r="K106" s="5"/>
      <c r="L106" s="5"/>
      <c r="M106" s="5"/>
      <c r="N106" s="5"/>
      <c r="O106" s="9"/>
      <c r="P106" s="9"/>
      <c r="Q106" s="9"/>
    </row>
    <row r="107" spans="1:17" x14ac:dyDescent="0.25">
      <c r="A107" s="8">
        <v>45744</v>
      </c>
      <c r="B107" s="3">
        <v>9737</v>
      </c>
      <c r="C107" s="3">
        <v>10775</v>
      </c>
      <c r="D107" s="3" t="s">
        <v>12</v>
      </c>
      <c r="E107" s="3">
        <v>24257</v>
      </c>
      <c r="F107" s="3" t="s">
        <v>282</v>
      </c>
      <c r="G107" s="3" t="s">
        <v>69</v>
      </c>
      <c r="H107" s="3" t="s">
        <v>283</v>
      </c>
      <c r="I107" s="3" t="s">
        <v>106</v>
      </c>
      <c r="J107" s="3" t="s">
        <v>59</v>
      </c>
      <c r="K107" s="6">
        <v>3162.1</v>
      </c>
      <c r="L107" s="6">
        <v>-3250</v>
      </c>
      <c r="M107" s="4">
        <v>1</v>
      </c>
      <c r="N107" s="4">
        <v>200</v>
      </c>
      <c r="O107" s="9"/>
      <c r="P107" s="9"/>
      <c r="Q107" s="9"/>
    </row>
    <row r="108" spans="1:17" x14ac:dyDescent="0.25">
      <c r="A108" s="8">
        <v>45744</v>
      </c>
      <c r="B108" s="3">
        <v>9737</v>
      </c>
      <c r="C108" s="3">
        <v>10775</v>
      </c>
      <c r="D108" s="3" t="s">
        <v>12</v>
      </c>
      <c r="E108" s="3">
        <v>24257</v>
      </c>
      <c r="F108" s="3" t="s">
        <v>282</v>
      </c>
      <c r="G108" s="3" t="s">
        <v>69</v>
      </c>
      <c r="H108" s="3" t="s">
        <v>284</v>
      </c>
      <c r="I108" s="3" t="s">
        <v>285</v>
      </c>
      <c r="J108" s="3" t="s">
        <v>59</v>
      </c>
      <c r="K108" s="5"/>
      <c r="L108" s="5"/>
      <c r="M108" s="5"/>
      <c r="N108" s="5"/>
      <c r="O108" s="9"/>
      <c r="P108" s="9"/>
      <c r="Q108" s="9"/>
    </row>
    <row r="109" spans="1:17" x14ac:dyDescent="0.25">
      <c r="A109" s="8">
        <v>45746</v>
      </c>
      <c r="B109" s="3">
        <v>9460</v>
      </c>
      <c r="C109" s="3">
        <v>10775</v>
      </c>
      <c r="D109" s="3" t="s">
        <v>12</v>
      </c>
      <c r="E109" s="3">
        <v>11086</v>
      </c>
      <c r="F109" s="3" t="s">
        <v>286</v>
      </c>
      <c r="G109" s="3" t="s">
        <v>56</v>
      </c>
      <c r="H109" s="3" t="s">
        <v>287</v>
      </c>
      <c r="I109" s="3" t="s">
        <v>71</v>
      </c>
      <c r="J109" s="3" t="s">
        <v>59</v>
      </c>
      <c r="K109" s="4">
        <v>108</v>
      </c>
      <c r="L109" s="6">
        <v>-2309</v>
      </c>
      <c r="M109" s="4">
        <v>1</v>
      </c>
      <c r="N109" s="4">
        <v>200</v>
      </c>
      <c r="O109" s="9"/>
      <c r="P109" s="9"/>
      <c r="Q109" s="9"/>
    </row>
    <row r="110" spans="1:17" x14ac:dyDescent="0.25">
      <c r="A110" s="8">
        <v>45747</v>
      </c>
      <c r="B110" s="3">
        <v>9889</v>
      </c>
      <c r="C110" s="3">
        <v>10775</v>
      </c>
      <c r="D110" s="3" t="s">
        <v>12</v>
      </c>
      <c r="E110" s="3">
        <v>17445</v>
      </c>
      <c r="F110" s="3" t="s">
        <v>288</v>
      </c>
      <c r="G110" s="3" t="s">
        <v>289</v>
      </c>
      <c r="H110" s="3" t="s">
        <v>290</v>
      </c>
      <c r="I110" s="3" t="s">
        <v>291</v>
      </c>
      <c r="J110" s="3" t="s">
        <v>59</v>
      </c>
      <c r="K110" s="4">
        <v>170</v>
      </c>
      <c r="L110" s="4">
        <v>-48.61</v>
      </c>
      <c r="M110" s="4">
        <v>1</v>
      </c>
      <c r="N110" s="4">
        <v>200</v>
      </c>
      <c r="O110" s="9"/>
      <c r="P110" s="9"/>
      <c r="Q110" s="9"/>
    </row>
    <row r="111" spans="1:17" x14ac:dyDescent="0.25">
      <c r="A111" s="8">
        <v>45747</v>
      </c>
      <c r="B111" s="3">
        <v>9889</v>
      </c>
      <c r="C111" s="3">
        <v>10775</v>
      </c>
      <c r="D111" s="3" t="s">
        <v>12</v>
      </c>
      <c r="E111" s="3">
        <v>17445</v>
      </c>
      <c r="F111" s="3" t="s">
        <v>288</v>
      </c>
      <c r="G111" s="3" t="s">
        <v>289</v>
      </c>
      <c r="H111" s="3" t="s">
        <v>292</v>
      </c>
      <c r="I111" s="3" t="s">
        <v>293</v>
      </c>
      <c r="J111" s="3" t="s">
        <v>59</v>
      </c>
      <c r="K111" s="5"/>
      <c r="L111" s="5"/>
      <c r="M111" s="5"/>
      <c r="N111" s="5"/>
      <c r="O111" s="9"/>
      <c r="P111" s="9"/>
      <c r="Q111" s="9"/>
    </row>
    <row r="112" spans="1:17" x14ac:dyDescent="0.25">
      <c r="A112" s="8">
        <v>45747</v>
      </c>
      <c r="B112" s="3">
        <v>9940</v>
      </c>
      <c r="C112" s="3">
        <v>10775</v>
      </c>
      <c r="D112" s="3" t="s">
        <v>12</v>
      </c>
      <c r="E112" s="3">
        <v>24487</v>
      </c>
      <c r="F112" s="3" t="s">
        <v>294</v>
      </c>
      <c r="G112" s="3" t="s">
        <v>125</v>
      </c>
      <c r="H112" s="3" t="s">
        <v>295</v>
      </c>
      <c r="I112" s="3" t="s">
        <v>296</v>
      </c>
      <c r="J112" s="3" t="s">
        <v>86</v>
      </c>
      <c r="K112" s="6">
        <v>4321.04</v>
      </c>
      <c r="L112" s="6">
        <v>-2434.08</v>
      </c>
      <c r="M112" s="4">
        <v>1</v>
      </c>
      <c r="N112" s="4">
        <v>200</v>
      </c>
      <c r="O112" s="9"/>
      <c r="P112" s="9"/>
      <c r="Q112" s="9"/>
    </row>
    <row r="113" spans="1:17" x14ac:dyDescent="0.25">
      <c r="A113" s="8">
        <v>45727</v>
      </c>
      <c r="B113" s="3">
        <v>9390</v>
      </c>
      <c r="C113" s="3">
        <v>11580</v>
      </c>
      <c r="D113" s="3" t="s">
        <v>13</v>
      </c>
      <c r="E113" s="3">
        <v>23694</v>
      </c>
      <c r="F113" s="3" t="s">
        <v>297</v>
      </c>
      <c r="G113" s="3" t="s">
        <v>69</v>
      </c>
      <c r="H113" s="3" t="s">
        <v>298</v>
      </c>
      <c r="I113" s="3" t="s">
        <v>71</v>
      </c>
      <c r="J113" s="3" t="s">
        <v>59</v>
      </c>
      <c r="K113" s="4">
        <v>0</v>
      </c>
      <c r="L113" s="4">
        <v>615</v>
      </c>
      <c r="M113" s="4">
        <v>1</v>
      </c>
      <c r="N113" s="4">
        <v>200</v>
      </c>
      <c r="O113" s="9"/>
      <c r="P113" s="9"/>
      <c r="Q113" s="9"/>
    </row>
    <row r="114" spans="1:17" x14ac:dyDescent="0.25">
      <c r="A114" s="8">
        <v>45727</v>
      </c>
      <c r="B114" s="3">
        <v>9390</v>
      </c>
      <c r="C114" s="3">
        <v>11580</v>
      </c>
      <c r="D114" s="3" t="s">
        <v>13</v>
      </c>
      <c r="E114" s="3">
        <v>23694</v>
      </c>
      <c r="F114" s="3" t="s">
        <v>297</v>
      </c>
      <c r="G114" s="3" t="s">
        <v>69</v>
      </c>
      <c r="H114" s="3" t="s">
        <v>299</v>
      </c>
      <c r="I114" s="3" t="s">
        <v>300</v>
      </c>
      <c r="J114" s="3" t="s">
        <v>59</v>
      </c>
      <c r="K114" s="5"/>
      <c r="L114" s="5"/>
      <c r="M114" s="5"/>
      <c r="N114" s="5"/>
      <c r="O114" s="9"/>
      <c r="P114" s="9"/>
      <c r="Q114" s="9"/>
    </row>
    <row r="115" spans="1:17" x14ac:dyDescent="0.25">
      <c r="A115" s="8">
        <v>45728</v>
      </c>
      <c r="B115" s="3">
        <v>9501</v>
      </c>
      <c r="C115" s="3">
        <v>11580</v>
      </c>
      <c r="D115" s="3" t="s">
        <v>13</v>
      </c>
      <c r="E115" s="3">
        <v>279520</v>
      </c>
      <c r="F115" s="3" t="s">
        <v>301</v>
      </c>
      <c r="G115" s="3" t="s">
        <v>69</v>
      </c>
      <c r="H115" s="3" t="s">
        <v>302</v>
      </c>
      <c r="I115" s="3" t="s">
        <v>259</v>
      </c>
      <c r="J115" s="3" t="s">
        <v>59</v>
      </c>
      <c r="K115" s="4">
        <v>775.4</v>
      </c>
      <c r="L115" s="6">
        <v>3040</v>
      </c>
      <c r="M115" s="4">
        <v>1</v>
      </c>
      <c r="N115" s="4">
        <v>547.20000000000005</v>
      </c>
      <c r="O115" s="9"/>
      <c r="P115" s="9"/>
      <c r="Q115" s="9"/>
    </row>
    <row r="116" spans="1:17" x14ac:dyDescent="0.25">
      <c r="A116" s="8">
        <v>45730</v>
      </c>
      <c r="B116" s="3">
        <v>9021</v>
      </c>
      <c r="C116" s="3">
        <v>11580</v>
      </c>
      <c r="D116" s="3" t="s">
        <v>13</v>
      </c>
      <c r="E116" s="3">
        <v>23158</v>
      </c>
      <c r="F116" s="3" t="s">
        <v>303</v>
      </c>
      <c r="G116" s="3" t="s">
        <v>69</v>
      </c>
      <c r="H116" s="3" t="s">
        <v>304</v>
      </c>
      <c r="I116" s="3" t="s">
        <v>188</v>
      </c>
      <c r="J116" s="3" t="s">
        <v>59</v>
      </c>
      <c r="K116" s="6">
        <v>4487.62</v>
      </c>
      <c r="L116" s="6">
        <v>5565</v>
      </c>
      <c r="M116" s="4">
        <v>1</v>
      </c>
      <c r="N116" s="6">
        <v>1001.7</v>
      </c>
      <c r="O116" s="9"/>
      <c r="P116" s="9"/>
      <c r="Q116" s="9"/>
    </row>
    <row r="117" spans="1:17" x14ac:dyDescent="0.25">
      <c r="A117" s="8">
        <v>45730</v>
      </c>
      <c r="B117" s="3">
        <v>9521</v>
      </c>
      <c r="C117" s="3">
        <v>11580</v>
      </c>
      <c r="D117" s="3" t="s">
        <v>13</v>
      </c>
      <c r="E117" s="3">
        <v>256091</v>
      </c>
      <c r="F117" s="3" t="s">
        <v>305</v>
      </c>
      <c r="G117" s="3" t="s">
        <v>56</v>
      </c>
      <c r="H117" s="3" t="s">
        <v>306</v>
      </c>
      <c r="I117" s="3" t="s">
        <v>166</v>
      </c>
      <c r="J117" s="3" t="s">
        <v>59</v>
      </c>
      <c r="K117" s="4">
        <v>393</v>
      </c>
      <c r="L117" s="4">
        <v>-849</v>
      </c>
      <c r="M117" s="4">
        <v>0.5</v>
      </c>
      <c r="N117" s="4">
        <v>100</v>
      </c>
      <c r="O117" s="9"/>
      <c r="P117" s="9"/>
      <c r="Q117" s="9"/>
    </row>
    <row r="118" spans="1:17" x14ac:dyDescent="0.25">
      <c r="A118" s="8">
        <v>45730</v>
      </c>
      <c r="B118" s="3">
        <v>9521</v>
      </c>
      <c r="C118" s="3">
        <v>11580</v>
      </c>
      <c r="D118" s="3" t="s">
        <v>13</v>
      </c>
      <c r="E118" s="3">
        <v>256091</v>
      </c>
      <c r="F118" s="3" t="s">
        <v>305</v>
      </c>
      <c r="G118" s="3" t="s">
        <v>56</v>
      </c>
      <c r="H118" s="3" t="s">
        <v>307</v>
      </c>
      <c r="I118" s="3" t="s">
        <v>276</v>
      </c>
      <c r="J118" s="3" t="s">
        <v>59</v>
      </c>
      <c r="K118" s="5"/>
      <c r="L118" s="5"/>
      <c r="M118" s="5"/>
      <c r="N118" s="5"/>
      <c r="O118" s="9"/>
      <c r="P118" s="9"/>
      <c r="Q118" s="9"/>
    </row>
    <row r="119" spans="1:17" x14ac:dyDescent="0.25">
      <c r="A119" s="8">
        <v>45741</v>
      </c>
      <c r="B119" s="3">
        <v>9597</v>
      </c>
      <c r="C119" s="3">
        <v>11580</v>
      </c>
      <c r="D119" s="3" t="s">
        <v>13</v>
      </c>
      <c r="E119" s="3">
        <v>266642</v>
      </c>
      <c r="F119" s="3" t="s">
        <v>308</v>
      </c>
      <c r="G119" s="3" t="s">
        <v>56</v>
      </c>
      <c r="H119" s="3" t="s">
        <v>309</v>
      </c>
      <c r="I119" s="3" t="s">
        <v>210</v>
      </c>
      <c r="J119" s="3" t="s">
        <v>59</v>
      </c>
      <c r="K119" s="4">
        <v>0</v>
      </c>
      <c r="L119" s="4">
        <v>0</v>
      </c>
      <c r="M119" s="4">
        <v>0</v>
      </c>
      <c r="N119" s="4">
        <v>0</v>
      </c>
      <c r="O119" s="9"/>
      <c r="P119" s="9"/>
      <c r="Q119" s="9"/>
    </row>
    <row r="120" spans="1:17" x14ac:dyDescent="0.25">
      <c r="A120" s="8">
        <v>45741</v>
      </c>
      <c r="B120" s="3">
        <v>9597</v>
      </c>
      <c r="C120" s="3">
        <v>11580</v>
      </c>
      <c r="D120" s="3" t="s">
        <v>13</v>
      </c>
      <c r="E120" s="3">
        <v>266642</v>
      </c>
      <c r="F120" s="3" t="s">
        <v>308</v>
      </c>
      <c r="G120" s="3" t="s">
        <v>56</v>
      </c>
      <c r="H120" s="3" t="s">
        <v>310</v>
      </c>
      <c r="I120" s="3" t="s">
        <v>311</v>
      </c>
      <c r="J120" s="3" t="s">
        <v>59</v>
      </c>
      <c r="K120" s="5"/>
      <c r="L120" s="5"/>
      <c r="M120" s="5"/>
      <c r="N120" s="5"/>
      <c r="O120" s="9"/>
      <c r="P120" s="9"/>
      <c r="Q120" s="9"/>
    </row>
    <row r="121" spans="1:17" x14ac:dyDescent="0.25">
      <c r="A121" s="8">
        <v>45741</v>
      </c>
      <c r="B121" s="3" t="s">
        <v>312</v>
      </c>
      <c r="C121" s="3">
        <v>11580</v>
      </c>
      <c r="D121" s="3" t="s">
        <v>13</v>
      </c>
      <c r="E121" s="3">
        <v>266642</v>
      </c>
      <c r="F121" s="3" t="s">
        <v>308</v>
      </c>
      <c r="G121" s="3" t="s">
        <v>56</v>
      </c>
      <c r="H121" s="3" t="s">
        <v>309</v>
      </c>
      <c r="I121" s="3" t="s">
        <v>210</v>
      </c>
      <c r="J121" s="3" t="s">
        <v>59</v>
      </c>
      <c r="K121" s="6">
        <v>1785.9</v>
      </c>
      <c r="L121" s="6">
        <v>1470</v>
      </c>
      <c r="M121" s="4">
        <v>0.5</v>
      </c>
      <c r="N121" s="4">
        <v>264.60000000000002</v>
      </c>
      <c r="O121" s="9"/>
      <c r="P121" s="9"/>
      <c r="Q121" s="9"/>
    </row>
    <row r="122" spans="1:17" x14ac:dyDescent="0.25">
      <c r="A122" s="8">
        <v>45741</v>
      </c>
      <c r="B122" s="3" t="s">
        <v>312</v>
      </c>
      <c r="C122" s="3">
        <v>11580</v>
      </c>
      <c r="D122" s="3" t="s">
        <v>13</v>
      </c>
      <c r="E122" s="3">
        <v>266642</v>
      </c>
      <c r="F122" s="3" t="s">
        <v>308</v>
      </c>
      <c r="G122" s="3" t="s">
        <v>56</v>
      </c>
      <c r="H122" s="3" t="s">
        <v>310</v>
      </c>
      <c r="I122" s="3" t="s">
        <v>311</v>
      </c>
      <c r="J122" s="3" t="s">
        <v>59</v>
      </c>
      <c r="K122" s="5"/>
      <c r="L122" s="5"/>
      <c r="M122" s="5"/>
      <c r="N122" s="5"/>
      <c r="O122" s="9"/>
      <c r="P122" s="9"/>
      <c r="Q122" s="9"/>
    </row>
    <row r="123" spans="1:17" x14ac:dyDescent="0.25">
      <c r="A123" s="8">
        <v>45743</v>
      </c>
      <c r="B123" s="3">
        <v>9715</v>
      </c>
      <c r="C123" s="3">
        <v>11580</v>
      </c>
      <c r="D123" s="3" t="s">
        <v>13</v>
      </c>
      <c r="E123" s="3">
        <v>24239</v>
      </c>
      <c r="F123" s="3" t="s">
        <v>313</v>
      </c>
      <c r="G123" s="3" t="s">
        <v>83</v>
      </c>
      <c r="H123" s="3" t="s">
        <v>314</v>
      </c>
      <c r="I123" s="3" t="s">
        <v>85</v>
      </c>
      <c r="J123" s="3" t="s">
        <v>86</v>
      </c>
      <c r="K123" s="6">
        <v>4032.11</v>
      </c>
      <c r="L123" s="4">
        <v>345.3</v>
      </c>
      <c r="M123" s="4">
        <v>1</v>
      </c>
      <c r="N123" s="4">
        <v>200</v>
      </c>
      <c r="O123" s="9"/>
      <c r="P123" s="9"/>
      <c r="Q123" s="9"/>
    </row>
    <row r="124" spans="1:17" x14ac:dyDescent="0.25">
      <c r="A124" s="8">
        <v>45744</v>
      </c>
      <c r="B124" s="3">
        <v>9691</v>
      </c>
      <c r="C124" s="3">
        <v>11580</v>
      </c>
      <c r="D124" s="3" t="s">
        <v>13</v>
      </c>
      <c r="E124" s="3">
        <v>17503</v>
      </c>
      <c r="F124" s="3" t="s">
        <v>315</v>
      </c>
      <c r="G124" s="3" t="s">
        <v>83</v>
      </c>
      <c r="H124" s="3" t="s">
        <v>316</v>
      </c>
      <c r="I124" s="3" t="s">
        <v>317</v>
      </c>
      <c r="J124" s="3" t="s">
        <v>86</v>
      </c>
      <c r="K124" s="6">
        <v>1600</v>
      </c>
      <c r="L124" s="4">
        <v>300</v>
      </c>
      <c r="M124" s="4">
        <v>1</v>
      </c>
      <c r="N124" s="4">
        <v>200</v>
      </c>
      <c r="O124" s="9"/>
      <c r="P124" s="9"/>
      <c r="Q124" s="9"/>
    </row>
    <row r="125" spans="1:17" x14ac:dyDescent="0.25">
      <c r="A125" s="8">
        <v>45747</v>
      </c>
      <c r="B125" s="3">
        <v>9750</v>
      </c>
      <c r="C125" s="3">
        <v>11580</v>
      </c>
      <c r="D125" s="3" t="s">
        <v>13</v>
      </c>
      <c r="E125" s="3">
        <v>17739</v>
      </c>
      <c r="F125" s="3" t="s">
        <v>318</v>
      </c>
      <c r="G125" s="3" t="s">
        <v>69</v>
      </c>
      <c r="H125" s="3" t="s">
        <v>319</v>
      </c>
      <c r="I125" s="3" t="s">
        <v>106</v>
      </c>
      <c r="J125" s="3" t="s">
        <v>59</v>
      </c>
      <c r="K125" s="4">
        <v>599.5</v>
      </c>
      <c r="L125" s="6">
        <v>-3041.15</v>
      </c>
      <c r="M125" s="4">
        <v>0.5</v>
      </c>
      <c r="N125" s="4">
        <v>100</v>
      </c>
      <c r="O125" s="9"/>
      <c r="P125" s="9"/>
      <c r="Q125" s="9"/>
    </row>
    <row r="126" spans="1:17" x14ac:dyDescent="0.25">
      <c r="A126" s="8">
        <v>45747</v>
      </c>
      <c r="B126" s="3">
        <v>9750</v>
      </c>
      <c r="C126" s="3">
        <v>11580</v>
      </c>
      <c r="D126" s="3" t="s">
        <v>13</v>
      </c>
      <c r="E126" s="3">
        <v>17739</v>
      </c>
      <c r="F126" s="3" t="s">
        <v>318</v>
      </c>
      <c r="G126" s="3" t="s">
        <v>69</v>
      </c>
      <c r="H126" s="3" t="s">
        <v>320</v>
      </c>
      <c r="I126" s="3" t="s">
        <v>321</v>
      </c>
      <c r="J126" s="3" t="s">
        <v>59</v>
      </c>
      <c r="K126" s="5"/>
      <c r="L126" s="5"/>
      <c r="M126" s="5"/>
      <c r="N126" s="5"/>
      <c r="O126" s="9"/>
      <c r="P126" s="9"/>
      <c r="Q126" s="9"/>
    </row>
    <row r="127" spans="1:17" x14ac:dyDescent="0.25">
      <c r="A127" s="8">
        <v>45747</v>
      </c>
      <c r="B127" s="3">
        <v>9742</v>
      </c>
      <c r="C127" s="3">
        <v>11580</v>
      </c>
      <c r="D127" s="3" t="s">
        <v>13</v>
      </c>
      <c r="E127" s="3">
        <v>279748</v>
      </c>
      <c r="F127" s="3" t="s">
        <v>322</v>
      </c>
      <c r="G127" s="3" t="s">
        <v>69</v>
      </c>
      <c r="H127" s="3" t="s">
        <v>323</v>
      </c>
      <c r="I127" s="3" t="s">
        <v>89</v>
      </c>
      <c r="J127" s="3" t="s">
        <v>59</v>
      </c>
      <c r="K127" s="6">
        <v>3133.46</v>
      </c>
      <c r="L127" s="4">
        <v>908.99</v>
      </c>
      <c r="M127" s="4">
        <v>0.5</v>
      </c>
      <c r="N127" s="4">
        <v>163.62</v>
      </c>
      <c r="O127" s="9"/>
      <c r="P127" s="9"/>
      <c r="Q127" s="9"/>
    </row>
    <row r="128" spans="1:17" x14ac:dyDescent="0.25">
      <c r="A128" s="8">
        <v>45747</v>
      </c>
      <c r="B128" s="3">
        <v>9742</v>
      </c>
      <c r="C128" s="3">
        <v>11580</v>
      </c>
      <c r="D128" s="3" t="s">
        <v>13</v>
      </c>
      <c r="E128" s="3">
        <v>279748</v>
      </c>
      <c r="F128" s="3" t="s">
        <v>322</v>
      </c>
      <c r="G128" s="3" t="s">
        <v>69</v>
      </c>
      <c r="H128" s="3" t="s">
        <v>324</v>
      </c>
      <c r="I128" s="3" t="s">
        <v>218</v>
      </c>
      <c r="J128" s="3" t="s">
        <v>59</v>
      </c>
      <c r="K128" s="5"/>
      <c r="L128" s="5"/>
      <c r="M128" s="5"/>
      <c r="N128" s="5"/>
      <c r="O128" s="9"/>
      <c r="P128" s="9"/>
      <c r="Q128" s="9"/>
    </row>
    <row r="129" spans="1:17" x14ac:dyDescent="0.25">
      <c r="A129" s="8">
        <v>45747</v>
      </c>
      <c r="B129" s="3">
        <v>7210</v>
      </c>
      <c r="C129" s="3">
        <v>11580</v>
      </c>
      <c r="D129" s="3" t="s">
        <v>13</v>
      </c>
      <c r="E129" s="3">
        <v>20671</v>
      </c>
      <c r="F129" s="3" t="s">
        <v>325</v>
      </c>
      <c r="G129" s="3" t="s">
        <v>69</v>
      </c>
      <c r="H129" s="3" t="s">
        <v>326</v>
      </c>
      <c r="I129" s="3" t="s">
        <v>327</v>
      </c>
      <c r="J129" s="3" t="s">
        <v>59</v>
      </c>
      <c r="K129" s="6">
        <v>1000</v>
      </c>
      <c r="L129" s="6">
        <v>3826</v>
      </c>
      <c r="M129" s="4">
        <v>1</v>
      </c>
      <c r="N129" s="4">
        <v>688.68</v>
      </c>
      <c r="O129" s="9"/>
      <c r="P129" s="9"/>
      <c r="Q129" s="9"/>
    </row>
    <row r="130" spans="1:17" x14ac:dyDescent="0.25">
      <c r="A130" s="8">
        <v>45747</v>
      </c>
      <c r="B130" s="3">
        <v>9913</v>
      </c>
      <c r="C130" s="3">
        <v>11580</v>
      </c>
      <c r="D130" s="3" t="s">
        <v>13</v>
      </c>
      <c r="E130" s="3">
        <v>266260</v>
      </c>
      <c r="F130" s="3" t="s">
        <v>328</v>
      </c>
      <c r="G130" s="3" t="s">
        <v>69</v>
      </c>
      <c r="H130" s="3" t="s">
        <v>329</v>
      </c>
      <c r="I130" s="3" t="s">
        <v>188</v>
      </c>
      <c r="J130" s="3" t="s">
        <v>59</v>
      </c>
      <c r="K130" s="6">
        <v>8617.2000000000007</v>
      </c>
      <c r="L130" s="6">
        <v>2400</v>
      </c>
      <c r="M130" s="4">
        <v>1</v>
      </c>
      <c r="N130" s="4">
        <v>432</v>
      </c>
      <c r="O130" s="9"/>
      <c r="P130" s="9"/>
      <c r="Q130" s="9"/>
    </row>
    <row r="131" spans="1:17" x14ac:dyDescent="0.25">
      <c r="A131" s="8">
        <v>45747</v>
      </c>
      <c r="B131" s="3">
        <v>9748</v>
      </c>
      <c r="C131" s="3">
        <v>11580</v>
      </c>
      <c r="D131" s="3" t="s">
        <v>13</v>
      </c>
      <c r="E131" s="3">
        <v>24273</v>
      </c>
      <c r="F131" s="3" t="s">
        <v>330</v>
      </c>
      <c r="G131" s="3" t="s">
        <v>56</v>
      </c>
      <c r="H131" s="3" t="s">
        <v>331</v>
      </c>
      <c r="I131" s="3" t="s">
        <v>188</v>
      </c>
      <c r="J131" s="3" t="s">
        <v>59</v>
      </c>
      <c r="K131" s="6">
        <v>3062.54</v>
      </c>
      <c r="L131" s="6">
        <v>-1820.49</v>
      </c>
      <c r="M131" s="4">
        <v>0.5</v>
      </c>
      <c r="N131" s="4">
        <v>100</v>
      </c>
      <c r="O131" s="9"/>
      <c r="P131" s="9"/>
      <c r="Q131" s="9"/>
    </row>
    <row r="132" spans="1:17" x14ac:dyDescent="0.25">
      <c r="A132" s="8">
        <v>45747</v>
      </c>
      <c r="B132" s="3">
        <v>9748</v>
      </c>
      <c r="C132" s="3">
        <v>11580</v>
      </c>
      <c r="D132" s="3" t="s">
        <v>13</v>
      </c>
      <c r="E132" s="3">
        <v>24273</v>
      </c>
      <c r="F132" s="3" t="s">
        <v>330</v>
      </c>
      <c r="G132" s="3" t="s">
        <v>56</v>
      </c>
      <c r="H132" s="3" t="s">
        <v>332</v>
      </c>
      <c r="I132" s="3" t="s">
        <v>333</v>
      </c>
      <c r="J132" s="3" t="s">
        <v>59</v>
      </c>
      <c r="K132" s="5"/>
      <c r="L132" s="5"/>
      <c r="M132" s="5"/>
      <c r="N132" s="5"/>
      <c r="O132" s="9"/>
      <c r="P132" s="9"/>
      <c r="Q132" s="9"/>
    </row>
    <row r="133" spans="1:17" x14ac:dyDescent="0.25">
      <c r="A133" s="8">
        <v>45747</v>
      </c>
      <c r="B133" s="3">
        <v>9978</v>
      </c>
      <c r="C133" s="3">
        <v>11580</v>
      </c>
      <c r="D133" s="3" t="s">
        <v>13</v>
      </c>
      <c r="E133" s="3">
        <v>273121</v>
      </c>
      <c r="F133" s="3" t="s">
        <v>334</v>
      </c>
      <c r="G133" s="3" t="s">
        <v>56</v>
      </c>
      <c r="H133" s="3" t="s">
        <v>335</v>
      </c>
      <c r="I133" s="3" t="s">
        <v>71</v>
      </c>
      <c r="J133" s="3" t="s">
        <v>59</v>
      </c>
      <c r="K133" s="6">
        <v>1332</v>
      </c>
      <c r="L133" s="6">
        <v>1950</v>
      </c>
      <c r="M133" s="4">
        <v>1</v>
      </c>
      <c r="N133" s="4">
        <v>351</v>
      </c>
      <c r="O133" s="9"/>
      <c r="P133" s="9"/>
      <c r="Q133" s="9"/>
    </row>
    <row r="134" spans="1:17" x14ac:dyDescent="0.25">
      <c r="A134" s="8">
        <v>45747</v>
      </c>
      <c r="B134" s="3">
        <v>9835</v>
      </c>
      <c r="C134" s="3">
        <v>11580</v>
      </c>
      <c r="D134" s="3" t="s">
        <v>13</v>
      </c>
      <c r="E134" s="3">
        <v>266977</v>
      </c>
      <c r="F134" s="3" t="s">
        <v>336</v>
      </c>
      <c r="G134" s="3" t="s">
        <v>108</v>
      </c>
      <c r="H134" s="3" t="s">
        <v>337</v>
      </c>
      <c r="I134" s="3" t="s">
        <v>338</v>
      </c>
      <c r="J134" s="3" t="s">
        <v>86</v>
      </c>
      <c r="K134" s="6">
        <v>4826.74</v>
      </c>
      <c r="L134" s="6">
        <v>2292.0500000000002</v>
      </c>
      <c r="M134" s="4">
        <v>1</v>
      </c>
      <c r="N134" s="4">
        <v>412.57</v>
      </c>
      <c r="O134" s="9"/>
      <c r="P134" s="9"/>
      <c r="Q134" s="9"/>
    </row>
    <row r="135" spans="1:17" x14ac:dyDescent="0.25">
      <c r="A135" s="8">
        <v>45721</v>
      </c>
      <c r="B135" s="3">
        <v>9345</v>
      </c>
      <c r="C135" s="3">
        <v>11809</v>
      </c>
      <c r="D135" s="3" t="s">
        <v>14</v>
      </c>
      <c r="E135" s="3">
        <v>23590</v>
      </c>
      <c r="F135" s="3" t="s">
        <v>339</v>
      </c>
      <c r="G135" s="3" t="s">
        <v>69</v>
      </c>
      <c r="H135" s="3" t="s">
        <v>340</v>
      </c>
      <c r="I135" s="3" t="s">
        <v>79</v>
      </c>
      <c r="J135" s="3" t="s">
        <v>59</v>
      </c>
      <c r="K135" s="6">
        <v>10900.4</v>
      </c>
      <c r="L135" s="4">
        <v>-312</v>
      </c>
      <c r="M135" s="4">
        <v>1</v>
      </c>
      <c r="N135" s="4">
        <v>200</v>
      </c>
      <c r="O135" s="9"/>
      <c r="P135" s="9"/>
      <c r="Q135" s="9"/>
    </row>
    <row r="136" spans="1:17" x14ac:dyDescent="0.25">
      <c r="A136" s="8">
        <v>45728</v>
      </c>
      <c r="B136" s="3">
        <v>9217</v>
      </c>
      <c r="C136" s="3">
        <v>11809</v>
      </c>
      <c r="D136" s="3" t="s">
        <v>14</v>
      </c>
      <c r="E136" s="3">
        <v>23449</v>
      </c>
      <c r="F136" s="3" t="s">
        <v>341</v>
      </c>
      <c r="G136" s="3" t="s">
        <v>56</v>
      </c>
      <c r="H136" s="3" t="s">
        <v>342</v>
      </c>
      <c r="I136" s="3" t="s">
        <v>279</v>
      </c>
      <c r="J136" s="3" t="s">
        <v>59</v>
      </c>
      <c r="K136" s="6">
        <v>1595.89</v>
      </c>
      <c r="L136" s="6">
        <v>5152.75</v>
      </c>
      <c r="M136" s="4">
        <v>0.5</v>
      </c>
      <c r="N136" s="4">
        <v>927.5</v>
      </c>
      <c r="O136" s="9"/>
      <c r="P136" s="9"/>
      <c r="Q136" s="9"/>
    </row>
    <row r="137" spans="1:17" x14ac:dyDescent="0.25">
      <c r="A137" s="8">
        <v>45730</v>
      </c>
      <c r="B137" s="3">
        <v>9444</v>
      </c>
      <c r="C137" s="3">
        <v>11809</v>
      </c>
      <c r="D137" s="3" t="s">
        <v>14</v>
      </c>
      <c r="E137" s="3">
        <v>21981</v>
      </c>
      <c r="F137" s="3" t="s">
        <v>343</v>
      </c>
      <c r="G137" s="3" t="s">
        <v>69</v>
      </c>
      <c r="H137" s="3" t="s">
        <v>344</v>
      </c>
      <c r="I137" s="3" t="s">
        <v>345</v>
      </c>
      <c r="J137" s="3" t="s">
        <v>59</v>
      </c>
      <c r="K137" s="4">
        <v>0</v>
      </c>
      <c r="L137" s="6">
        <v>6356.62</v>
      </c>
      <c r="M137" s="4">
        <v>0.5</v>
      </c>
      <c r="N137" s="6">
        <v>1144.19</v>
      </c>
      <c r="O137" s="9"/>
      <c r="P137" s="9"/>
      <c r="Q137" s="9"/>
    </row>
    <row r="138" spans="1:17" x14ac:dyDescent="0.25">
      <c r="A138" s="8">
        <v>45730</v>
      </c>
      <c r="B138" s="3">
        <v>9444</v>
      </c>
      <c r="C138" s="3">
        <v>11809</v>
      </c>
      <c r="D138" s="3" t="s">
        <v>14</v>
      </c>
      <c r="E138" s="3">
        <v>21981</v>
      </c>
      <c r="F138" s="3" t="s">
        <v>343</v>
      </c>
      <c r="G138" s="3" t="s">
        <v>69</v>
      </c>
      <c r="H138" s="3" t="s">
        <v>346</v>
      </c>
      <c r="I138" s="3" t="s">
        <v>347</v>
      </c>
      <c r="J138" s="3" t="s">
        <v>59</v>
      </c>
      <c r="K138" s="5"/>
      <c r="L138" s="5"/>
      <c r="M138" s="5"/>
      <c r="N138" s="5"/>
      <c r="O138" s="9"/>
      <c r="P138" s="9"/>
      <c r="Q138" s="9"/>
    </row>
    <row r="139" spans="1:17" x14ac:dyDescent="0.25">
      <c r="A139" s="8">
        <v>45733</v>
      </c>
      <c r="B139" s="3">
        <v>9525</v>
      </c>
      <c r="C139" s="3">
        <v>11809</v>
      </c>
      <c r="D139" s="3" t="s">
        <v>14</v>
      </c>
      <c r="E139" s="3">
        <v>23943</v>
      </c>
      <c r="F139" s="3" t="s">
        <v>348</v>
      </c>
      <c r="G139" s="3" t="s">
        <v>108</v>
      </c>
      <c r="H139" s="3" t="s">
        <v>349</v>
      </c>
      <c r="I139" s="3" t="s">
        <v>350</v>
      </c>
      <c r="J139" s="3" t="s">
        <v>86</v>
      </c>
      <c r="K139" s="4">
        <v>0</v>
      </c>
      <c r="L139" s="4">
        <v>0</v>
      </c>
      <c r="M139" s="4">
        <v>0</v>
      </c>
      <c r="N139" s="4">
        <v>0</v>
      </c>
      <c r="O139" s="9"/>
      <c r="P139" s="9"/>
      <c r="Q139" s="9"/>
    </row>
    <row r="140" spans="1:17" x14ac:dyDescent="0.25">
      <c r="A140" s="8">
        <v>45733</v>
      </c>
      <c r="B140" s="3" t="s">
        <v>351</v>
      </c>
      <c r="C140" s="3">
        <v>11809</v>
      </c>
      <c r="D140" s="3" t="s">
        <v>14</v>
      </c>
      <c r="E140" s="3">
        <v>23943</v>
      </c>
      <c r="F140" s="3" t="s">
        <v>348</v>
      </c>
      <c r="G140" s="3" t="s">
        <v>108</v>
      </c>
      <c r="H140" s="3" t="s">
        <v>349</v>
      </c>
      <c r="I140" s="3" t="s">
        <v>350</v>
      </c>
      <c r="J140" s="3" t="s">
        <v>86</v>
      </c>
      <c r="K140" s="4">
        <v>165</v>
      </c>
      <c r="L140" s="6">
        <v>-4903.1000000000004</v>
      </c>
      <c r="M140" s="4">
        <v>1</v>
      </c>
      <c r="N140" s="4">
        <v>200</v>
      </c>
      <c r="O140" s="9"/>
      <c r="P140" s="9"/>
      <c r="Q140" s="9"/>
    </row>
    <row r="141" spans="1:17" x14ac:dyDescent="0.25">
      <c r="A141" s="8">
        <v>45734</v>
      </c>
      <c r="B141" s="3">
        <v>9576</v>
      </c>
      <c r="C141" s="3">
        <v>11809</v>
      </c>
      <c r="D141" s="3" t="s">
        <v>14</v>
      </c>
      <c r="E141" s="3">
        <v>265393</v>
      </c>
      <c r="F141" s="3" t="s">
        <v>352</v>
      </c>
      <c r="G141" s="3" t="s">
        <v>56</v>
      </c>
      <c r="H141" s="3" t="s">
        <v>353</v>
      </c>
      <c r="I141" s="3" t="s">
        <v>166</v>
      </c>
      <c r="J141" s="3" t="s">
        <v>59</v>
      </c>
      <c r="K141" s="4">
        <v>308</v>
      </c>
      <c r="L141" s="6">
        <v>-6721.49</v>
      </c>
      <c r="M141" s="4">
        <v>1</v>
      </c>
      <c r="N141" s="4">
        <v>200</v>
      </c>
      <c r="O141" s="9"/>
      <c r="P141" s="9"/>
      <c r="Q141" s="9"/>
    </row>
    <row r="142" spans="1:17" x14ac:dyDescent="0.25">
      <c r="A142" s="8">
        <v>45734</v>
      </c>
      <c r="B142" s="3">
        <v>9576</v>
      </c>
      <c r="C142" s="3">
        <v>11809</v>
      </c>
      <c r="D142" s="3" t="s">
        <v>14</v>
      </c>
      <c r="E142" s="3">
        <v>265393</v>
      </c>
      <c r="F142" s="3" t="s">
        <v>352</v>
      </c>
      <c r="G142" s="3" t="s">
        <v>56</v>
      </c>
      <c r="H142" s="3" t="s">
        <v>354</v>
      </c>
      <c r="I142" s="3" t="s">
        <v>355</v>
      </c>
      <c r="J142" s="3" t="s">
        <v>59</v>
      </c>
      <c r="K142" s="5"/>
      <c r="L142" s="5"/>
      <c r="M142" s="5"/>
      <c r="N142" s="5"/>
      <c r="O142" s="9"/>
      <c r="P142" s="9"/>
      <c r="Q142" s="9"/>
    </row>
    <row r="143" spans="1:17" x14ac:dyDescent="0.25">
      <c r="A143" s="8">
        <v>45735</v>
      </c>
      <c r="B143" s="3">
        <v>9034</v>
      </c>
      <c r="C143" s="3">
        <v>11809</v>
      </c>
      <c r="D143" s="3" t="s">
        <v>14</v>
      </c>
      <c r="E143" s="3">
        <v>23171</v>
      </c>
      <c r="F143" s="3" t="s">
        <v>262</v>
      </c>
      <c r="G143" s="3" t="s">
        <v>56</v>
      </c>
      <c r="H143" s="3" t="s">
        <v>263</v>
      </c>
      <c r="I143" s="3" t="s">
        <v>264</v>
      </c>
      <c r="J143" s="3" t="s">
        <v>59</v>
      </c>
      <c r="K143" s="6">
        <v>2994.43</v>
      </c>
      <c r="L143" s="6">
        <v>3371.01</v>
      </c>
      <c r="M143" s="4">
        <v>0.5</v>
      </c>
      <c r="N143" s="4">
        <v>606.78</v>
      </c>
      <c r="O143" s="9"/>
      <c r="P143" s="9"/>
      <c r="Q143" s="9"/>
    </row>
    <row r="144" spans="1:17" x14ac:dyDescent="0.25">
      <c r="A144" s="8">
        <v>45736</v>
      </c>
      <c r="B144" s="3">
        <v>9443</v>
      </c>
      <c r="C144" s="3">
        <v>11809</v>
      </c>
      <c r="D144" s="3" t="s">
        <v>14</v>
      </c>
      <c r="E144" s="3">
        <v>23784</v>
      </c>
      <c r="F144" s="3" t="s">
        <v>356</v>
      </c>
      <c r="G144" s="3" t="s">
        <v>56</v>
      </c>
      <c r="H144" s="3" t="s">
        <v>357</v>
      </c>
      <c r="I144" s="3" t="s">
        <v>248</v>
      </c>
      <c r="J144" s="3" t="s">
        <v>59</v>
      </c>
      <c r="K144" s="6">
        <v>1117.25</v>
      </c>
      <c r="L144" s="6">
        <v>-1132.71</v>
      </c>
      <c r="M144" s="4">
        <v>1</v>
      </c>
      <c r="N144" s="4">
        <v>200</v>
      </c>
      <c r="O144" s="9"/>
      <c r="P144" s="9"/>
      <c r="Q144" s="9"/>
    </row>
    <row r="145" spans="1:17" x14ac:dyDescent="0.25">
      <c r="A145" s="8">
        <v>45741</v>
      </c>
      <c r="B145" s="3">
        <v>9488</v>
      </c>
      <c r="C145" s="3">
        <v>11809</v>
      </c>
      <c r="D145" s="3" t="s">
        <v>14</v>
      </c>
      <c r="E145" s="3">
        <v>23834</v>
      </c>
      <c r="F145" s="3" t="s">
        <v>358</v>
      </c>
      <c r="G145" s="3" t="s">
        <v>56</v>
      </c>
      <c r="H145" s="3" t="s">
        <v>359</v>
      </c>
      <c r="I145" s="3" t="s">
        <v>188</v>
      </c>
      <c r="J145" s="3" t="s">
        <v>59</v>
      </c>
      <c r="K145" s="6">
        <v>1000</v>
      </c>
      <c r="L145" s="6">
        <v>1940</v>
      </c>
      <c r="M145" s="4">
        <v>1</v>
      </c>
      <c r="N145" s="4">
        <v>349.2</v>
      </c>
      <c r="O145" s="9"/>
      <c r="P145" s="9"/>
      <c r="Q145" s="9"/>
    </row>
    <row r="146" spans="1:17" x14ac:dyDescent="0.25">
      <c r="A146" s="8">
        <v>45742</v>
      </c>
      <c r="B146" s="3">
        <v>9653</v>
      </c>
      <c r="C146" s="3">
        <v>11809</v>
      </c>
      <c r="D146" s="3" t="s">
        <v>14</v>
      </c>
      <c r="E146" s="3">
        <v>24126</v>
      </c>
      <c r="F146" s="3" t="s">
        <v>360</v>
      </c>
      <c r="G146" s="3" t="s">
        <v>56</v>
      </c>
      <c r="H146" s="3" t="s">
        <v>361</v>
      </c>
      <c r="I146" s="3" t="s">
        <v>210</v>
      </c>
      <c r="J146" s="3" t="s">
        <v>59</v>
      </c>
      <c r="K146" s="4">
        <v>425.5</v>
      </c>
      <c r="L146" s="6">
        <v>-2086</v>
      </c>
      <c r="M146" s="4">
        <v>0.5</v>
      </c>
      <c r="N146" s="4">
        <v>100</v>
      </c>
      <c r="O146" s="9"/>
      <c r="P146" s="9"/>
      <c r="Q146" s="9"/>
    </row>
    <row r="147" spans="1:17" x14ac:dyDescent="0.25">
      <c r="A147" s="8">
        <v>45742</v>
      </c>
      <c r="B147" s="3">
        <v>9653</v>
      </c>
      <c r="C147" s="3">
        <v>11809</v>
      </c>
      <c r="D147" s="3" t="s">
        <v>14</v>
      </c>
      <c r="E147" s="3">
        <v>24126</v>
      </c>
      <c r="F147" s="3" t="s">
        <v>360</v>
      </c>
      <c r="G147" s="3" t="s">
        <v>56</v>
      </c>
      <c r="H147" s="3" t="s">
        <v>362</v>
      </c>
      <c r="I147" s="3" t="s">
        <v>347</v>
      </c>
      <c r="J147" s="3" t="s">
        <v>59</v>
      </c>
      <c r="K147" s="5"/>
      <c r="L147" s="5"/>
      <c r="M147" s="5"/>
      <c r="N147" s="5"/>
      <c r="O147" s="9"/>
      <c r="P147" s="9"/>
      <c r="Q147" s="9"/>
    </row>
    <row r="148" spans="1:17" x14ac:dyDescent="0.25">
      <c r="A148" s="8">
        <v>45743</v>
      </c>
      <c r="B148" s="3">
        <v>9689</v>
      </c>
      <c r="C148" s="3">
        <v>11809</v>
      </c>
      <c r="D148" s="3" t="s">
        <v>14</v>
      </c>
      <c r="E148" s="3">
        <v>24198</v>
      </c>
      <c r="F148" s="3" t="s">
        <v>363</v>
      </c>
      <c r="G148" s="3" t="s">
        <v>69</v>
      </c>
      <c r="H148" s="3" t="s">
        <v>364</v>
      </c>
      <c r="I148" s="3" t="s">
        <v>188</v>
      </c>
      <c r="J148" s="3" t="s">
        <v>59</v>
      </c>
      <c r="K148" s="4">
        <v>672.3</v>
      </c>
      <c r="L148" s="6">
        <v>-2279.2800000000002</v>
      </c>
      <c r="M148" s="4">
        <v>0.5</v>
      </c>
      <c r="N148" s="4">
        <v>100</v>
      </c>
      <c r="O148" s="9"/>
      <c r="P148" s="9"/>
      <c r="Q148" s="9"/>
    </row>
    <row r="149" spans="1:17" x14ac:dyDescent="0.25">
      <c r="A149" s="8">
        <v>45743</v>
      </c>
      <c r="B149" s="3">
        <v>9689</v>
      </c>
      <c r="C149" s="3">
        <v>11809</v>
      </c>
      <c r="D149" s="3" t="s">
        <v>14</v>
      </c>
      <c r="E149" s="3">
        <v>24198</v>
      </c>
      <c r="F149" s="3" t="s">
        <v>363</v>
      </c>
      <c r="G149" s="3" t="s">
        <v>69</v>
      </c>
      <c r="H149" s="3" t="s">
        <v>365</v>
      </c>
      <c r="I149" s="3" t="s">
        <v>366</v>
      </c>
      <c r="J149" s="3" t="s">
        <v>59</v>
      </c>
      <c r="K149" s="5"/>
      <c r="L149" s="5"/>
      <c r="M149" s="5"/>
      <c r="N149" s="5"/>
      <c r="O149" s="9"/>
      <c r="P149" s="9"/>
      <c r="Q149" s="9"/>
    </row>
    <row r="150" spans="1:17" x14ac:dyDescent="0.25">
      <c r="A150" s="8">
        <v>45743</v>
      </c>
      <c r="B150" s="3">
        <v>9693</v>
      </c>
      <c r="C150" s="3">
        <v>11809</v>
      </c>
      <c r="D150" s="3" t="s">
        <v>14</v>
      </c>
      <c r="E150" s="3">
        <v>24209</v>
      </c>
      <c r="F150" s="3" t="s">
        <v>367</v>
      </c>
      <c r="G150" s="3" t="s">
        <v>56</v>
      </c>
      <c r="H150" s="3" t="s">
        <v>368</v>
      </c>
      <c r="I150" s="3" t="s">
        <v>369</v>
      </c>
      <c r="J150" s="3" t="s">
        <v>59</v>
      </c>
      <c r="K150" s="6">
        <v>1546.34</v>
      </c>
      <c r="L150" s="6">
        <v>-5399</v>
      </c>
      <c r="M150" s="4">
        <v>1</v>
      </c>
      <c r="N150" s="4">
        <v>200</v>
      </c>
      <c r="O150" s="9"/>
      <c r="P150" s="9"/>
      <c r="Q150" s="9"/>
    </row>
    <row r="151" spans="1:17" x14ac:dyDescent="0.25">
      <c r="A151" s="8">
        <v>45743</v>
      </c>
      <c r="B151" s="3">
        <v>9693</v>
      </c>
      <c r="C151" s="3">
        <v>11809</v>
      </c>
      <c r="D151" s="3" t="s">
        <v>14</v>
      </c>
      <c r="E151" s="3">
        <v>24209</v>
      </c>
      <c r="F151" s="3" t="s">
        <v>367</v>
      </c>
      <c r="G151" s="3" t="s">
        <v>56</v>
      </c>
      <c r="H151" s="3" t="s">
        <v>370</v>
      </c>
      <c r="I151" s="3" t="s">
        <v>276</v>
      </c>
      <c r="J151" s="3" t="s">
        <v>59</v>
      </c>
      <c r="K151" s="5"/>
      <c r="L151" s="5"/>
      <c r="M151" s="5"/>
      <c r="N151" s="5"/>
      <c r="O151" s="9"/>
      <c r="P151" s="9"/>
      <c r="Q151" s="9"/>
    </row>
    <row r="152" spans="1:17" x14ac:dyDescent="0.25">
      <c r="A152" s="8">
        <v>45744</v>
      </c>
      <c r="B152" s="3">
        <v>9753</v>
      </c>
      <c r="C152" s="3">
        <v>11809</v>
      </c>
      <c r="D152" s="3" t="s">
        <v>14</v>
      </c>
      <c r="E152" s="3">
        <v>18444</v>
      </c>
      <c r="F152" s="3" t="s">
        <v>371</v>
      </c>
      <c r="G152" s="3" t="s">
        <v>56</v>
      </c>
      <c r="H152" s="3" t="s">
        <v>372</v>
      </c>
      <c r="I152" s="3" t="s">
        <v>188</v>
      </c>
      <c r="J152" s="3" t="s">
        <v>59</v>
      </c>
      <c r="K152" s="4">
        <v>587</v>
      </c>
      <c r="L152" s="6">
        <v>1125</v>
      </c>
      <c r="M152" s="4">
        <v>0.5</v>
      </c>
      <c r="N152" s="4">
        <v>202.5</v>
      </c>
      <c r="O152" s="9"/>
      <c r="P152" s="9"/>
      <c r="Q152" s="9"/>
    </row>
    <row r="153" spans="1:17" x14ac:dyDescent="0.25">
      <c r="A153" s="8">
        <v>45744</v>
      </c>
      <c r="B153" s="3">
        <v>9664</v>
      </c>
      <c r="C153" s="3">
        <v>11809</v>
      </c>
      <c r="D153" s="3" t="s">
        <v>14</v>
      </c>
      <c r="E153" s="3">
        <v>260087</v>
      </c>
      <c r="F153" s="3" t="s">
        <v>373</v>
      </c>
      <c r="G153" s="3" t="s">
        <v>83</v>
      </c>
      <c r="H153" s="3" t="s">
        <v>374</v>
      </c>
      <c r="I153" s="3" t="s">
        <v>375</v>
      </c>
      <c r="J153" s="3" t="s">
        <v>86</v>
      </c>
      <c r="K153" s="6">
        <v>9665.26</v>
      </c>
      <c r="L153" s="4">
        <v>750</v>
      </c>
      <c r="M153" s="4">
        <v>1</v>
      </c>
      <c r="N153" s="4">
        <v>200</v>
      </c>
      <c r="O153" s="9"/>
      <c r="P153" s="9"/>
      <c r="Q153" s="9"/>
    </row>
    <row r="154" spans="1:17" x14ac:dyDescent="0.25">
      <c r="A154" s="8">
        <v>45747</v>
      </c>
      <c r="B154" s="3">
        <v>9709</v>
      </c>
      <c r="C154" s="3">
        <v>11809</v>
      </c>
      <c r="D154" s="3" t="s">
        <v>14</v>
      </c>
      <c r="E154" s="3">
        <v>265503</v>
      </c>
      <c r="F154" s="3" t="s">
        <v>376</v>
      </c>
      <c r="G154" s="3" t="s">
        <v>69</v>
      </c>
      <c r="H154" s="3" t="s">
        <v>377</v>
      </c>
      <c r="I154" s="3" t="s">
        <v>378</v>
      </c>
      <c r="J154" s="3" t="s">
        <v>59</v>
      </c>
      <c r="K154" s="6">
        <v>8437.32</v>
      </c>
      <c r="L154" s="6">
        <v>12406</v>
      </c>
      <c r="M154" s="4">
        <v>1</v>
      </c>
      <c r="N154" s="6">
        <v>2233.08</v>
      </c>
      <c r="O154" s="9"/>
      <c r="P154" s="9"/>
      <c r="Q154" s="9"/>
    </row>
    <row r="155" spans="1:17" x14ac:dyDescent="0.25">
      <c r="A155" s="8">
        <v>45747</v>
      </c>
      <c r="B155" s="3">
        <v>9709</v>
      </c>
      <c r="C155" s="3">
        <v>11809</v>
      </c>
      <c r="D155" s="3" t="s">
        <v>14</v>
      </c>
      <c r="E155" s="3">
        <v>265503</v>
      </c>
      <c r="F155" s="3" t="s">
        <v>376</v>
      </c>
      <c r="G155" s="3" t="s">
        <v>69</v>
      </c>
      <c r="H155" s="3" t="s">
        <v>379</v>
      </c>
      <c r="I155" s="3" t="s">
        <v>380</v>
      </c>
      <c r="J155" s="3" t="s">
        <v>59</v>
      </c>
      <c r="K155" s="5"/>
      <c r="L155" s="5"/>
      <c r="M155" s="5"/>
      <c r="N155" s="5"/>
      <c r="O155" s="9"/>
      <c r="P155" s="9"/>
      <c r="Q155" s="9"/>
    </row>
    <row r="156" spans="1:17" x14ac:dyDescent="0.25">
      <c r="A156" s="8">
        <v>45747</v>
      </c>
      <c r="B156" s="3">
        <v>9902</v>
      </c>
      <c r="C156" s="3">
        <v>11809</v>
      </c>
      <c r="D156" s="3" t="s">
        <v>14</v>
      </c>
      <c r="E156" s="3">
        <v>24449</v>
      </c>
      <c r="F156" s="3" t="s">
        <v>381</v>
      </c>
      <c r="G156" s="3" t="s">
        <v>69</v>
      </c>
      <c r="H156" s="3" t="s">
        <v>382</v>
      </c>
      <c r="I156" s="3" t="s">
        <v>383</v>
      </c>
      <c r="J156" s="3" t="s">
        <v>59</v>
      </c>
      <c r="K156" s="6">
        <v>6320.56</v>
      </c>
      <c r="L156" s="6">
        <v>5099</v>
      </c>
      <c r="M156" s="4">
        <v>1</v>
      </c>
      <c r="N156" s="4">
        <v>917.82</v>
      </c>
      <c r="O156" s="9"/>
      <c r="P156" s="9"/>
      <c r="Q156" s="9"/>
    </row>
    <row r="157" spans="1:17" x14ac:dyDescent="0.25">
      <c r="A157" s="8">
        <v>45747</v>
      </c>
      <c r="B157" s="3">
        <v>9935</v>
      </c>
      <c r="C157" s="3">
        <v>11809</v>
      </c>
      <c r="D157" s="3" t="s">
        <v>14</v>
      </c>
      <c r="E157" s="3">
        <v>24483</v>
      </c>
      <c r="F157" s="3" t="s">
        <v>384</v>
      </c>
      <c r="G157" s="3" t="s">
        <v>69</v>
      </c>
      <c r="H157" s="3" t="s">
        <v>385</v>
      </c>
      <c r="I157" s="3" t="s">
        <v>89</v>
      </c>
      <c r="J157" s="3" t="s">
        <v>59</v>
      </c>
      <c r="K157" s="6">
        <v>1520.32</v>
      </c>
      <c r="L157" s="6">
        <v>1179</v>
      </c>
      <c r="M157" s="4">
        <v>1</v>
      </c>
      <c r="N157" s="4">
        <v>212.22</v>
      </c>
      <c r="O157" s="9"/>
      <c r="P157" s="9"/>
      <c r="Q157" s="9"/>
    </row>
    <row r="158" spans="1:17" x14ac:dyDescent="0.25">
      <c r="A158" s="8">
        <v>45747</v>
      </c>
      <c r="B158" s="3">
        <v>9983</v>
      </c>
      <c r="C158" s="3">
        <v>11809</v>
      </c>
      <c r="D158" s="3" t="s">
        <v>14</v>
      </c>
      <c r="E158" s="3">
        <v>11986</v>
      </c>
      <c r="F158" s="3" t="s">
        <v>386</v>
      </c>
      <c r="G158" s="3" t="s">
        <v>69</v>
      </c>
      <c r="H158" s="3" t="s">
        <v>387</v>
      </c>
      <c r="I158" s="3" t="s">
        <v>158</v>
      </c>
      <c r="J158" s="3" t="s">
        <v>59</v>
      </c>
      <c r="K158" s="6">
        <v>6102.35</v>
      </c>
      <c r="L158" s="6">
        <v>8913</v>
      </c>
      <c r="M158" s="4">
        <v>1</v>
      </c>
      <c r="N158" s="6">
        <v>1604.34</v>
      </c>
      <c r="O158" s="9"/>
      <c r="P158" s="9"/>
      <c r="Q158" s="9"/>
    </row>
    <row r="159" spans="1:17" x14ac:dyDescent="0.25">
      <c r="A159" s="8">
        <v>45747</v>
      </c>
      <c r="B159" s="3">
        <v>9617</v>
      </c>
      <c r="C159" s="3">
        <v>11809</v>
      </c>
      <c r="D159" s="3" t="s">
        <v>14</v>
      </c>
      <c r="E159" s="3">
        <v>24047</v>
      </c>
      <c r="F159" s="3" t="s">
        <v>388</v>
      </c>
      <c r="G159" s="3" t="s">
        <v>56</v>
      </c>
      <c r="H159" s="3" t="s">
        <v>389</v>
      </c>
      <c r="I159" s="3" t="s">
        <v>270</v>
      </c>
      <c r="J159" s="3" t="s">
        <v>59</v>
      </c>
      <c r="K159" s="4">
        <v>0</v>
      </c>
      <c r="L159" s="4">
        <v>0</v>
      </c>
      <c r="M159" s="4">
        <v>0</v>
      </c>
      <c r="N159" s="4">
        <v>0</v>
      </c>
      <c r="O159" s="9"/>
      <c r="P159" s="9"/>
      <c r="Q159" s="9"/>
    </row>
    <row r="160" spans="1:17" x14ac:dyDescent="0.25">
      <c r="A160" s="8">
        <v>45747</v>
      </c>
      <c r="B160" s="3">
        <v>9771</v>
      </c>
      <c r="C160" s="3">
        <v>11809</v>
      </c>
      <c r="D160" s="3" t="s">
        <v>14</v>
      </c>
      <c r="E160" s="3">
        <v>24284</v>
      </c>
      <c r="F160" s="3" t="s">
        <v>390</v>
      </c>
      <c r="G160" s="3" t="s">
        <v>56</v>
      </c>
      <c r="H160" s="3" t="s">
        <v>391</v>
      </c>
      <c r="I160" s="3" t="s">
        <v>166</v>
      </c>
      <c r="J160" s="3" t="s">
        <v>59</v>
      </c>
      <c r="K160" s="4">
        <v>481</v>
      </c>
      <c r="L160" s="4">
        <v>752.5</v>
      </c>
      <c r="M160" s="4">
        <v>0.5</v>
      </c>
      <c r="N160" s="4">
        <v>135.44999999999999</v>
      </c>
      <c r="O160" s="9"/>
      <c r="P160" s="9"/>
      <c r="Q160" s="9"/>
    </row>
    <row r="161" spans="1:17" x14ac:dyDescent="0.25">
      <c r="A161" s="8">
        <v>45747</v>
      </c>
      <c r="B161" s="3">
        <v>9771</v>
      </c>
      <c r="C161" s="3">
        <v>11809</v>
      </c>
      <c r="D161" s="3" t="s">
        <v>14</v>
      </c>
      <c r="E161" s="3">
        <v>24284</v>
      </c>
      <c r="F161" s="3" t="s">
        <v>390</v>
      </c>
      <c r="G161" s="3" t="s">
        <v>56</v>
      </c>
      <c r="H161" s="3" t="s">
        <v>392</v>
      </c>
      <c r="I161" s="3" t="s">
        <v>393</v>
      </c>
      <c r="J161" s="3" t="s">
        <v>59</v>
      </c>
      <c r="K161" s="5"/>
      <c r="L161" s="5"/>
      <c r="M161" s="5"/>
      <c r="N161" s="5"/>
      <c r="O161" s="9"/>
      <c r="P161" s="9"/>
      <c r="Q161" s="9"/>
    </row>
    <row r="162" spans="1:17" x14ac:dyDescent="0.25">
      <c r="A162" s="8">
        <v>45747</v>
      </c>
      <c r="B162" s="3">
        <v>9863</v>
      </c>
      <c r="C162" s="3">
        <v>11809</v>
      </c>
      <c r="D162" s="3" t="s">
        <v>14</v>
      </c>
      <c r="E162" s="3">
        <v>24406</v>
      </c>
      <c r="F162" s="3" t="s">
        <v>394</v>
      </c>
      <c r="G162" s="3" t="s">
        <v>56</v>
      </c>
      <c r="H162" s="3" t="s">
        <v>395</v>
      </c>
      <c r="I162" s="3" t="s">
        <v>67</v>
      </c>
      <c r="J162" s="3" t="s">
        <v>59</v>
      </c>
      <c r="K162" s="6">
        <v>1139</v>
      </c>
      <c r="L162" s="6">
        <v>1593.26</v>
      </c>
      <c r="M162" s="4">
        <v>1</v>
      </c>
      <c r="N162" s="4">
        <v>286.79000000000002</v>
      </c>
      <c r="O162" s="9"/>
      <c r="P162" s="9"/>
      <c r="Q162" s="9"/>
    </row>
    <row r="163" spans="1:17" x14ac:dyDescent="0.25">
      <c r="A163" s="8">
        <v>45747</v>
      </c>
      <c r="B163" s="3">
        <v>9863</v>
      </c>
      <c r="C163" s="3">
        <v>11809</v>
      </c>
      <c r="D163" s="3" t="s">
        <v>14</v>
      </c>
      <c r="E163" s="3">
        <v>24406</v>
      </c>
      <c r="F163" s="3" t="s">
        <v>394</v>
      </c>
      <c r="G163" s="3" t="s">
        <v>56</v>
      </c>
      <c r="H163" s="3" t="s">
        <v>396</v>
      </c>
      <c r="I163" s="3" t="s">
        <v>397</v>
      </c>
      <c r="J163" s="3" t="s">
        <v>59</v>
      </c>
      <c r="K163" s="5"/>
      <c r="L163" s="5"/>
      <c r="M163" s="5"/>
      <c r="N163" s="5"/>
      <c r="O163" s="9"/>
      <c r="P163" s="9"/>
      <c r="Q163" s="9"/>
    </row>
    <row r="164" spans="1:17" x14ac:dyDescent="0.25">
      <c r="A164" s="8">
        <v>45747</v>
      </c>
      <c r="B164" s="3">
        <v>9919</v>
      </c>
      <c r="C164" s="3">
        <v>11809</v>
      </c>
      <c r="D164" s="3" t="s">
        <v>14</v>
      </c>
      <c r="E164" s="3">
        <v>24470</v>
      </c>
      <c r="F164" s="3" t="s">
        <v>398</v>
      </c>
      <c r="G164" s="3" t="s">
        <v>56</v>
      </c>
      <c r="H164" s="3" t="s">
        <v>399</v>
      </c>
      <c r="I164" s="3" t="s">
        <v>369</v>
      </c>
      <c r="J164" s="3" t="s">
        <v>59</v>
      </c>
      <c r="K164" s="6">
        <v>1532.19</v>
      </c>
      <c r="L164" s="6">
        <v>-4065</v>
      </c>
      <c r="M164" s="4">
        <v>1</v>
      </c>
      <c r="N164" s="4">
        <v>200</v>
      </c>
      <c r="O164" s="9"/>
      <c r="P164" s="9"/>
      <c r="Q164" s="9"/>
    </row>
    <row r="165" spans="1:17" x14ac:dyDescent="0.25">
      <c r="A165" s="8">
        <v>45747</v>
      </c>
      <c r="B165" s="3" t="s">
        <v>400</v>
      </c>
      <c r="C165" s="3">
        <v>11809</v>
      </c>
      <c r="D165" s="3" t="s">
        <v>14</v>
      </c>
      <c r="E165" s="3">
        <v>24047</v>
      </c>
      <c r="F165" s="3" t="s">
        <v>388</v>
      </c>
      <c r="G165" s="3" t="s">
        <v>56</v>
      </c>
      <c r="H165" s="3" t="s">
        <v>389</v>
      </c>
      <c r="I165" s="3" t="s">
        <v>270</v>
      </c>
      <c r="J165" s="3" t="s">
        <v>59</v>
      </c>
      <c r="K165" s="6">
        <v>1852.23</v>
      </c>
      <c r="L165" s="4">
        <v>-11.62</v>
      </c>
      <c r="M165" s="4">
        <v>1</v>
      </c>
      <c r="N165" s="4">
        <v>200</v>
      </c>
      <c r="O165" s="9"/>
      <c r="P165" s="9"/>
      <c r="Q165" s="9"/>
    </row>
    <row r="166" spans="1:17" x14ac:dyDescent="0.25">
      <c r="A166" s="8">
        <v>45722</v>
      </c>
      <c r="B166" s="3">
        <v>9335</v>
      </c>
      <c r="C166" s="3">
        <v>12104</v>
      </c>
      <c r="D166" s="3" t="s">
        <v>15</v>
      </c>
      <c r="E166" s="3">
        <v>23587</v>
      </c>
      <c r="F166" s="3" t="s">
        <v>401</v>
      </c>
      <c r="G166" s="3" t="s">
        <v>69</v>
      </c>
      <c r="H166" s="3" t="s">
        <v>402</v>
      </c>
      <c r="I166" s="3" t="s">
        <v>79</v>
      </c>
      <c r="J166" s="3" t="s">
        <v>59</v>
      </c>
      <c r="K166" s="4">
        <v>731.49</v>
      </c>
      <c r="L166" s="4">
        <v>-72.19</v>
      </c>
      <c r="M166" s="4">
        <v>0.5</v>
      </c>
      <c r="N166" s="4">
        <v>100</v>
      </c>
      <c r="O166" s="9"/>
      <c r="P166" s="9"/>
      <c r="Q166" s="9"/>
    </row>
    <row r="167" spans="1:17" x14ac:dyDescent="0.25">
      <c r="A167" s="8">
        <v>45722</v>
      </c>
      <c r="B167" s="3">
        <v>9335</v>
      </c>
      <c r="C167" s="3">
        <v>12104</v>
      </c>
      <c r="D167" s="3" t="s">
        <v>15</v>
      </c>
      <c r="E167" s="3">
        <v>23587</v>
      </c>
      <c r="F167" s="3" t="s">
        <v>401</v>
      </c>
      <c r="G167" s="3" t="s">
        <v>69</v>
      </c>
      <c r="H167" s="3" t="s">
        <v>403</v>
      </c>
      <c r="I167" s="3" t="s">
        <v>404</v>
      </c>
      <c r="J167" s="3" t="s">
        <v>59</v>
      </c>
      <c r="K167" s="5"/>
      <c r="L167" s="5"/>
      <c r="M167" s="5"/>
      <c r="N167" s="5"/>
      <c r="O167" s="9"/>
      <c r="P167" s="9"/>
      <c r="Q167" s="9"/>
    </row>
    <row r="168" spans="1:17" x14ac:dyDescent="0.25">
      <c r="A168" s="8">
        <v>45723</v>
      </c>
      <c r="B168" s="3">
        <v>9359</v>
      </c>
      <c r="C168" s="3">
        <v>12104</v>
      </c>
      <c r="D168" s="3" t="s">
        <v>15</v>
      </c>
      <c r="E168" s="3">
        <v>23630</v>
      </c>
      <c r="F168" s="3" t="s">
        <v>405</v>
      </c>
      <c r="G168" s="3" t="s">
        <v>69</v>
      </c>
      <c r="H168" s="3" t="s">
        <v>406</v>
      </c>
      <c r="I168" s="3" t="s">
        <v>279</v>
      </c>
      <c r="J168" s="3" t="s">
        <v>59</v>
      </c>
      <c r="K168" s="4">
        <v>222</v>
      </c>
      <c r="L168" s="6">
        <v>5665.5</v>
      </c>
      <c r="M168" s="4">
        <v>1</v>
      </c>
      <c r="N168" s="6">
        <v>1019.79</v>
      </c>
      <c r="O168" s="9"/>
      <c r="P168" s="9"/>
      <c r="Q168" s="9"/>
    </row>
    <row r="169" spans="1:17" x14ac:dyDescent="0.25">
      <c r="A169" s="8">
        <v>45723</v>
      </c>
      <c r="B169" s="3">
        <v>9359</v>
      </c>
      <c r="C169" s="3">
        <v>12104</v>
      </c>
      <c r="D169" s="3" t="s">
        <v>15</v>
      </c>
      <c r="E169" s="3">
        <v>23630</v>
      </c>
      <c r="F169" s="3" t="s">
        <v>405</v>
      </c>
      <c r="G169" s="3" t="s">
        <v>69</v>
      </c>
      <c r="H169" s="3" t="s">
        <v>407</v>
      </c>
      <c r="I169" s="3" t="s">
        <v>408</v>
      </c>
      <c r="J169" s="3" t="s">
        <v>59</v>
      </c>
      <c r="K169" s="5"/>
      <c r="L169" s="5"/>
      <c r="M169" s="5"/>
      <c r="N169" s="5"/>
      <c r="O169" s="9"/>
      <c r="P169" s="9"/>
      <c r="Q169" s="9"/>
    </row>
    <row r="170" spans="1:17" x14ac:dyDescent="0.25">
      <c r="A170" s="8">
        <v>45727</v>
      </c>
      <c r="B170" s="3">
        <v>9399</v>
      </c>
      <c r="C170" s="3">
        <v>12104</v>
      </c>
      <c r="D170" s="3" t="s">
        <v>15</v>
      </c>
      <c r="E170" s="3">
        <v>23709</v>
      </c>
      <c r="F170" s="3" t="s">
        <v>409</v>
      </c>
      <c r="G170" s="3" t="s">
        <v>69</v>
      </c>
      <c r="H170" s="3" t="s">
        <v>410</v>
      </c>
      <c r="I170" s="3" t="s">
        <v>71</v>
      </c>
      <c r="J170" s="3" t="s">
        <v>59</v>
      </c>
      <c r="K170" s="6">
        <v>3867.68</v>
      </c>
      <c r="L170" s="6">
        <v>-1382.3</v>
      </c>
      <c r="M170" s="4">
        <v>1</v>
      </c>
      <c r="N170" s="4">
        <v>200</v>
      </c>
      <c r="O170" s="9"/>
      <c r="P170" s="9"/>
      <c r="Q170" s="9"/>
    </row>
    <row r="171" spans="1:17" x14ac:dyDescent="0.25">
      <c r="A171" s="8">
        <v>45728</v>
      </c>
      <c r="B171" s="3">
        <v>9217</v>
      </c>
      <c r="C171" s="3">
        <v>12104</v>
      </c>
      <c r="D171" s="3" t="s">
        <v>15</v>
      </c>
      <c r="E171" s="3">
        <v>23449</v>
      </c>
      <c r="F171" s="3" t="s">
        <v>341</v>
      </c>
      <c r="G171" s="3" t="s">
        <v>56</v>
      </c>
      <c r="H171" s="3" t="s">
        <v>342</v>
      </c>
      <c r="I171" s="3" t="s">
        <v>279</v>
      </c>
      <c r="J171" s="3" t="s">
        <v>59</v>
      </c>
      <c r="K171" s="6">
        <v>1595.89</v>
      </c>
      <c r="L171" s="6">
        <v>5152.75</v>
      </c>
      <c r="M171" s="4">
        <v>0.5</v>
      </c>
      <c r="N171" s="4">
        <v>927.5</v>
      </c>
      <c r="O171" s="9"/>
      <c r="P171" s="9"/>
      <c r="Q171" s="9"/>
    </row>
    <row r="172" spans="1:17" x14ac:dyDescent="0.25">
      <c r="A172" s="8">
        <v>45729</v>
      </c>
      <c r="B172" s="3">
        <v>9485</v>
      </c>
      <c r="C172" s="3">
        <v>12104</v>
      </c>
      <c r="D172" s="3" t="s">
        <v>15</v>
      </c>
      <c r="E172" s="3">
        <v>249646</v>
      </c>
      <c r="F172" s="3" t="s">
        <v>411</v>
      </c>
      <c r="G172" s="3" t="s">
        <v>56</v>
      </c>
      <c r="H172" s="3" t="s">
        <v>412</v>
      </c>
      <c r="I172" s="3" t="s">
        <v>210</v>
      </c>
      <c r="J172" s="3" t="s">
        <v>59</v>
      </c>
      <c r="K172" s="6">
        <v>2184.77</v>
      </c>
      <c r="L172" s="6">
        <v>-3803.16</v>
      </c>
      <c r="M172" s="4">
        <v>1</v>
      </c>
      <c r="N172" s="4">
        <v>200</v>
      </c>
      <c r="O172" s="9"/>
      <c r="P172" s="9"/>
      <c r="Q172" s="9"/>
    </row>
    <row r="173" spans="1:17" x14ac:dyDescent="0.25">
      <c r="A173" s="8">
        <v>45729</v>
      </c>
      <c r="B173" s="3">
        <v>9485</v>
      </c>
      <c r="C173" s="3">
        <v>12104</v>
      </c>
      <c r="D173" s="3" t="s">
        <v>15</v>
      </c>
      <c r="E173" s="3">
        <v>249646</v>
      </c>
      <c r="F173" s="3" t="s">
        <v>411</v>
      </c>
      <c r="G173" s="3" t="s">
        <v>56</v>
      </c>
      <c r="H173" s="3" t="s">
        <v>413</v>
      </c>
      <c r="I173" s="3" t="s">
        <v>414</v>
      </c>
      <c r="J173" s="3" t="s">
        <v>59</v>
      </c>
      <c r="K173" s="5"/>
      <c r="L173" s="5"/>
      <c r="M173" s="5"/>
      <c r="N173" s="5"/>
      <c r="O173" s="9"/>
      <c r="P173" s="9"/>
      <c r="Q173" s="9"/>
    </row>
    <row r="174" spans="1:17" x14ac:dyDescent="0.25">
      <c r="A174" s="8">
        <v>45734</v>
      </c>
      <c r="B174" s="3">
        <v>9571</v>
      </c>
      <c r="C174" s="3">
        <v>12104</v>
      </c>
      <c r="D174" s="3" t="s">
        <v>15</v>
      </c>
      <c r="E174" s="3">
        <v>24006</v>
      </c>
      <c r="F174" s="3" t="s">
        <v>415</v>
      </c>
      <c r="G174" s="3" t="s">
        <v>69</v>
      </c>
      <c r="H174" s="3" t="s">
        <v>416</v>
      </c>
      <c r="I174" s="3" t="s">
        <v>98</v>
      </c>
      <c r="J174" s="3" t="s">
        <v>59</v>
      </c>
      <c r="K174" s="6">
        <v>9011.2800000000007</v>
      </c>
      <c r="L174" s="6">
        <v>3882</v>
      </c>
      <c r="M174" s="4">
        <v>1</v>
      </c>
      <c r="N174" s="4">
        <v>698.76</v>
      </c>
      <c r="O174" s="9"/>
      <c r="P174" s="9"/>
      <c r="Q174" s="9"/>
    </row>
    <row r="175" spans="1:17" x14ac:dyDescent="0.25">
      <c r="A175" s="8">
        <v>45734</v>
      </c>
      <c r="B175" s="3">
        <v>9571</v>
      </c>
      <c r="C175" s="3">
        <v>12104</v>
      </c>
      <c r="D175" s="3" t="s">
        <v>15</v>
      </c>
      <c r="E175" s="3">
        <v>24006</v>
      </c>
      <c r="F175" s="3" t="s">
        <v>415</v>
      </c>
      <c r="G175" s="3" t="s">
        <v>69</v>
      </c>
      <c r="H175" s="3" t="s">
        <v>417</v>
      </c>
      <c r="I175" s="3" t="s">
        <v>418</v>
      </c>
      <c r="J175" s="3" t="s">
        <v>59</v>
      </c>
      <c r="K175" s="5"/>
      <c r="L175" s="5"/>
      <c r="M175" s="5"/>
      <c r="N175" s="5"/>
      <c r="O175" s="9"/>
      <c r="P175" s="9"/>
      <c r="Q175" s="9"/>
    </row>
    <row r="176" spans="1:17" x14ac:dyDescent="0.25">
      <c r="A176" s="8">
        <v>45734</v>
      </c>
      <c r="B176" s="3">
        <v>9552</v>
      </c>
      <c r="C176" s="3">
        <v>12104</v>
      </c>
      <c r="D176" s="3" t="s">
        <v>15</v>
      </c>
      <c r="E176" s="3">
        <v>23978</v>
      </c>
      <c r="F176" s="3" t="s">
        <v>419</v>
      </c>
      <c r="G176" s="3" t="s">
        <v>56</v>
      </c>
      <c r="H176" s="3" t="s">
        <v>420</v>
      </c>
      <c r="I176" s="3" t="s">
        <v>89</v>
      </c>
      <c r="J176" s="3" t="s">
        <v>59</v>
      </c>
      <c r="K176" s="6">
        <v>1258</v>
      </c>
      <c r="L176" s="4">
        <v>-795.7</v>
      </c>
      <c r="M176" s="4">
        <v>1</v>
      </c>
      <c r="N176" s="4">
        <v>200</v>
      </c>
      <c r="O176" s="9"/>
      <c r="P176" s="9"/>
      <c r="Q176" s="9"/>
    </row>
    <row r="177" spans="1:17" x14ac:dyDescent="0.25">
      <c r="A177" s="8">
        <v>45736</v>
      </c>
      <c r="B177" s="3">
        <v>9171</v>
      </c>
      <c r="C177" s="3">
        <v>12104</v>
      </c>
      <c r="D177" s="3" t="s">
        <v>15</v>
      </c>
      <c r="E177" s="3">
        <v>23382</v>
      </c>
      <c r="F177" s="3" t="s">
        <v>421</v>
      </c>
      <c r="G177" s="3" t="s">
        <v>69</v>
      </c>
      <c r="H177" s="3" t="s">
        <v>422</v>
      </c>
      <c r="I177" s="3" t="s">
        <v>106</v>
      </c>
      <c r="J177" s="3" t="s">
        <v>59</v>
      </c>
      <c r="K177" s="6">
        <v>-5532.5</v>
      </c>
      <c r="L177" s="6">
        <v>-2477</v>
      </c>
      <c r="M177" s="4">
        <v>-0.5</v>
      </c>
      <c r="N177" s="4">
        <v>-445.86</v>
      </c>
      <c r="O177" s="9"/>
      <c r="P177" s="9"/>
      <c r="Q177" s="9"/>
    </row>
    <row r="178" spans="1:17" x14ac:dyDescent="0.25">
      <c r="A178" s="8">
        <v>45736</v>
      </c>
      <c r="B178" s="3">
        <v>9171</v>
      </c>
      <c r="C178" s="3">
        <v>12104</v>
      </c>
      <c r="D178" s="3" t="s">
        <v>15</v>
      </c>
      <c r="E178" s="3">
        <v>23382</v>
      </c>
      <c r="F178" s="3" t="s">
        <v>421</v>
      </c>
      <c r="G178" s="3" t="s">
        <v>69</v>
      </c>
      <c r="H178" s="3" t="s">
        <v>423</v>
      </c>
      <c r="I178" s="3" t="s">
        <v>424</v>
      </c>
      <c r="J178" s="3" t="s">
        <v>59</v>
      </c>
      <c r="K178" s="5"/>
      <c r="L178" s="5"/>
      <c r="M178" s="5"/>
      <c r="N178" s="5"/>
      <c r="O178" s="9"/>
      <c r="P178" s="9"/>
      <c r="Q178" s="9"/>
    </row>
    <row r="179" spans="1:17" x14ac:dyDescent="0.25">
      <c r="A179" s="8">
        <v>45741</v>
      </c>
      <c r="B179" s="3">
        <v>9608</v>
      </c>
      <c r="C179" s="3">
        <v>12104</v>
      </c>
      <c r="D179" s="3" t="s">
        <v>15</v>
      </c>
      <c r="E179" s="3">
        <v>275659</v>
      </c>
      <c r="F179" s="3" t="s">
        <v>425</v>
      </c>
      <c r="G179" s="3" t="s">
        <v>56</v>
      </c>
      <c r="H179" s="3" t="s">
        <v>426</v>
      </c>
      <c r="I179" s="3" t="s">
        <v>427</v>
      </c>
      <c r="J179" s="3" t="s">
        <v>59</v>
      </c>
      <c r="K179" s="6">
        <v>2968</v>
      </c>
      <c r="L179" s="6">
        <v>6320.41</v>
      </c>
      <c r="M179" s="4">
        <v>1</v>
      </c>
      <c r="N179" s="6">
        <v>1137.67</v>
      </c>
      <c r="O179" s="9"/>
      <c r="P179" s="9"/>
      <c r="Q179" s="9"/>
    </row>
    <row r="180" spans="1:17" x14ac:dyDescent="0.25">
      <c r="A180" s="8">
        <v>45741</v>
      </c>
      <c r="B180" s="3">
        <v>9608</v>
      </c>
      <c r="C180" s="3">
        <v>12104</v>
      </c>
      <c r="D180" s="3" t="s">
        <v>15</v>
      </c>
      <c r="E180" s="3">
        <v>275659</v>
      </c>
      <c r="F180" s="3" t="s">
        <v>425</v>
      </c>
      <c r="G180" s="3" t="s">
        <v>56</v>
      </c>
      <c r="H180" s="3" t="s">
        <v>428</v>
      </c>
      <c r="I180" s="3" t="s">
        <v>110</v>
      </c>
      <c r="J180" s="3" t="s">
        <v>59</v>
      </c>
      <c r="K180" s="5"/>
      <c r="L180" s="5"/>
      <c r="M180" s="5"/>
      <c r="N180" s="5"/>
      <c r="O180" s="9"/>
      <c r="P180" s="9"/>
      <c r="Q180" s="9"/>
    </row>
    <row r="181" spans="1:17" x14ac:dyDescent="0.25">
      <c r="A181" s="8">
        <v>45741</v>
      </c>
      <c r="B181" s="3">
        <v>9291</v>
      </c>
      <c r="C181" s="3">
        <v>12104</v>
      </c>
      <c r="D181" s="3" t="s">
        <v>15</v>
      </c>
      <c r="E181" s="3">
        <v>23533</v>
      </c>
      <c r="F181" s="3" t="s">
        <v>429</v>
      </c>
      <c r="G181" s="3" t="s">
        <v>125</v>
      </c>
      <c r="H181" s="3" t="s">
        <v>430</v>
      </c>
      <c r="I181" s="3" t="s">
        <v>431</v>
      </c>
      <c r="J181" s="3" t="s">
        <v>86</v>
      </c>
      <c r="K181" s="6">
        <v>4958.01</v>
      </c>
      <c r="L181" s="6">
        <v>4105.1499999999996</v>
      </c>
      <c r="M181" s="4">
        <v>1</v>
      </c>
      <c r="N181" s="4">
        <v>738.93</v>
      </c>
      <c r="O181" s="9"/>
      <c r="P181" s="9"/>
      <c r="Q181" s="9"/>
    </row>
    <row r="182" spans="1:17" x14ac:dyDescent="0.25">
      <c r="A182" s="8">
        <v>45743</v>
      </c>
      <c r="B182" s="3">
        <v>9043</v>
      </c>
      <c r="C182" s="3">
        <v>12104</v>
      </c>
      <c r="D182" s="3" t="s">
        <v>15</v>
      </c>
      <c r="E182" s="3">
        <v>23180</v>
      </c>
      <c r="F182" s="3" t="s">
        <v>432</v>
      </c>
      <c r="G182" s="3" t="s">
        <v>69</v>
      </c>
      <c r="H182" s="3" t="s">
        <v>433</v>
      </c>
      <c r="I182" s="3" t="s">
        <v>279</v>
      </c>
      <c r="J182" s="3" t="s">
        <v>59</v>
      </c>
      <c r="K182" s="6">
        <v>6417.9</v>
      </c>
      <c r="L182" s="6">
        <v>5610</v>
      </c>
      <c r="M182" s="4">
        <v>1</v>
      </c>
      <c r="N182" s="6">
        <v>1009.8</v>
      </c>
      <c r="O182" s="9"/>
      <c r="P182" s="9"/>
      <c r="Q182" s="9"/>
    </row>
    <row r="183" spans="1:17" x14ac:dyDescent="0.25">
      <c r="A183" s="8">
        <v>45743</v>
      </c>
      <c r="B183" s="3">
        <v>9731</v>
      </c>
      <c r="C183" s="3">
        <v>12104</v>
      </c>
      <c r="D183" s="3" t="s">
        <v>15</v>
      </c>
      <c r="E183" s="3">
        <v>24246</v>
      </c>
      <c r="F183" s="3" t="s">
        <v>434</v>
      </c>
      <c r="G183" s="3" t="s">
        <v>56</v>
      </c>
      <c r="H183" s="3" t="s">
        <v>435</v>
      </c>
      <c r="I183" s="3" t="s">
        <v>71</v>
      </c>
      <c r="J183" s="3" t="s">
        <v>59</v>
      </c>
      <c r="K183" s="6">
        <v>2072.46</v>
      </c>
      <c r="L183" s="6">
        <v>2074.91</v>
      </c>
      <c r="M183" s="4">
        <v>1</v>
      </c>
      <c r="N183" s="4">
        <v>373.48</v>
      </c>
      <c r="O183" s="9"/>
      <c r="P183" s="9"/>
      <c r="Q183" s="9"/>
    </row>
    <row r="184" spans="1:17" x14ac:dyDescent="0.25">
      <c r="A184" s="8">
        <v>45744</v>
      </c>
      <c r="B184" s="3">
        <v>9469</v>
      </c>
      <c r="C184" s="3">
        <v>12104</v>
      </c>
      <c r="D184" s="3" t="s">
        <v>15</v>
      </c>
      <c r="E184" s="3">
        <v>23382</v>
      </c>
      <c r="F184" s="3" t="s">
        <v>421</v>
      </c>
      <c r="G184" s="3" t="s">
        <v>69</v>
      </c>
      <c r="H184" s="3" t="s">
        <v>422</v>
      </c>
      <c r="I184" s="3" t="s">
        <v>106</v>
      </c>
      <c r="J184" s="3" t="s">
        <v>59</v>
      </c>
      <c r="K184" s="6">
        <v>4359.5200000000004</v>
      </c>
      <c r="L184" s="6">
        <v>2477</v>
      </c>
      <c r="M184" s="4">
        <v>0.5</v>
      </c>
      <c r="N184" s="4">
        <v>445.86</v>
      </c>
      <c r="O184" s="9"/>
      <c r="P184" s="9"/>
      <c r="Q184" s="9"/>
    </row>
    <row r="185" spans="1:17" x14ac:dyDescent="0.25">
      <c r="A185" s="8">
        <v>45744</v>
      </c>
      <c r="B185" s="3">
        <v>9469</v>
      </c>
      <c r="C185" s="3">
        <v>12104</v>
      </c>
      <c r="D185" s="3" t="s">
        <v>15</v>
      </c>
      <c r="E185" s="3">
        <v>23382</v>
      </c>
      <c r="F185" s="3" t="s">
        <v>421</v>
      </c>
      <c r="G185" s="3" t="s">
        <v>69</v>
      </c>
      <c r="H185" s="3" t="s">
        <v>423</v>
      </c>
      <c r="I185" s="3" t="s">
        <v>424</v>
      </c>
      <c r="J185" s="3" t="s">
        <v>59</v>
      </c>
      <c r="K185" s="5"/>
      <c r="L185" s="5"/>
      <c r="M185" s="5"/>
      <c r="N185" s="5"/>
      <c r="O185" s="9"/>
      <c r="P185" s="9"/>
      <c r="Q185" s="9"/>
    </row>
    <row r="186" spans="1:17" x14ac:dyDescent="0.25">
      <c r="A186" s="8">
        <v>45744</v>
      </c>
      <c r="B186" s="3">
        <v>9680</v>
      </c>
      <c r="C186" s="3">
        <v>12104</v>
      </c>
      <c r="D186" s="3" t="s">
        <v>15</v>
      </c>
      <c r="E186" s="3">
        <v>24191</v>
      </c>
      <c r="F186" s="3" t="s">
        <v>436</v>
      </c>
      <c r="G186" s="3" t="s">
        <v>69</v>
      </c>
      <c r="H186" s="3" t="s">
        <v>437</v>
      </c>
      <c r="I186" s="3" t="s">
        <v>89</v>
      </c>
      <c r="J186" s="3" t="s">
        <v>59</v>
      </c>
      <c r="K186" s="4">
        <v>0</v>
      </c>
      <c r="L186" s="4">
        <v>0</v>
      </c>
      <c r="M186" s="4">
        <v>0</v>
      </c>
      <c r="N186" s="4">
        <v>0</v>
      </c>
      <c r="O186" s="9"/>
      <c r="P186" s="9"/>
      <c r="Q186" s="9"/>
    </row>
    <row r="187" spans="1:17" x14ac:dyDescent="0.25">
      <c r="A187" s="8">
        <v>45747</v>
      </c>
      <c r="B187" s="3">
        <v>9864</v>
      </c>
      <c r="C187" s="3">
        <v>12104</v>
      </c>
      <c r="D187" s="3" t="s">
        <v>15</v>
      </c>
      <c r="E187" s="3">
        <v>262750</v>
      </c>
      <c r="F187" s="3" t="s">
        <v>438</v>
      </c>
      <c r="G187" s="3" t="s">
        <v>69</v>
      </c>
      <c r="H187" s="3" t="s">
        <v>439</v>
      </c>
      <c r="I187" s="3" t="s">
        <v>427</v>
      </c>
      <c r="J187" s="3" t="s">
        <v>59</v>
      </c>
      <c r="K187" s="6">
        <v>5120.1000000000004</v>
      </c>
      <c r="L187" s="4">
        <v>363</v>
      </c>
      <c r="M187" s="4">
        <v>1</v>
      </c>
      <c r="N187" s="4">
        <v>200</v>
      </c>
      <c r="O187" s="9"/>
      <c r="P187" s="9"/>
      <c r="Q187" s="9"/>
    </row>
    <row r="188" spans="1:17" x14ac:dyDescent="0.25">
      <c r="A188" s="8">
        <v>45747</v>
      </c>
      <c r="B188" s="3">
        <v>9864</v>
      </c>
      <c r="C188" s="3">
        <v>12104</v>
      </c>
      <c r="D188" s="3" t="s">
        <v>15</v>
      </c>
      <c r="E188" s="3">
        <v>262750</v>
      </c>
      <c r="F188" s="3" t="s">
        <v>438</v>
      </c>
      <c r="G188" s="3" t="s">
        <v>69</v>
      </c>
      <c r="H188" s="3" t="s">
        <v>440</v>
      </c>
      <c r="I188" s="3" t="s">
        <v>441</v>
      </c>
      <c r="J188" s="3" t="s">
        <v>59</v>
      </c>
      <c r="K188" s="5"/>
      <c r="L188" s="5"/>
      <c r="M188" s="5"/>
      <c r="N188" s="5"/>
      <c r="O188" s="9"/>
      <c r="P188" s="9"/>
      <c r="Q188" s="9"/>
    </row>
    <row r="189" spans="1:17" x14ac:dyDescent="0.25">
      <c r="A189" s="8">
        <v>45747</v>
      </c>
      <c r="B189" s="3">
        <v>9907</v>
      </c>
      <c r="C189" s="3">
        <v>12104</v>
      </c>
      <c r="D189" s="3" t="s">
        <v>15</v>
      </c>
      <c r="E189" s="3">
        <v>10950</v>
      </c>
      <c r="F189" s="3" t="s">
        <v>204</v>
      </c>
      <c r="G189" s="3" t="s">
        <v>69</v>
      </c>
      <c r="H189" s="3" t="s">
        <v>205</v>
      </c>
      <c r="I189" s="3" t="s">
        <v>173</v>
      </c>
      <c r="J189" s="3" t="s">
        <v>59</v>
      </c>
      <c r="K189" s="4">
        <v>919.85</v>
      </c>
      <c r="L189" s="4">
        <v>-164.5</v>
      </c>
      <c r="M189" s="4">
        <v>0.5</v>
      </c>
      <c r="N189" s="4">
        <v>100</v>
      </c>
      <c r="O189" s="9"/>
      <c r="P189" s="9"/>
      <c r="Q189" s="9"/>
    </row>
    <row r="190" spans="1:17" x14ac:dyDescent="0.25">
      <c r="A190" s="8">
        <v>45747</v>
      </c>
      <c r="B190" s="3" t="s">
        <v>442</v>
      </c>
      <c r="C190" s="3">
        <v>12104</v>
      </c>
      <c r="D190" s="3" t="s">
        <v>15</v>
      </c>
      <c r="E190" s="3">
        <v>24191</v>
      </c>
      <c r="F190" s="3" t="s">
        <v>436</v>
      </c>
      <c r="G190" s="3" t="s">
        <v>69</v>
      </c>
      <c r="H190" s="3" t="s">
        <v>437</v>
      </c>
      <c r="I190" s="3" t="s">
        <v>89</v>
      </c>
      <c r="J190" s="3" t="s">
        <v>59</v>
      </c>
      <c r="K190" s="6">
        <v>5401.62</v>
      </c>
      <c r="L190" s="6">
        <v>16308.43</v>
      </c>
      <c r="M190" s="4">
        <v>1</v>
      </c>
      <c r="N190" s="6">
        <v>2935.52</v>
      </c>
      <c r="O190" s="9"/>
      <c r="P190" s="9"/>
      <c r="Q190" s="9"/>
    </row>
    <row r="191" spans="1:17" x14ac:dyDescent="0.25">
      <c r="A191" s="8">
        <v>45747</v>
      </c>
      <c r="B191" s="3">
        <v>9988</v>
      </c>
      <c r="C191" s="3">
        <v>12104</v>
      </c>
      <c r="D191" s="3" t="s">
        <v>15</v>
      </c>
      <c r="E191" s="3">
        <v>24541</v>
      </c>
      <c r="F191" s="3" t="s">
        <v>104</v>
      </c>
      <c r="G191" s="3" t="s">
        <v>56</v>
      </c>
      <c r="H191" s="3" t="s">
        <v>105</v>
      </c>
      <c r="I191" s="3" t="s">
        <v>106</v>
      </c>
      <c r="J191" s="3" t="s">
        <v>59</v>
      </c>
      <c r="K191" s="4">
        <v>151.06</v>
      </c>
      <c r="L191" s="6">
        <v>-2528.8000000000002</v>
      </c>
      <c r="M191" s="4">
        <v>0.5</v>
      </c>
      <c r="N191" s="4">
        <v>100</v>
      </c>
      <c r="O191" s="9"/>
      <c r="P191" s="9"/>
      <c r="Q191" s="9"/>
    </row>
    <row r="192" spans="1:17" x14ac:dyDescent="0.25">
      <c r="A192" s="8">
        <v>45747</v>
      </c>
      <c r="B192" s="3">
        <v>9918</v>
      </c>
      <c r="C192" s="3">
        <v>12104</v>
      </c>
      <c r="D192" s="3" t="s">
        <v>15</v>
      </c>
      <c r="E192" s="3">
        <v>24469</v>
      </c>
      <c r="F192" s="3" t="s">
        <v>443</v>
      </c>
      <c r="G192" s="3" t="s">
        <v>56</v>
      </c>
      <c r="H192" s="3" t="s">
        <v>444</v>
      </c>
      <c r="I192" s="3" t="s">
        <v>369</v>
      </c>
      <c r="J192" s="3" t="s">
        <v>59</v>
      </c>
      <c r="K192" s="6">
        <v>1528.4</v>
      </c>
      <c r="L192" s="4">
        <v>151.37</v>
      </c>
      <c r="M192" s="4">
        <v>1</v>
      </c>
      <c r="N192" s="4">
        <v>200</v>
      </c>
      <c r="O192" s="9"/>
      <c r="P192" s="9"/>
      <c r="Q192" s="9"/>
    </row>
    <row r="193" spans="1:17" x14ac:dyDescent="0.25">
      <c r="A193" s="8">
        <v>45747</v>
      </c>
      <c r="B193" s="3">
        <v>9918</v>
      </c>
      <c r="C193" s="3">
        <v>12104</v>
      </c>
      <c r="D193" s="3" t="s">
        <v>15</v>
      </c>
      <c r="E193" s="3">
        <v>24469</v>
      </c>
      <c r="F193" s="3" t="s">
        <v>443</v>
      </c>
      <c r="G193" s="3" t="s">
        <v>56</v>
      </c>
      <c r="H193" s="3" t="s">
        <v>445</v>
      </c>
      <c r="I193" s="3" t="s">
        <v>446</v>
      </c>
      <c r="J193" s="3" t="s">
        <v>59</v>
      </c>
      <c r="K193" s="5"/>
      <c r="L193" s="5"/>
      <c r="M193" s="5"/>
      <c r="N193" s="5"/>
      <c r="O193" s="9"/>
      <c r="P193" s="9"/>
      <c r="Q193" s="9"/>
    </row>
    <row r="194" spans="1:17" x14ac:dyDescent="0.25">
      <c r="A194" s="8">
        <v>45747</v>
      </c>
      <c r="B194" s="3">
        <v>9790</v>
      </c>
      <c r="C194" s="3">
        <v>12104</v>
      </c>
      <c r="D194" s="3" t="s">
        <v>15</v>
      </c>
      <c r="E194" s="3">
        <v>24307</v>
      </c>
      <c r="F194" s="3" t="s">
        <v>447</v>
      </c>
      <c r="G194" s="3" t="s">
        <v>108</v>
      </c>
      <c r="H194" s="10" t="s">
        <v>448</v>
      </c>
      <c r="I194" s="3" t="s">
        <v>449</v>
      </c>
      <c r="J194" s="3" t="s">
        <v>86</v>
      </c>
      <c r="K194" s="6">
        <v>2599.86</v>
      </c>
      <c r="L194" s="6">
        <v>-3104.42</v>
      </c>
      <c r="M194" s="4">
        <v>1</v>
      </c>
      <c r="N194" s="4">
        <v>200</v>
      </c>
      <c r="O194" s="9"/>
      <c r="P194" s="9"/>
      <c r="Q194" s="9"/>
    </row>
    <row r="195" spans="1:17" x14ac:dyDescent="0.25">
      <c r="A195" s="8">
        <v>45747</v>
      </c>
      <c r="B195" s="3">
        <v>9790</v>
      </c>
      <c r="C195" s="3">
        <v>12104</v>
      </c>
      <c r="D195" s="3" t="s">
        <v>15</v>
      </c>
      <c r="E195" s="3">
        <v>24307</v>
      </c>
      <c r="F195" s="3" t="s">
        <v>447</v>
      </c>
      <c r="G195" s="3" t="s">
        <v>108</v>
      </c>
      <c r="H195" s="10" t="s">
        <v>450</v>
      </c>
      <c r="I195" s="3" t="s">
        <v>451</v>
      </c>
      <c r="J195" s="3" t="s">
        <v>86</v>
      </c>
      <c r="K195" s="5"/>
      <c r="L195" s="5"/>
      <c r="M195" s="5"/>
      <c r="N195" s="5"/>
      <c r="O195" s="9"/>
      <c r="P195" s="9"/>
      <c r="Q195" s="9"/>
    </row>
    <row r="196" spans="1:17" x14ac:dyDescent="0.25">
      <c r="A196" s="8">
        <v>45726</v>
      </c>
      <c r="B196" s="3">
        <v>9379</v>
      </c>
      <c r="C196" s="3">
        <v>13189</v>
      </c>
      <c r="D196" s="3" t="s">
        <v>16</v>
      </c>
      <c r="E196" s="3">
        <v>23654</v>
      </c>
      <c r="F196" s="3" t="s">
        <v>452</v>
      </c>
      <c r="G196" s="3" t="s">
        <v>56</v>
      </c>
      <c r="H196" s="3" t="s">
        <v>453</v>
      </c>
      <c r="I196" s="3" t="s">
        <v>454</v>
      </c>
      <c r="J196" s="3" t="s">
        <v>59</v>
      </c>
      <c r="K196" s="6">
        <v>1678</v>
      </c>
      <c r="L196" s="6">
        <v>3839.09</v>
      </c>
      <c r="M196" s="4">
        <v>1</v>
      </c>
      <c r="N196" s="4">
        <v>691.04</v>
      </c>
      <c r="O196" s="9"/>
      <c r="P196" s="9"/>
      <c r="Q196" s="9"/>
    </row>
    <row r="197" spans="1:17" x14ac:dyDescent="0.25">
      <c r="A197" s="8">
        <v>45726</v>
      </c>
      <c r="B197" s="3">
        <v>9379</v>
      </c>
      <c r="C197" s="3">
        <v>13189</v>
      </c>
      <c r="D197" s="3" t="s">
        <v>16</v>
      </c>
      <c r="E197" s="3">
        <v>23654</v>
      </c>
      <c r="F197" s="3" t="s">
        <v>452</v>
      </c>
      <c r="G197" s="3" t="s">
        <v>56</v>
      </c>
      <c r="H197" s="3" t="s">
        <v>455</v>
      </c>
      <c r="I197" s="3" t="s">
        <v>285</v>
      </c>
      <c r="J197" s="3" t="s">
        <v>59</v>
      </c>
      <c r="K197" s="5"/>
      <c r="L197" s="5"/>
      <c r="M197" s="5"/>
      <c r="N197" s="5"/>
      <c r="O197" s="9"/>
      <c r="P197" s="9"/>
      <c r="Q197" s="9"/>
    </row>
    <row r="198" spans="1:17" x14ac:dyDescent="0.25">
      <c r="A198" s="8">
        <v>45729</v>
      </c>
      <c r="B198" s="3" t="s">
        <v>456</v>
      </c>
      <c r="C198" s="3">
        <v>13189</v>
      </c>
      <c r="D198" s="3" t="s">
        <v>16</v>
      </c>
      <c r="E198" s="3">
        <v>22820</v>
      </c>
      <c r="F198" s="3" t="s">
        <v>457</v>
      </c>
      <c r="G198" s="3" t="s">
        <v>69</v>
      </c>
      <c r="H198" s="3" t="s">
        <v>458</v>
      </c>
      <c r="I198" s="3" t="s">
        <v>459</v>
      </c>
      <c r="J198" s="3" t="s">
        <v>59</v>
      </c>
      <c r="K198" s="6">
        <v>-1613</v>
      </c>
      <c r="L198" s="6">
        <v>-2405.81</v>
      </c>
      <c r="M198" s="4">
        <v>-1</v>
      </c>
      <c r="N198" s="4">
        <v>-433.05</v>
      </c>
      <c r="O198" s="9"/>
      <c r="P198" s="9"/>
      <c r="Q198" s="9"/>
    </row>
    <row r="199" spans="1:17" x14ac:dyDescent="0.25">
      <c r="A199" s="8">
        <v>45729</v>
      </c>
      <c r="B199" s="3" t="s">
        <v>460</v>
      </c>
      <c r="C199" s="3">
        <v>13189</v>
      </c>
      <c r="D199" s="3" t="s">
        <v>16</v>
      </c>
      <c r="E199" s="3">
        <v>22820</v>
      </c>
      <c r="F199" s="3" t="s">
        <v>457</v>
      </c>
      <c r="G199" s="3" t="s">
        <v>69</v>
      </c>
      <c r="H199" s="3" t="s">
        <v>458</v>
      </c>
      <c r="I199" s="3" t="s">
        <v>459</v>
      </c>
      <c r="J199" s="3" t="s">
        <v>59</v>
      </c>
      <c r="K199" s="6">
        <v>1613</v>
      </c>
      <c r="L199" s="6">
        <v>2405.81</v>
      </c>
      <c r="M199" s="4">
        <v>1</v>
      </c>
      <c r="N199" s="4">
        <v>433.05</v>
      </c>
      <c r="O199" s="9"/>
      <c r="P199" s="9"/>
      <c r="Q199" s="9"/>
    </row>
    <row r="200" spans="1:17" x14ac:dyDescent="0.25">
      <c r="A200" s="8">
        <v>45730</v>
      </c>
      <c r="B200" s="3">
        <v>9508</v>
      </c>
      <c r="C200" s="3">
        <v>13189</v>
      </c>
      <c r="D200" s="3" t="s">
        <v>16</v>
      </c>
      <c r="E200" s="3">
        <v>23872</v>
      </c>
      <c r="F200" s="3" t="s">
        <v>461</v>
      </c>
      <c r="G200" s="3" t="s">
        <v>56</v>
      </c>
      <c r="H200" s="3" t="s">
        <v>462</v>
      </c>
      <c r="I200" s="3" t="s">
        <v>463</v>
      </c>
      <c r="J200" s="3" t="s">
        <v>59</v>
      </c>
      <c r="K200" s="6">
        <v>3121.84</v>
      </c>
      <c r="L200" s="4">
        <v>808</v>
      </c>
      <c r="M200" s="4">
        <v>1</v>
      </c>
      <c r="N200" s="4">
        <v>200</v>
      </c>
      <c r="O200" s="9"/>
      <c r="P200" s="9"/>
      <c r="Q200" s="9"/>
    </row>
    <row r="201" spans="1:17" x14ac:dyDescent="0.25">
      <c r="A201" s="8">
        <v>45741</v>
      </c>
      <c r="B201" s="3">
        <v>9564</v>
      </c>
      <c r="C201" s="3">
        <v>13189</v>
      </c>
      <c r="D201" s="3" t="s">
        <v>16</v>
      </c>
      <c r="E201" s="3">
        <v>266917</v>
      </c>
      <c r="F201" s="3" t="s">
        <v>464</v>
      </c>
      <c r="G201" s="3" t="s">
        <v>56</v>
      </c>
      <c r="H201" s="3" t="s">
        <v>465</v>
      </c>
      <c r="I201" s="3" t="s">
        <v>166</v>
      </c>
      <c r="J201" s="3" t="s">
        <v>59</v>
      </c>
      <c r="K201" s="6">
        <v>1654</v>
      </c>
      <c r="L201" s="4">
        <v>-798.32</v>
      </c>
      <c r="M201" s="4">
        <v>1</v>
      </c>
      <c r="N201" s="4">
        <v>200</v>
      </c>
      <c r="O201" s="9"/>
      <c r="P201" s="9"/>
      <c r="Q201" s="9"/>
    </row>
    <row r="202" spans="1:17" x14ac:dyDescent="0.25">
      <c r="A202" s="8">
        <v>45747</v>
      </c>
      <c r="B202" s="3">
        <v>9982</v>
      </c>
      <c r="C202" s="3">
        <v>13189</v>
      </c>
      <c r="D202" s="3" t="s">
        <v>16</v>
      </c>
      <c r="E202" s="3">
        <v>259086</v>
      </c>
      <c r="F202" s="3" t="s">
        <v>466</v>
      </c>
      <c r="G202" s="3" t="s">
        <v>63</v>
      </c>
      <c r="H202" s="3" t="s">
        <v>467</v>
      </c>
      <c r="I202" s="3" t="s">
        <v>118</v>
      </c>
      <c r="J202" s="3" t="s">
        <v>59</v>
      </c>
      <c r="K202" s="6">
        <v>3172.75</v>
      </c>
      <c r="L202" s="6">
        <v>1354.6</v>
      </c>
      <c r="M202" s="4">
        <v>1</v>
      </c>
      <c r="N202" s="4">
        <v>243.83</v>
      </c>
      <c r="O202" s="9"/>
      <c r="P202" s="9"/>
      <c r="Q202" s="9"/>
    </row>
    <row r="203" spans="1:17" x14ac:dyDescent="0.25">
      <c r="A203" s="8">
        <v>45747</v>
      </c>
      <c r="B203" s="3">
        <v>9787</v>
      </c>
      <c r="C203" s="3">
        <v>13189</v>
      </c>
      <c r="D203" s="3" t="s">
        <v>16</v>
      </c>
      <c r="E203" s="3">
        <v>24301</v>
      </c>
      <c r="F203" s="3" t="s">
        <v>468</v>
      </c>
      <c r="G203" s="3" t="s">
        <v>56</v>
      </c>
      <c r="H203" s="3" t="s">
        <v>469</v>
      </c>
      <c r="I203" s="3" t="s">
        <v>71</v>
      </c>
      <c r="J203" s="3" t="s">
        <v>59</v>
      </c>
      <c r="K203" s="6">
        <v>1162</v>
      </c>
      <c r="L203" s="6">
        <v>2355.71</v>
      </c>
      <c r="M203" s="4">
        <v>1</v>
      </c>
      <c r="N203" s="4">
        <v>424.03</v>
      </c>
      <c r="O203" s="9"/>
      <c r="P203" s="9"/>
      <c r="Q203" s="9"/>
    </row>
    <row r="204" spans="1:17" x14ac:dyDescent="0.25">
      <c r="A204" s="8">
        <v>45747</v>
      </c>
      <c r="B204" s="3">
        <v>9929</v>
      </c>
      <c r="C204" s="3">
        <v>13189</v>
      </c>
      <c r="D204" s="3" t="s">
        <v>16</v>
      </c>
      <c r="E204" s="3">
        <v>24478</v>
      </c>
      <c r="F204" s="3" t="s">
        <v>470</v>
      </c>
      <c r="G204" s="3" t="s">
        <v>56</v>
      </c>
      <c r="H204" s="3" t="s">
        <v>471</v>
      </c>
      <c r="I204" s="3" t="s">
        <v>67</v>
      </c>
      <c r="J204" s="3" t="s">
        <v>59</v>
      </c>
      <c r="K204" s="4">
        <v>654</v>
      </c>
      <c r="L204" s="4">
        <v>-296.10000000000002</v>
      </c>
      <c r="M204" s="4">
        <v>1</v>
      </c>
      <c r="N204" s="4">
        <v>200</v>
      </c>
      <c r="O204" s="9"/>
      <c r="P204" s="9"/>
      <c r="Q204" s="9"/>
    </row>
    <row r="205" spans="1:17" x14ac:dyDescent="0.25">
      <c r="A205" s="8">
        <v>45747</v>
      </c>
      <c r="B205" s="3">
        <v>9969</v>
      </c>
      <c r="C205" s="3">
        <v>13189</v>
      </c>
      <c r="D205" s="3" t="s">
        <v>16</v>
      </c>
      <c r="E205" s="3">
        <v>210260</v>
      </c>
      <c r="F205" s="3" t="s">
        <v>472</v>
      </c>
      <c r="G205" s="3" t="s">
        <v>56</v>
      </c>
      <c r="H205" s="3" t="s">
        <v>473</v>
      </c>
      <c r="I205" s="3" t="s">
        <v>89</v>
      </c>
      <c r="J205" s="3" t="s">
        <v>59</v>
      </c>
      <c r="K205" s="4">
        <v>69.5</v>
      </c>
      <c r="L205" s="6">
        <v>-1360.51</v>
      </c>
      <c r="M205" s="4">
        <v>0.5</v>
      </c>
      <c r="N205" s="4">
        <v>100</v>
      </c>
      <c r="O205" s="9"/>
      <c r="P205" s="9"/>
      <c r="Q205" s="9"/>
    </row>
    <row r="206" spans="1:17" x14ac:dyDescent="0.25">
      <c r="A206" s="8">
        <v>45747</v>
      </c>
      <c r="B206" s="3">
        <v>9969</v>
      </c>
      <c r="C206" s="3">
        <v>13189</v>
      </c>
      <c r="D206" s="3" t="s">
        <v>16</v>
      </c>
      <c r="E206" s="3">
        <v>210260</v>
      </c>
      <c r="F206" s="3" t="s">
        <v>472</v>
      </c>
      <c r="G206" s="3" t="s">
        <v>56</v>
      </c>
      <c r="H206" s="3" t="s">
        <v>474</v>
      </c>
      <c r="I206" s="3" t="s">
        <v>475</v>
      </c>
      <c r="J206" s="3" t="s">
        <v>59</v>
      </c>
      <c r="K206" s="5"/>
      <c r="L206" s="5"/>
      <c r="M206" s="5"/>
      <c r="N206" s="5"/>
      <c r="O206" s="9"/>
      <c r="P206" s="9"/>
      <c r="Q206" s="9"/>
    </row>
    <row r="207" spans="1:17" x14ac:dyDescent="0.25">
      <c r="A207" s="8">
        <v>45747</v>
      </c>
      <c r="B207" s="3">
        <v>9869</v>
      </c>
      <c r="C207" s="3">
        <v>13189</v>
      </c>
      <c r="D207" s="3" t="s">
        <v>16</v>
      </c>
      <c r="E207" s="3">
        <v>24414</v>
      </c>
      <c r="F207" s="3" t="s">
        <v>476</v>
      </c>
      <c r="G207" s="3" t="s">
        <v>108</v>
      </c>
      <c r="H207" s="3" t="s">
        <v>477</v>
      </c>
      <c r="I207" s="3" t="s">
        <v>478</v>
      </c>
      <c r="J207" s="3" t="s">
        <v>86</v>
      </c>
      <c r="K207" s="6">
        <v>3933.56</v>
      </c>
      <c r="L207" s="6">
        <v>-1679.05</v>
      </c>
      <c r="M207" s="4">
        <v>1</v>
      </c>
      <c r="N207" s="4">
        <v>200</v>
      </c>
      <c r="O207" s="9"/>
      <c r="P207" s="9"/>
      <c r="Q207" s="9"/>
    </row>
    <row r="208" spans="1:17" x14ac:dyDescent="0.25">
      <c r="A208" s="8">
        <v>45727</v>
      </c>
      <c r="B208" s="3">
        <v>9300</v>
      </c>
      <c r="C208" s="3">
        <v>14383</v>
      </c>
      <c r="D208" s="3" t="s">
        <v>17</v>
      </c>
      <c r="E208" s="3">
        <v>16060</v>
      </c>
      <c r="F208" s="3" t="s">
        <v>479</v>
      </c>
      <c r="G208" s="3" t="s">
        <v>69</v>
      </c>
      <c r="H208" s="3" t="s">
        <v>480</v>
      </c>
      <c r="I208" s="3" t="s">
        <v>481</v>
      </c>
      <c r="J208" s="3" t="s">
        <v>59</v>
      </c>
      <c r="K208" s="6">
        <v>1235</v>
      </c>
      <c r="L208" s="6">
        <v>6335.46</v>
      </c>
      <c r="M208" s="4">
        <v>1</v>
      </c>
      <c r="N208" s="6">
        <v>1140.3800000000001</v>
      </c>
      <c r="O208" s="9"/>
      <c r="P208" s="9"/>
      <c r="Q208" s="9"/>
    </row>
    <row r="209" spans="1:17" x14ac:dyDescent="0.25">
      <c r="A209" s="8">
        <v>45727</v>
      </c>
      <c r="B209" s="3">
        <v>9445</v>
      </c>
      <c r="C209" s="3">
        <v>14383</v>
      </c>
      <c r="D209" s="3" t="s">
        <v>17</v>
      </c>
      <c r="E209" s="3">
        <v>23785</v>
      </c>
      <c r="F209" s="3" t="s">
        <v>482</v>
      </c>
      <c r="G209" s="3" t="s">
        <v>56</v>
      </c>
      <c r="H209" s="3" t="s">
        <v>483</v>
      </c>
      <c r="I209" s="3" t="s">
        <v>166</v>
      </c>
      <c r="J209" s="3" t="s">
        <v>59</v>
      </c>
      <c r="K209" s="4">
        <v>562</v>
      </c>
      <c r="L209" s="4">
        <v>-220.59</v>
      </c>
      <c r="M209" s="4">
        <v>1</v>
      </c>
      <c r="N209" s="4">
        <v>200</v>
      </c>
      <c r="O209" s="9"/>
      <c r="P209" s="9"/>
      <c r="Q209" s="9"/>
    </row>
    <row r="210" spans="1:17" x14ac:dyDescent="0.25">
      <c r="A210" s="8">
        <v>45727</v>
      </c>
      <c r="B210" s="3">
        <v>9445</v>
      </c>
      <c r="C210" s="3">
        <v>14383</v>
      </c>
      <c r="D210" s="3" t="s">
        <v>17</v>
      </c>
      <c r="E210" s="3">
        <v>23785</v>
      </c>
      <c r="F210" s="3" t="s">
        <v>482</v>
      </c>
      <c r="G210" s="3" t="s">
        <v>56</v>
      </c>
      <c r="H210" s="3" t="s">
        <v>477</v>
      </c>
      <c r="I210" s="3" t="s">
        <v>478</v>
      </c>
      <c r="J210" s="3" t="s">
        <v>59</v>
      </c>
      <c r="K210" s="5"/>
      <c r="L210" s="5"/>
      <c r="M210" s="5"/>
      <c r="N210" s="5"/>
      <c r="O210" s="9"/>
      <c r="P210" s="9"/>
      <c r="Q210" s="9"/>
    </row>
    <row r="211" spans="1:17" x14ac:dyDescent="0.25">
      <c r="A211" s="8">
        <v>45728</v>
      </c>
      <c r="B211" s="3">
        <v>9434</v>
      </c>
      <c r="C211" s="3">
        <v>14383</v>
      </c>
      <c r="D211" s="3" t="s">
        <v>17</v>
      </c>
      <c r="E211" s="3">
        <v>23752</v>
      </c>
      <c r="F211" s="3" t="s">
        <v>484</v>
      </c>
      <c r="G211" s="3" t="s">
        <v>69</v>
      </c>
      <c r="H211" s="3" t="s">
        <v>485</v>
      </c>
      <c r="I211" s="3" t="s">
        <v>274</v>
      </c>
      <c r="J211" s="3" t="s">
        <v>59</v>
      </c>
      <c r="K211" s="6">
        <v>2112.16</v>
      </c>
      <c r="L211" s="6">
        <v>7359.64</v>
      </c>
      <c r="M211" s="4">
        <v>1</v>
      </c>
      <c r="N211" s="6">
        <v>1324.74</v>
      </c>
      <c r="O211" s="9"/>
      <c r="P211" s="9"/>
      <c r="Q211" s="9"/>
    </row>
    <row r="212" spans="1:17" x14ac:dyDescent="0.25">
      <c r="A212" s="8">
        <v>45730</v>
      </c>
      <c r="B212" s="3">
        <v>9518</v>
      </c>
      <c r="C212" s="3">
        <v>14383</v>
      </c>
      <c r="D212" s="3" t="s">
        <v>17</v>
      </c>
      <c r="E212" s="3">
        <v>283417</v>
      </c>
      <c r="F212" s="3" t="s">
        <v>486</v>
      </c>
      <c r="G212" s="3" t="s">
        <v>69</v>
      </c>
      <c r="H212" s="3" t="s">
        <v>487</v>
      </c>
      <c r="I212" s="3" t="s">
        <v>58</v>
      </c>
      <c r="J212" s="3" t="s">
        <v>59</v>
      </c>
      <c r="K212" s="6">
        <v>3603.02</v>
      </c>
      <c r="L212" s="6">
        <v>-2426</v>
      </c>
      <c r="M212" s="4">
        <v>0.5</v>
      </c>
      <c r="N212" s="4">
        <v>100</v>
      </c>
      <c r="O212" s="9"/>
      <c r="P212" s="9"/>
      <c r="Q212" s="9"/>
    </row>
    <row r="213" spans="1:17" x14ac:dyDescent="0.25">
      <c r="A213" s="8">
        <v>45730</v>
      </c>
      <c r="B213" s="3">
        <v>9518</v>
      </c>
      <c r="C213" s="3">
        <v>14383</v>
      </c>
      <c r="D213" s="3" t="s">
        <v>17</v>
      </c>
      <c r="E213" s="3">
        <v>283417</v>
      </c>
      <c r="F213" s="3" t="s">
        <v>486</v>
      </c>
      <c r="G213" s="3" t="s">
        <v>69</v>
      </c>
      <c r="H213" s="3" t="s">
        <v>488</v>
      </c>
      <c r="I213" s="3" t="s">
        <v>478</v>
      </c>
      <c r="J213" s="3" t="s">
        <v>59</v>
      </c>
      <c r="K213" s="5"/>
      <c r="L213" s="5"/>
      <c r="M213" s="5"/>
      <c r="N213" s="5"/>
      <c r="O213" s="9"/>
      <c r="P213" s="9"/>
      <c r="Q213" s="9"/>
    </row>
    <row r="214" spans="1:17" x14ac:dyDescent="0.25">
      <c r="A214" s="8">
        <v>45733</v>
      </c>
      <c r="B214" s="3">
        <v>9477</v>
      </c>
      <c r="C214" s="3">
        <v>14383</v>
      </c>
      <c r="D214" s="3" t="s">
        <v>17</v>
      </c>
      <c r="E214" s="3">
        <v>276284</v>
      </c>
      <c r="F214" s="3" t="s">
        <v>489</v>
      </c>
      <c r="G214" s="3" t="s">
        <v>56</v>
      </c>
      <c r="H214" s="3" t="s">
        <v>490</v>
      </c>
      <c r="I214" s="3" t="s">
        <v>491</v>
      </c>
      <c r="J214" s="3" t="s">
        <v>59</v>
      </c>
      <c r="K214" s="4">
        <v>865</v>
      </c>
      <c r="L214" s="6">
        <v>2774</v>
      </c>
      <c r="M214" s="4">
        <v>1</v>
      </c>
      <c r="N214" s="4">
        <v>499.32</v>
      </c>
      <c r="O214" s="9"/>
      <c r="P214" s="9"/>
      <c r="Q214" s="9"/>
    </row>
    <row r="215" spans="1:17" x14ac:dyDescent="0.25">
      <c r="A215" s="8">
        <v>45733</v>
      </c>
      <c r="B215" s="3">
        <v>9477</v>
      </c>
      <c r="C215" s="3">
        <v>14383</v>
      </c>
      <c r="D215" s="3" t="s">
        <v>17</v>
      </c>
      <c r="E215" s="3">
        <v>276284</v>
      </c>
      <c r="F215" s="3" t="s">
        <v>489</v>
      </c>
      <c r="G215" s="3" t="s">
        <v>56</v>
      </c>
      <c r="H215" s="3" t="s">
        <v>492</v>
      </c>
      <c r="I215" s="3" t="s">
        <v>493</v>
      </c>
      <c r="J215" s="3" t="s">
        <v>59</v>
      </c>
      <c r="K215" s="5"/>
      <c r="L215" s="5"/>
      <c r="M215" s="5"/>
      <c r="N215" s="5"/>
      <c r="O215" s="9"/>
      <c r="P215" s="9"/>
      <c r="Q215" s="9"/>
    </row>
    <row r="216" spans="1:17" x14ac:dyDescent="0.25">
      <c r="A216" s="8">
        <v>45735</v>
      </c>
      <c r="B216" s="3">
        <v>9596</v>
      </c>
      <c r="C216" s="3">
        <v>14383</v>
      </c>
      <c r="D216" s="3" t="s">
        <v>17</v>
      </c>
      <c r="E216" s="3">
        <v>289658</v>
      </c>
      <c r="F216" s="3" t="s">
        <v>494</v>
      </c>
      <c r="G216" s="3" t="s">
        <v>69</v>
      </c>
      <c r="H216" s="3" t="s">
        <v>495</v>
      </c>
      <c r="I216" s="3" t="s">
        <v>259</v>
      </c>
      <c r="J216" s="3" t="s">
        <v>59</v>
      </c>
      <c r="K216" s="6">
        <v>3469.75</v>
      </c>
      <c r="L216" s="4">
        <v>176.53</v>
      </c>
      <c r="M216" s="4">
        <v>1</v>
      </c>
      <c r="N216" s="4">
        <v>200</v>
      </c>
      <c r="O216" s="9"/>
      <c r="P216" s="9"/>
      <c r="Q216" s="9"/>
    </row>
    <row r="217" spans="1:17" x14ac:dyDescent="0.25">
      <c r="A217" s="8">
        <v>45735</v>
      </c>
      <c r="B217" s="3">
        <v>9596</v>
      </c>
      <c r="C217" s="3">
        <v>14383</v>
      </c>
      <c r="D217" s="3" t="s">
        <v>17</v>
      </c>
      <c r="E217" s="3">
        <v>289658</v>
      </c>
      <c r="F217" s="3" t="s">
        <v>494</v>
      </c>
      <c r="G217" s="3" t="s">
        <v>69</v>
      </c>
      <c r="H217" s="3" t="s">
        <v>496</v>
      </c>
      <c r="I217" s="3" t="s">
        <v>497</v>
      </c>
      <c r="J217" s="3" t="s">
        <v>59</v>
      </c>
      <c r="K217" s="5"/>
      <c r="L217" s="5"/>
      <c r="M217" s="5"/>
      <c r="N217" s="5"/>
      <c r="O217" s="9"/>
      <c r="P217" s="9"/>
      <c r="Q217" s="9"/>
    </row>
    <row r="218" spans="1:17" x14ac:dyDescent="0.25">
      <c r="A218" s="8">
        <v>45735</v>
      </c>
      <c r="B218" s="3">
        <v>9423</v>
      </c>
      <c r="C218" s="3">
        <v>14383</v>
      </c>
      <c r="D218" s="3" t="s">
        <v>17</v>
      </c>
      <c r="E218" s="3">
        <v>23736</v>
      </c>
      <c r="F218" s="3" t="s">
        <v>498</v>
      </c>
      <c r="G218" s="3" t="s">
        <v>56</v>
      </c>
      <c r="H218" s="3" t="s">
        <v>499</v>
      </c>
      <c r="I218" s="3" t="s">
        <v>71</v>
      </c>
      <c r="J218" s="3" t="s">
        <v>59</v>
      </c>
      <c r="K218" s="4">
        <v>656.04</v>
      </c>
      <c r="L218" s="6">
        <v>-5578.36</v>
      </c>
      <c r="M218" s="4">
        <v>1</v>
      </c>
      <c r="N218" s="4">
        <v>200</v>
      </c>
      <c r="O218" s="9"/>
      <c r="P218" s="9"/>
      <c r="Q218" s="9"/>
    </row>
    <row r="219" spans="1:17" x14ac:dyDescent="0.25">
      <c r="A219" s="8">
        <v>45736</v>
      </c>
      <c r="B219" s="3">
        <v>9625</v>
      </c>
      <c r="C219" s="3">
        <v>14383</v>
      </c>
      <c r="D219" s="3" t="s">
        <v>17</v>
      </c>
      <c r="E219" s="3">
        <v>24071</v>
      </c>
      <c r="F219" s="3" t="s">
        <v>500</v>
      </c>
      <c r="G219" s="3" t="s">
        <v>69</v>
      </c>
      <c r="H219" s="3" t="s">
        <v>501</v>
      </c>
      <c r="I219" s="3" t="s">
        <v>89</v>
      </c>
      <c r="J219" s="3" t="s">
        <v>59</v>
      </c>
      <c r="K219" s="6">
        <v>7815.18</v>
      </c>
      <c r="L219" s="6">
        <v>11239.39</v>
      </c>
      <c r="M219" s="4">
        <v>1</v>
      </c>
      <c r="N219" s="6">
        <v>2023.09</v>
      </c>
      <c r="O219" s="9"/>
      <c r="P219" s="9"/>
      <c r="Q219" s="9"/>
    </row>
    <row r="220" spans="1:17" x14ac:dyDescent="0.25">
      <c r="A220" s="8">
        <v>45741</v>
      </c>
      <c r="B220" s="3">
        <v>9618</v>
      </c>
      <c r="C220" s="3">
        <v>14383</v>
      </c>
      <c r="D220" s="3" t="s">
        <v>17</v>
      </c>
      <c r="E220" s="3">
        <v>24048</v>
      </c>
      <c r="F220" s="3" t="s">
        <v>502</v>
      </c>
      <c r="G220" s="3" t="s">
        <v>69</v>
      </c>
      <c r="H220" s="3" t="s">
        <v>503</v>
      </c>
      <c r="I220" s="3" t="s">
        <v>188</v>
      </c>
      <c r="J220" s="3" t="s">
        <v>59</v>
      </c>
      <c r="K220" s="6">
        <v>6537.3</v>
      </c>
      <c r="L220" s="6">
        <v>3737.93</v>
      </c>
      <c r="M220" s="4">
        <v>1</v>
      </c>
      <c r="N220" s="4">
        <v>672.83</v>
      </c>
      <c r="O220" s="9"/>
      <c r="P220" s="9"/>
      <c r="Q220" s="9"/>
    </row>
    <row r="221" spans="1:17" x14ac:dyDescent="0.25">
      <c r="A221" s="8">
        <v>45741</v>
      </c>
      <c r="B221" s="3">
        <v>9646</v>
      </c>
      <c r="C221" s="3">
        <v>14383</v>
      </c>
      <c r="D221" s="3" t="s">
        <v>17</v>
      </c>
      <c r="E221" s="3">
        <v>265359</v>
      </c>
      <c r="F221" s="3" t="s">
        <v>504</v>
      </c>
      <c r="G221" s="3" t="s">
        <v>56</v>
      </c>
      <c r="H221" s="3" t="s">
        <v>505</v>
      </c>
      <c r="I221" s="3" t="s">
        <v>210</v>
      </c>
      <c r="J221" s="3" t="s">
        <v>59</v>
      </c>
      <c r="K221" s="6">
        <v>2350.2399999999998</v>
      </c>
      <c r="L221" s="6">
        <v>6988.08</v>
      </c>
      <c r="M221" s="4">
        <v>1</v>
      </c>
      <c r="N221" s="6">
        <v>1257.8499999999999</v>
      </c>
      <c r="O221" s="9"/>
      <c r="P221" s="9"/>
      <c r="Q221" s="9"/>
    </row>
    <row r="222" spans="1:17" x14ac:dyDescent="0.25">
      <c r="A222" s="8">
        <v>45741</v>
      </c>
      <c r="B222" s="3">
        <v>9646</v>
      </c>
      <c r="C222" s="3">
        <v>14383</v>
      </c>
      <c r="D222" s="3" t="s">
        <v>17</v>
      </c>
      <c r="E222" s="3">
        <v>265359</v>
      </c>
      <c r="F222" s="3" t="s">
        <v>504</v>
      </c>
      <c r="G222" s="3" t="s">
        <v>56</v>
      </c>
      <c r="H222" s="3" t="s">
        <v>506</v>
      </c>
      <c r="I222" s="3" t="s">
        <v>507</v>
      </c>
      <c r="J222" s="3" t="s">
        <v>59</v>
      </c>
      <c r="K222" s="5"/>
      <c r="L222" s="5"/>
      <c r="M222" s="5"/>
      <c r="N222" s="5"/>
      <c r="O222" s="9"/>
      <c r="P222" s="9"/>
      <c r="Q222" s="9"/>
    </row>
    <row r="223" spans="1:17" x14ac:dyDescent="0.25">
      <c r="A223" s="8">
        <v>45744</v>
      </c>
      <c r="B223" s="3">
        <v>9735</v>
      </c>
      <c r="C223" s="3">
        <v>14383</v>
      </c>
      <c r="D223" s="3" t="s">
        <v>17</v>
      </c>
      <c r="E223" s="3">
        <v>24252</v>
      </c>
      <c r="F223" s="3" t="s">
        <v>508</v>
      </c>
      <c r="G223" s="3" t="s">
        <v>56</v>
      </c>
      <c r="H223" s="3" t="s">
        <v>509</v>
      </c>
      <c r="I223" s="3" t="s">
        <v>510</v>
      </c>
      <c r="J223" s="3" t="s">
        <v>59</v>
      </c>
      <c r="K223" s="6">
        <v>2861.81</v>
      </c>
      <c r="L223" s="6">
        <v>9030.31</v>
      </c>
      <c r="M223" s="4">
        <v>1</v>
      </c>
      <c r="N223" s="6">
        <v>1625.46</v>
      </c>
      <c r="O223" s="9"/>
      <c r="P223" s="9"/>
      <c r="Q223" s="9"/>
    </row>
    <row r="224" spans="1:17" x14ac:dyDescent="0.25">
      <c r="A224" s="8">
        <v>45747</v>
      </c>
      <c r="B224" s="3">
        <v>9904</v>
      </c>
      <c r="C224" s="3">
        <v>14383</v>
      </c>
      <c r="D224" s="3" t="s">
        <v>17</v>
      </c>
      <c r="E224" s="3">
        <v>24451</v>
      </c>
      <c r="F224" s="3" t="s">
        <v>511</v>
      </c>
      <c r="G224" s="3" t="s">
        <v>69</v>
      </c>
      <c r="H224" s="3" t="s">
        <v>512</v>
      </c>
      <c r="I224" s="3" t="s">
        <v>188</v>
      </c>
      <c r="J224" s="3" t="s">
        <v>59</v>
      </c>
      <c r="K224" s="6">
        <v>11500.8</v>
      </c>
      <c r="L224" s="6">
        <v>9461.09</v>
      </c>
      <c r="M224" s="4">
        <v>1</v>
      </c>
      <c r="N224" s="6">
        <v>1703</v>
      </c>
      <c r="O224" s="9"/>
      <c r="P224" s="9"/>
      <c r="Q224" s="9"/>
    </row>
    <row r="225" spans="1:17" x14ac:dyDescent="0.25">
      <c r="A225" s="8">
        <v>45747</v>
      </c>
      <c r="B225" s="3">
        <v>9904</v>
      </c>
      <c r="C225" s="3">
        <v>14383</v>
      </c>
      <c r="D225" s="3" t="s">
        <v>17</v>
      </c>
      <c r="E225" s="3">
        <v>24451</v>
      </c>
      <c r="F225" s="3" t="s">
        <v>511</v>
      </c>
      <c r="G225" s="3" t="s">
        <v>69</v>
      </c>
      <c r="H225" s="3" t="s">
        <v>513</v>
      </c>
      <c r="I225" s="3" t="s">
        <v>514</v>
      </c>
      <c r="J225" s="3" t="s">
        <v>59</v>
      </c>
      <c r="K225" s="5"/>
      <c r="L225" s="5"/>
      <c r="M225" s="5"/>
      <c r="N225" s="5"/>
      <c r="O225" s="9"/>
      <c r="P225" s="9"/>
      <c r="Q225" s="9"/>
    </row>
    <row r="226" spans="1:17" x14ac:dyDescent="0.25">
      <c r="A226" s="8">
        <v>45747</v>
      </c>
      <c r="B226" s="3">
        <v>9830</v>
      </c>
      <c r="C226" s="3">
        <v>14383</v>
      </c>
      <c r="D226" s="3" t="s">
        <v>17</v>
      </c>
      <c r="E226" s="3">
        <v>24352</v>
      </c>
      <c r="F226" s="3" t="s">
        <v>515</v>
      </c>
      <c r="G226" s="3" t="s">
        <v>56</v>
      </c>
      <c r="H226" s="3" t="s">
        <v>516</v>
      </c>
      <c r="I226" s="3" t="s">
        <v>173</v>
      </c>
      <c r="J226" s="3" t="s">
        <v>59</v>
      </c>
      <c r="K226" s="4">
        <v>0</v>
      </c>
      <c r="L226" s="4">
        <v>0</v>
      </c>
      <c r="M226" s="4">
        <v>0</v>
      </c>
      <c r="N226" s="4">
        <v>0</v>
      </c>
      <c r="O226" s="9"/>
      <c r="P226" s="9"/>
      <c r="Q226" s="9"/>
    </row>
    <row r="227" spans="1:17" x14ac:dyDescent="0.25">
      <c r="A227" s="8">
        <v>45747</v>
      </c>
      <c r="B227" s="3" t="s">
        <v>517</v>
      </c>
      <c r="C227" s="3">
        <v>14383</v>
      </c>
      <c r="D227" s="3" t="s">
        <v>17</v>
      </c>
      <c r="E227" s="3">
        <v>24352</v>
      </c>
      <c r="F227" s="3" t="s">
        <v>515</v>
      </c>
      <c r="G227" s="3" t="s">
        <v>56</v>
      </c>
      <c r="H227" s="3" t="s">
        <v>516</v>
      </c>
      <c r="I227" s="3" t="s">
        <v>173</v>
      </c>
      <c r="J227" s="3" t="s">
        <v>59</v>
      </c>
      <c r="K227" s="6">
        <v>2243.38</v>
      </c>
      <c r="L227" s="4">
        <v>-460</v>
      </c>
      <c r="M227" s="4">
        <v>1</v>
      </c>
      <c r="N227" s="4">
        <v>200</v>
      </c>
      <c r="O227" s="9"/>
      <c r="P227" s="9"/>
      <c r="Q227" s="9"/>
    </row>
    <row r="228" spans="1:17" x14ac:dyDescent="0.25">
      <c r="A228" s="8">
        <v>45747</v>
      </c>
      <c r="B228" s="3">
        <v>9942</v>
      </c>
      <c r="C228" s="3">
        <v>14383</v>
      </c>
      <c r="D228" s="3" t="s">
        <v>17</v>
      </c>
      <c r="E228" s="3">
        <v>24489</v>
      </c>
      <c r="F228" s="3" t="s">
        <v>518</v>
      </c>
      <c r="G228" s="3" t="s">
        <v>56</v>
      </c>
      <c r="H228" s="3">
        <v>5113003</v>
      </c>
      <c r="I228" s="3" t="s">
        <v>519</v>
      </c>
      <c r="J228" s="3" t="s">
        <v>59</v>
      </c>
      <c r="K228" s="4">
        <v>654</v>
      </c>
      <c r="L228" s="6">
        <v>-2685.77</v>
      </c>
      <c r="M228" s="4">
        <v>1</v>
      </c>
      <c r="N228" s="4">
        <v>200</v>
      </c>
      <c r="O228" s="9"/>
      <c r="P228" s="9"/>
      <c r="Q228" s="9"/>
    </row>
    <row r="229" spans="1:17" x14ac:dyDescent="0.25">
      <c r="A229" s="8">
        <v>45747</v>
      </c>
      <c r="B229" s="3">
        <v>9848</v>
      </c>
      <c r="C229" s="3">
        <v>14383</v>
      </c>
      <c r="D229" s="3" t="s">
        <v>17</v>
      </c>
      <c r="E229" s="3">
        <v>20022</v>
      </c>
      <c r="F229" s="3" t="s">
        <v>520</v>
      </c>
      <c r="G229" s="3" t="s">
        <v>108</v>
      </c>
      <c r="H229" s="3" t="s">
        <v>521</v>
      </c>
      <c r="I229" s="3" t="s">
        <v>375</v>
      </c>
      <c r="J229" s="3" t="s">
        <v>86</v>
      </c>
      <c r="K229" s="4">
        <v>0</v>
      </c>
      <c r="L229" s="4">
        <v>0</v>
      </c>
      <c r="M229" s="4">
        <v>0</v>
      </c>
      <c r="N229" s="4">
        <v>0</v>
      </c>
      <c r="O229" s="9"/>
      <c r="P229" s="9"/>
      <c r="Q229" s="9"/>
    </row>
    <row r="230" spans="1:17" x14ac:dyDescent="0.25">
      <c r="A230" s="8">
        <v>45747</v>
      </c>
      <c r="B230" s="3">
        <v>9848</v>
      </c>
      <c r="C230" s="3">
        <v>14383</v>
      </c>
      <c r="D230" s="3" t="s">
        <v>17</v>
      </c>
      <c r="E230" s="3">
        <v>20022</v>
      </c>
      <c r="F230" s="3" t="s">
        <v>520</v>
      </c>
      <c r="G230" s="3" t="s">
        <v>108</v>
      </c>
      <c r="H230" s="3" t="s">
        <v>522</v>
      </c>
      <c r="I230" s="3" t="s">
        <v>523</v>
      </c>
      <c r="J230" s="3" t="s">
        <v>86</v>
      </c>
      <c r="K230" s="5"/>
      <c r="L230" s="5"/>
      <c r="M230" s="5"/>
      <c r="N230" s="5"/>
      <c r="O230" s="9"/>
      <c r="P230" s="9"/>
      <c r="Q230" s="9"/>
    </row>
    <row r="231" spans="1:17" x14ac:dyDescent="0.25">
      <c r="A231" s="8">
        <v>45747</v>
      </c>
      <c r="B231" s="3" t="s">
        <v>524</v>
      </c>
      <c r="C231" s="3">
        <v>14383</v>
      </c>
      <c r="D231" s="3" t="s">
        <v>17</v>
      </c>
      <c r="E231" s="3">
        <v>20022</v>
      </c>
      <c r="F231" s="3" t="s">
        <v>520</v>
      </c>
      <c r="G231" s="3" t="s">
        <v>108</v>
      </c>
      <c r="H231" s="3" t="s">
        <v>521</v>
      </c>
      <c r="I231" s="3" t="s">
        <v>375</v>
      </c>
      <c r="J231" s="3" t="s">
        <v>86</v>
      </c>
      <c r="K231" s="6">
        <v>6508.58</v>
      </c>
      <c r="L231" s="4">
        <v>-613.04</v>
      </c>
      <c r="M231" s="4">
        <v>1</v>
      </c>
      <c r="N231" s="4">
        <v>200</v>
      </c>
      <c r="O231" s="9"/>
      <c r="P231" s="9"/>
      <c r="Q231" s="9"/>
    </row>
    <row r="232" spans="1:17" x14ac:dyDescent="0.25">
      <c r="A232" s="8">
        <v>45747</v>
      </c>
      <c r="B232" s="3" t="s">
        <v>524</v>
      </c>
      <c r="C232" s="3">
        <v>14383</v>
      </c>
      <c r="D232" s="3" t="s">
        <v>17</v>
      </c>
      <c r="E232" s="3">
        <v>20022</v>
      </c>
      <c r="F232" s="3" t="s">
        <v>520</v>
      </c>
      <c r="G232" s="3" t="s">
        <v>108</v>
      </c>
      <c r="H232" s="3" t="s">
        <v>522</v>
      </c>
      <c r="I232" s="3" t="s">
        <v>523</v>
      </c>
      <c r="J232" s="3" t="s">
        <v>86</v>
      </c>
      <c r="K232" s="5"/>
      <c r="L232" s="5"/>
      <c r="M232" s="5"/>
      <c r="N232" s="5"/>
      <c r="O232" s="9"/>
      <c r="P232" s="9"/>
      <c r="Q232" s="9"/>
    </row>
    <row r="233" spans="1:17" x14ac:dyDescent="0.25">
      <c r="A233" s="8">
        <v>45722</v>
      </c>
      <c r="B233" s="3">
        <v>9364</v>
      </c>
      <c r="C233" s="3">
        <v>16210</v>
      </c>
      <c r="D233" s="3" t="s">
        <v>19</v>
      </c>
      <c r="E233" s="3">
        <v>23642</v>
      </c>
      <c r="F233" s="3" t="s">
        <v>525</v>
      </c>
      <c r="G233" s="3" t="s">
        <v>108</v>
      </c>
      <c r="H233" s="3" t="s">
        <v>526</v>
      </c>
      <c r="I233" s="3" t="s">
        <v>527</v>
      </c>
      <c r="J233" s="3" t="s">
        <v>86</v>
      </c>
      <c r="K233" s="6">
        <v>8102.64</v>
      </c>
      <c r="L233" s="6">
        <v>1989.68</v>
      </c>
      <c r="M233" s="4">
        <v>1</v>
      </c>
      <c r="N233" s="4">
        <v>358.14</v>
      </c>
      <c r="O233" s="9"/>
      <c r="P233" s="9"/>
      <c r="Q233" s="9"/>
    </row>
    <row r="234" spans="1:17" x14ac:dyDescent="0.25">
      <c r="A234" s="8">
        <v>45727</v>
      </c>
      <c r="B234" s="3">
        <v>9446</v>
      </c>
      <c r="C234" s="3">
        <v>16210</v>
      </c>
      <c r="D234" s="3" t="s">
        <v>19</v>
      </c>
      <c r="E234" s="3">
        <v>259127</v>
      </c>
      <c r="F234" s="3" t="s">
        <v>528</v>
      </c>
      <c r="G234" s="3" t="s">
        <v>108</v>
      </c>
      <c r="H234" s="3" t="s">
        <v>529</v>
      </c>
      <c r="I234" s="3" t="s">
        <v>530</v>
      </c>
      <c r="J234" s="3" t="s">
        <v>86</v>
      </c>
      <c r="K234" s="6">
        <v>6075.81</v>
      </c>
      <c r="L234" s="4">
        <v>-612.41999999999996</v>
      </c>
      <c r="M234" s="4">
        <v>1</v>
      </c>
      <c r="N234" s="4">
        <v>200</v>
      </c>
      <c r="O234" s="9"/>
      <c r="P234" s="9"/>
      <c r="Q234" s="9"/>
    </row>
    <row r="235" spans="1:17" x14ac:dyDescent="0.25">
      <c r="A235" s="8">
        <v>45727</v>
      </c>
      <c r="B235" s="3">
        <v>9446</v>
      </c>
      <c r="C235" s="3">
        <v>16210</v>
      </c>
      <c r="D235" s="3" t="s">
        <v>19</v>
      </c>
      <c r="E235" s="3">
        <v>259127</v>
      </c>
      <c r="F235" s="3" t="s">
        <v>528</v>
      </c>
      <c r="G235" s="3" t="s">
        <v>108</v>
      </c>
      <c r="H235" s="3" t="s">
        <v>531</v>
      </c>
      <c r="I235" s="3" t="s">
        <v>532</v>
      </c>
      <c r="J235" s="3" t="s">
        <v>86</v>
      </c>
      <c r="K235" s="5"/>
      <c r="L235" s="5"/>
      <c r="M235" s="5"/>
      <c r="N235" s="5"/>
      <c r="O235" s="9"/>
      <c r="P235" s="9"/>
      <c r="Q235" s="9"/>
    </row>
    <row r="236" spans="1:17" x14ac:dyDescent="0.25">
      <c r="A236" s="8">
        <v>45736</v>
      </c>
      <c r="B236" s="3">
        <v>9616</v>
      </c>
      <c r="C236" s="3">
        <v>16210</v>
      </c>
      <c r="D236" s="3" t="s">
        <v>19</v>
      </c>
      <c r="E236" s="3">
        <v>24046</v>
      </c>
      <c r="F236" s="3" t="s">
        <v>533</v>
      </c>
      <c r="G236" s="3" t="s">
        <v>125</v>
      </c>
      <c r="H236" s="3" t="s">
        <v>534</v>
      </c>
      <c r="I236" s="3" t="s">
        <v>535</v>
      </c>
      <c r="J236" s="3" t="s">
        <v>86</v>
      </c>
      <c r="K236" s="4">
        <v>68</v>
      </c>
      <c r="L236" s="6">
        <v>-2100</v>
      </c>
      <c r="M236" s="4">
        <v>1</v>
      </c>
      <c r="N236" s="4">
        <v>200</v>
      </c>
      <c r="O236" s="9"/>
      <c r="P236" s="9"/>
      <c r="Q236" s="9"/>
    </row>
    <row r="237" spans="1:17" x14ac:dyDescent="0.25">
      <c r="A237" s="8">
        <v>45736</v>
      </c>
      <c r="B237" s="3">
        <v>9643</v>
      </c>
      <c r="C237" s="3">
        <v>16210</v>
      </c>
      <c r="D237" s="3" t="s">
        <v>19</v>
      </c>
      <c r="E237" s="3">
        <v>24097</v>
      </c>
      <c r="F237" s="3" t="s">
        <v>536</v>
      </c>
      <c r="G237" s="3" t="s">
        <v>125</v>
      </c>
      <c r="H237" s="3" t="s">
        <v>537</v>
      </c>
      <c r="I237" s="3" t="s">
        <v>538</v>
      </c>
      <c r="J237" s="3" t="s">
        <v>86</v>
      </c>
      <c r="K237" s="4">
        <v>348</v>
      </c>
      <c r="L237" s="4">
        <v>-63.56</v>
      </c>
      <c r="M237" s="4">
        <v>0.5</v>
      </c>
      <c r="N237" s="4">
        <v>100</v>
      </c>
      <c r="O237" s="9"/>
      <c r="P237" s="9"/>
      <c r="Q237" s="9"/>
    </row>
    <row r="238" spans="1:17" x14ac:dyDescent="0.25">
      <c r="A238" s="8">
        <v>45743</v>
      </c>
      <c r="B238" s="3">
        <v>9650</v>
      </c>
      <c r="C238" s="3">
        <v>16210</v>
      </c>
      <c r="D238" s="3" t="s">
        <v>19</v>
      </c>
      <c r="E238" s="3">
        <v>24116</v>
      </c>
      <c r="F238" s="3" t="s">
        <v>539</v>
      </c>
      <c r="G238" s="3" t="s">
        <v>125</v>
      </c>
      <c r="H238" s="3" t="s">
        <v>540</v>
      </c>
      <c r="I238" s="3" t="s">
        <v>541</v>
      </c>
      <c r="J238" s="3" t="s">
        <v>86</v>
      </c>
      <c r="K238" s="4">
        <v>0</v>
      </c>
      <c r="L238" s="6">
        <v>1115.54</v>
      </c>
      <c r="M238" s="4">
        <v>1</v>
      </c>
      <c r="N238" s="4">
        <v>200.8</v>
      </c>
      <c r="O238" s="9"/>
      <c r="P238" s="9"/>
      <c r="Q238" s="9"/>
    </row>
    <row r="239" spans="1:17" x14ac:dyDescent="0.25">
      <c r="A239" s="8">
        <v>45744</v>
      </c>
      <c r="B239" s="3">
        <v>8092</v>
      </c>
      <c r="C239" s="3">
        <v>16210</v>
      </c>
      <c r="D239" s="3" t="s">
        <v>19</v>
      </c>
      <c r="E239" s="3">
        <v>21789</v>
      </c>
      <c r="F239" s="3" t="s">
        <v>542</v>
      </c>
      <c r="G239" s="3" t="s">
        <v>108</v>
      </c>
      <c r="H239" s="3" t="s">
        <v>543</v>
      </c>
      <c r="I239" s="3" t="s">
        <v>544</v>
      </c>
      <c r="J239" s="3" t="s">
        <v>86</v>
      </c>
      <c r="K239" s="4">
        <v>0</v>
      </c>
      <c r="L239" s="4">
        <v>685.91</v>
      </c>
      <c r="M239" s="4">
        <v>-0.5</v>
      </c>
      <c r="N239" s="4">
        <v>-100</v>
      </c>
      <c r="O239" s="9"/>
      <c r="P239" s="9"/>
      <c r="Q239" s="9"/>
    </row>
    <row r="240" spans="1:17" x14ac:dyDescent="0.25">
      <c r="A240" s="8">
        <v>45744</v>
      </c>
      <c r="B240" s="3">
        <v>9706</v>
      </c>
      <c r="C240" s="3">
        <v>16210</v>
      </c>
      <c r="D240" s="3" t="s">
        <v>19</v>
      </c>
      <c r="E240" s="3">
        <v>24227</v>
      </c>
      <c r="F240" s="3" t="s">
        <v>545</v>
      </c>
      <c r="G240" s="3" t="s">
        <v>125</v>
      </c>
      <c r="H240" s="3" t="s">
        <v>546</v>
      </c>
      <c r="I240" s="3" t="s">
        <v>547</v>
      </c>
      <c r="J240" s="3" t="s">
        <v>86</v>
      </c>
      <c r="K240" s="6">
        <v>1749.01</v>
      </c>
      <c r="L240" s="6">
        <v>-1543.92</v>
      </c>
      <c r="M240" s="4">
        <v>1</v>
      </c>
      <c r="N240" s="4">
        <v>200</v>
      </c>
      <c r="O240" s="9"/>
      <c r="P240" s="9"/>
      <c r="Q240" s="9"/>
    </row>
    <row r="241" spans="1:17" x14ac:dyDescent="0.25">
      <c r="A241" s="8">
        <v>45747</v>
      </c>
      <c r="B241" s="3" t="s">
        <v>548</v>
      </c>
      <c r="C241" s="3">
        <v>16210</v>
      </c>
      <c r="D241" s="3" t="s">
        <v>19</v>
      </c>
      <c r="E241" s="3">
        <v>23900</v>
      </c>
      <c r="F241" s="3" t="s">
        <v>549</v>
      </c>
      <c r="G241" s="3" t="s">
        <v>550</v>
      </c>
      <c r="H241" s="3" t="s">
        <v>551</v>
      </c>
      <c r="I241" s="3" t="s">
        <v>552</v>
      </c>
      <c r="J241" s="3" t="s">
        <v>86</v>
      </c>
      <c r="K241" s="6">
        <v>4856.1899999999996</v>
      </c>
      <c r="L241" s="6">
        <v>-1600</v>
      </c>
      <c r="M241" s="4">
        <v>1</v>
      </c>
      <c r="N241" s="4">
        <v>200</v>
      </c>
      <c r="O241" s="9"/>
      <c r="P241" s="9"/>
      <c r="Q241" s="9"/>
    </row>
    <row r="242" spans="1:17" x14ac:dyDescent="0.25">
      <c r="A242" s="8">
        <v>45747</v>
      </c>
      <c r="B242" s="3">
        <v>9750</v>
      </c>
      <c r="C242" s="3">
        <v>16210</v>
      </c>
      <c r="D242" s="3" t="s">
        <v>19</v>
      </c>
      <c r="E242" s="3">
        <v>17739</v>
      </c>
      <c r="F242" s="3" t="s">
        <v>318</v>
      </c>
      <c r="G242" s="3" t="s">
        <v>69</v>
      </c>
      <c r="H242" s="3" t="s">
        <v>319</v>
      </c>
      <c r="I242" s="3" t="s">
        <v>106</v>
      </c>
      <c r="J242" s="3" t="s">
        <v>59</v>
      </c>
      <c r="K242" s="4">
        <v>599.5</v>
      </c>
      <c r="L242" s="6">
        <v>-3041.15</v>
      </c>
      <c r="M242" s="4">
        <v>0.5</v>
      </c>
      <c r="N242" s="4">
        <v>100</v>
      </c>
      <c r="O242" s="9"/>
      <c r="P242" s="9"/>
      <c r="Q242" s="9"/>
    </row>
    <row r="243" spans="1:17" x14ac:dyDescent="0.25">
      <c r="A243" s="8">
        <v>45747</v>
      </c>
      <c r="B243" s="3">
        <v>9750</v>
      </c>
      <c r="C243" s="3">
        <v>16210</v>
      </c>
      <c r="D243" s="3" t="s">
        <v>19</v>
      </c>
      <c r="E243" s="3">
        <v>17739</v>
      </c>
      <c r="F243" s="3" t="s">
        <v>318</v>
      </c>
      <c r="G243" s="3" t="s">
        <v>69</v>
      </c>
      <c r="H243" s="3" t="s">
        <v>320</v>
      </c>
      <c r="I243" s="3" t="s">
        <v>321</v>
      </c>
      <c r="J243" s="3" t="s">
        <v>59</v>
      </c>
      <c r="K243" s="5"/>
      <c r="L243" s="5"/>
      <c r="M243" s="5"/>
      <c r="N243" s="5"/>
      <c r="O243" s="9"/>
      <c r="P243" s="9"/>
      <c r="Q243" s="9"/>
    </row>
    <row r="244" spans="1:17" x14ac:dyDescent="0.25">
      <c r="A244" s="8">
        <v>45747</v>
      </c>
      <c r="B244" s="3">
        <v>9742</v>
      </c>
      <c r="C244" s="3">
        <v>16210</v>
      </c>
      <c r="D244" s="3" t="s">
        <v>19</v>
      </c>
      <c r="E244" s="3">
        <v>279748</v>
      </c>
      <c r="F244" s="3" t="s">
        <v>322</v>
      </c>
      <c r="G244" s="3" t="s">
        <v>69</v>
      </c>
      <c r="H244" s="3" t="s">
        <v>323</v>
      </c>
      <c r="I244" s="3" t="s">
        <v>89</v>
      </c>
      <c r="J244" s="3" t="s">
        <v>59</v>
      </c>
      <c r="K244" s="6">
        <v>3133.46</v>
      </c>
      <c r="L244" s="4">
        <v>908.99</v>
      </c>
      <c r="M244" s="4">
        <v>0.5</v>
      </c>
      <c r="N244" s="4">
        <v>163.62</v>
      </c>
      <c r="O244" s="9"/>
      <c r="P244" s="9"/>
      <c r="Q244" s="9"/>
    </row>
    <row r="245" spans="1:17" x14ac:dyDescent="0.25">
      <c r="A245" s="8">
        <v>45747</v>
      </c>
      <c r="B245" s="3">
        <v>9742</v>
      </c>
      <c r="C245" s="3">
        <v>16210</v>
      </c>
      <c r="D245" s="3" t="s">
        <v>19</v>
      </c>
      <c r="E245" s="3">
        <v>279748</v>
      </c>
      <c r="F245" s="3" t="s">
        <v>322</v>
      </c>
      <c r="G245" s="3" t="s">
        <v>69</v>
      </c>
      <c r="H245" s="3" t="s">
        <v>324</v>
      </c>
      <c r="I245" s="3" t="s">
        <v>218</v>
      </c>
      <c r="J245" s="3" t="s">
        <v>59</v>
      </c>
      <c r="K245" s="5"/>
      <c r="L245" s="5"/>
      <c r="M245" s="5"/>
      <c r="N245" s="5"/>
      <c r="O245" s="9"/>
      <c r="P245" s="9"/>
      <c r="Q245" s="9"/>
    </row>
    <row r="246" spans="1:17" x14ac:dyDescent="0.25">
      <c r="A246" s="8">
        <v>45747</v>
      </c>
      <c r="B246" s="3">
        <v>9798</v>
      </c>
      <c r="C246" s="3">
        <v>16210</v>
      </c>
      <c r="D246" s="3" t="s">
        <v>19</v>
      </c>
      <c r="E246" s="3">
        <v>21789</v>
      </c>
      <c r="F246" s="3" t="s">
        <v>542</v>
      </c>
      <c r="G246" s="3" t="s">
        <v>108</v>
      </c>
      <c r="H246" s="3" t="s">
        <v>543</v>
      </c>
      <c r="I246" s="3" t="s">
        <v>544</v>
      </c>
      <c r="J246" s="3" t="s">
        <v>86</v>
      </c>
      <c r="K246" s="4">
        <v>0</v>
      </c>
      <c r="L246" s="4">
        <v>-685.91</v>
      </c>
      <c r="M246" s="4">
        <v>0.5</v>
      </c>
      <c r="N246" s="4">
        <v>100</v>
      </c>
      <c r="O246" s="9"/>
      <c r="P246" s="9"/>
      <c r="Q246" s="9"/>
    </row>
    <row r="247" spans="1:17" x14ac:dyDescent="0.25">
      <c r="A247" s="8">
        <v>45747</v>
      </c>
      <c r="B247" s="3">
        <v>9665</v>
      </c>
      <c r="C247" s="3">
        <v>16210</v>
      </c>
      <c r="D247" s="3" t="s">
        <v>19</v>
      </c>
      <c r="E247" s="3">
        <v>24151</v>
      </c>
      <c r="F247" s="3" t="s">
        <v>553</v>
      </c>
      <c r="G247" s="3" t="s">
        <v>108</v>
      </c>
      <c r="H247" s="3" t="s">
        <v>554</v>
      </c>
      <c r="I247" s="3" t="s">
        <v>555</v>
      </c>
      <c r="J247" s="3" t="s">
        <v>86</v>
      </c>
      <c r="K247" s="4">
        <v>0</v>
      </c>
      <c r="L247" s="4">
        <v>-503.52</v>
      </c>
      <c r="M247" s="4">
        <v>1</v>
      </c>
      <c r="N247" s="4">
        <v>200</v>
      </c>
      <c r="O247" s="9"/>
      <c r="P247" s="9"/>
      <c r="Q247" s="9"/>
    </row>
    <row r="248" spans="1:17" x14ac:dyDescent="0.25">
      <c r="A248" s="8">
        <v>45747</v>
      </c>
      <c r="B248" s="3">
        <v>9950</v>
      </c>
      <c r="C248" s="3">
        <v>16210</v>
      </c>
      <c r="D248" s="3" t="s">
        <v>19</v>
      </c>
      <c r="E248" s="3">
        <v>24385</v>
      </c>
      <c r="F248" s="3" t="s">
        <v>556</v>
      </c>
      <c r="G248" s="3" t="s">
        <v>108</v>
      </c>
      <c r="H248" s="3" t="s">
        <v>557</v>
      </c>
      <c r="I248" s="3" t="s">
        <v>333</v>
      </c>
      <c r="J248" s="3" t="s">
        <v>86</v>
      </c>
      <c r="K248" s="6">
        <v>3456.19</v>
      </c>
      <c r="L248" s="4">
        <v>288.07</v>
      </c>
      <c r="M248" s="4">
        <v>1</v>
      </c>
      <c r="N248" s="4">
        <v>200</v>
      </c>
      <c r="O248" s="9"/>
      <c r="P248" s="9"/>
      <c r="Q248" s="9"/>
    </row>
    <row r="249" spans="1:17" x14ac:dyDescent="0.25">
      <c r="A249" s="8">
        <v>45747</v>
      </c>
      <c r="B249" s="3">
        <v>9931</v>
      </c>
      <c r="C249" s="3">
        <v>16210</v>
      </c>
      <c r="D249" s="3" t="s">
        <v>19</v>
      </c>
      <c r="E249" s="3">
        <v>24480</v>
      </c>
      <c r="F249" s="3" t="s">
        <v>558</v>
      </c>
      <c r="G249" s="3" t="s">
        <v>125</v>
      </c>
      <c r="H249" s="3">
        <v>107051</v>
      </c>
      <c r="I249" s="3" t="s">
        <v>559</v>
      </c>
      <c r="J249" s="3" t="s">
        <v>86</v>
      </c>
      <c r="K249" s="6">
        <v>1237.96</v>
      </c>
      <c r="L249" s="6">
        <v>-1336.09</v>
      </c>
      <c r="M249" s="4">
        <v>1</v>
      </c>
      <c r="N249" s="4">
        <v>200</v>
      </c>
      <c r="O249" s="9"/>
      <c r="P249" s="9"/>
      <c r="Q249" s="9"/>
    </row>
    <row r="250" spans="1:17" x14ac:dyDescent="0.25">
      <c r="A250" s="8">
        <v>45747</v>
      </c>
      <c r="B250" s="3">
        <v>9941</v>
      </c>
      <c r="C250" s="3">
        <v>16210</v>
      </c>
      <c r="D250" s="3" t="s">
        <v>19</v>
      </c>
      <c r="E250" s="3">
        <v>24488</v>
      </c>
      <c r="F250" s="3" t="s">
        <v>560</v>
      </c>
      <c r="G250" s="3" t="s">
        <v>125</v>
      </c>
      <c r="H250" s="3" t="s">
        <v>561</v>
      </c>
      <c r="I250" s="3" t="s">
        <v>562</v>
      </c>
      <c r="J250" s="3" t="s">
        <v>86</v>
      </c>
      <c r="K250" s="4">
        <v>124.02</v>
      </c>
      <c r="L250" s="4">
        <v>992.27</v>
      </c>
      <c r="M250" s="4">
        <v>0.5</v>
      </c>
      <c r="N250" s="4">
        <v>178.61</v>
      </c>
      <c r="O250" s="9"/>
      <c r="P250" s="9"/>
      <c r="Q250" s="9"/>
    </row>
    <row r="251" spans="1:17" x14ac:dyDescent="0.25">
      <c r="A251" s="8">
        <v>45722</v>
      </c>
      <c r="B251" s="3">
        <v>9349</v>
      </c>
      <c r="C251" s="3">
        <v>16734</v>
      </c>
      <c r="D251" s="3" t="s">
        <v>21</v>
      </c>
      <c r="E251" s="3">
        <v>23595</v>
      </c>
      <c r="F251" s="3" t="s">
        <v>563</v>
      </c>
      <c r="G251" s="3" t="s">
        <v>564</v>
      </c>
      <c r="H251" s="3" t="s">
        <v>565</v>
      </c>
      <c r="I251" s="3" t="s">
        <v>566</v>
      </c>
      <c r="J251" s="3" t="s">
        <v>86</v>
      </c>
      <c r="K251" s="4">
        <v>555.44000000000005</v>
      </c>
      <c r="L251" s="6">
        <v>-2424.06</v>
      </c>
      <c r="M251" s="4">
        <v>1</v>
      </c>
      <c r="N251" s="4">
        <v>200</v>
      </c>
      <c r="O251" s="9"/>
      <c r="P251" s="9"/>
      <c r="Q251" s="9"/>
    </row>
    <row r="252" spans="1:17" x14ac:dyDescent="0.25">
      <c r="A252" s="8">
        <v>45722</v>
      </c>
      <c r="B252" s="3">
        <v>9219</v>
      </c>
      <c r="C252" s="3">
        <v>16734</v>
      </c>
      <c r="D252" s="3" t="s">
        <v>21</v>
      </c>
      <c r="E252" s="3">
        <v>23453</v>
      </c>
      <c r="F252" s="3" t="s">
        <v>567</v>
      </c>
      <c r="G252" s="3" t="s">
        <v>125</v>
      </c>
      <c r="H252" s="3" t="s">
        <v>568</v>
      </c>
      <c r="I252" s="3" t="s">
        <v>569</v>
      </c>
      <c r="J252" s="3" t="s">
        <v>86</v>
      </c>
      <c r="K252" s="4">
        <v>100</v>
      </c>
      <c r="L252" s="6">
        <v>-1328.35</v>
      </c>
      <c r="M252" s="4">
        <v>1</v>
      </c>
      <c r="N252" s="4">
        <v>200</v>
      </c>
      <c r="O252" s="9"/>
      <c r="P252" s="9"/>
      <c r="Q252" s="9"/>
    </row>
    <row r="253" spans="1:17" x14ac:dyDescent="0.25">
      <c r="A253" s="8">
        <v>45723</v>
      </c>
      <c r="B253" s="3">
        <v>9367</v>
      </c>
      <c r="C253" s="3">
        <v>16734</v>
      </c>
      <c r="D253" s="3" t="s">
        <v>21</v>
      </c>
      <c r="E253" s="3">
        <v>23647</v>
      </c>
      <c r="F253" s="3" t="s">
        <v>570</v>
      </c>
      <c r="G253" s="3" t="s">
        <v>108</v>
      </c>
      <c r="H253" s="3" t="s">
        <v>571</v>
      </c>
      <c r="I253" s="3" t="s">
        <v>572</v>
      </c>
      <c r="J253" s="3" t="s">
        <v>86</v>
      </c>
      <c r="K253" s="6">
        <v>1296.81</v>
      </c>
      <c r="L253" s="4">
        <v>-935.42</v>
      </c>
      <c r="M253" s="4">
        <v>0.5</v>
      </c>
      <c r="N253" s="4">
        <v>100</v>
      </c>
      <c r="O253" s="9"/>
      <c r="P253" s="9"/>
      <c r="Q253" s="9"/>
    </row>
    <row r="254" spans="1:17" x14ac:dyDescent="0.25">
      <c r="A254" s="8">
        <v>45728</v>
      </c>
      <c r="B254" s="3">
        <v>9115</v>
      </c>
      <c r="C254" s="3">
        <v>16734</v>
      </c>
      <c r="D254" s="3" t="s">
        <v>21</v>
      </c>
      <c r="E254" s="3">
        <v>23302</v>
      </c>
      <c r="F254" s="3" t="s">
        <v>573</v>
      </c>
      <c r="G254" s="3" t="s">
        <v>125</v>
      </c>
      <c r="H254" s="3" t="s">
        <v>574</v>
      </c>
      <c r="I254" s="3" t="s">
        <v>575</v>
      </c>
      <c r="J254" s="3" t="s">
        <v>86</v>
      </c>
      <c r="K254" s="4">
        <v>0</v>
      </c>
      <c r="L254" s="6">
        <v>-2586.6</v>
      </c>
      <c r="M254" s="4">
        <v>1</v>
      </c>
      <c r="N254" s="4">
        <v>200</v>
      </c>
      <c r="O254" s="11"/>
      <c r="P254" s="11"/>
      <c r="Q254" s="11"/>
    </row>
    <row r="255" spans="1:17" x14ac:dyDescent="0.25">
      <c r="A255" s="8">
        <v>45730</v>
      </c>
      <c r="B255" s="3">
        <v>9514</v>
      </c>
      <c r="C255" s="3">
        <v>16734</v>
      </c>
      <c r="D255" s="3" t="s">
        <v>21</v>
      </c>
      <c r="E255" s="3">
        <v>23912</v>
      </c>
      <c r="F255" s="3" t="s">
        <v>576</v>
      </c>
      <c r="G255" s="3" t="s">
        <v>108</v>
      </c>
      <c r="H255" s="3" t="s">
        <v>577</v>
      </c>
      <c r="I255" s="3" t="s">
        <v>578</v>
      </c>
      <c r="J255" s="3" t="s">
        <v>86</v>
      </c>
      <c r="K255" s="4">
        <v>0</v>
      </c>
      <c r="L255" s="4">
        <v>0</v>
      </c>
      <c r="M255" s="4">
        <v>0</v>
      </c>
      <c r="N255" s="4">
        <v>0</v>
      </c>
      <c r="O255" s="11"/>
      <c r="P255" s="11"/>
      <c r="Q255" s="11"/>
    </row>
    <row r="256" spans="1:17" x14ac:dyDescent="0.25">
      <c r="A256" s="8">
        <v>45730</v>
      </c>
      <c r="B256" s="3">
        <v>9514</v>
      </c>
      <c r="C256" s="3">
        <v>16734</v>
      </c>
      <c r="D256" s="3" t="s">
        <v>21</v>
      </c>
      <c r="E256" s="3">
        <v>23912</v>
      </c>
      <c r="F256" s="3" t="s">
        <v>576</v>
      </c>
      <c r="G256" s="3" t="s">
        <v>108</v>
      </c>
      <c r="H256" s="3" t="s">
        <v>579</v>
      </c>
      <c r="I256" s="3" t="s">
        <v>580</v>
      </c>
      <c r="J256" s="3" t="s">
        <v>86</v>
      </c>
      <c r="K256" s="5"/>
      <c r="L256" s="5"/>
      <c r="M256" s="5"/>
      <c r="N256" s="5"/>
      <c r="O256" s="11"/>
      <c r="P256" s="11"/>
      <c r="Q256" s="11"/>
    </row>
    <row r="257" spans="1:17" x14ac:dyDescent="0.25">
      <c r="A257" s="8">
        <v>45734</v>
      </c>
      <c r="B257" s="3" t="s">
        <v>581</v>
      </c>
      <c r="C257" s="3">
        <v>16734</v>
      </c>
      <c r="D257" s="3" t="s">
        <v>21</v>
      </c>
      <c r="E257" s="3">
        <v>23912</v>
      </c>
      <c r="F257" s="3" t="s">
        <v>576</v>
      </c>
      <c r="G257" s="3" t="s">
        <v>108</v>
      </c>
      <c r="H257" s="3" t="s">
        <v>577</v>
      </c>
      <c r="I257" s="3" t="s">
        <v>578</v>
      </c>
      <c r="J257" s="3" t="s">
        <v>86</v>
      </c>
      <c r="K257" s="6">
        <v>7003.7</v>
      </c>
      <c r="L257" s="6">
        <v>-2015.82</v>
      </c>
      <c r="M257" s="4">
        <v>1</v>
      </c>
      <c r="N257" s="4">
        <v>200</v>
      </c>
      <c r="O257" s="11"/>
      <c r="P257" s="11"/>
      <c r="Q257" s="11"/>
    </row>
    <row r="258" spans="1:17" x14ac:dyDescent="0.25">
      <c r="A258" s="8">
        <v>45734</v>
      </c>
      <c r="B258" s="3" t="s">
        <v>581</v>
      </c>
      <c r="C258" s="3">
        <v>16734</v>
      </c>
      <c r="D258" s="3" t="s">
        <v>21</v>
      </c>
      <c r="E258" s="3">
        <v>23912</v>
      </c>
      <c r="F258" s="3" t="s">
        <v>576</v>
      </c>
      <c r="G258" s="3" t="s">
        <v>108</v>
      </c>
      <c r="H258" s="3" t="s">
        <v>579</v>
      </c>
      <c r="I258" s="3" t="s">
        <v>580</v>
      </c>
      <c r="J258" s="3" t="s">
        <v>86</v>
      </c>
      <c r="K258" s="5"/>
      <c r="L258" s="5"/>
      <c r="M258" s="5"/>
      <c r="N258" s="5"/>
      <c r="O258" s="11"/>
      <c r="P258" s="11"/>
      <c r="Q258" s="11"/>
    </row>
    <row r="259" spans="1:17" x14ac:dyDescent="0.25">
      <c r="A259" s="8">
        <v>45734</v>
      </c>
      <c r="B259" s="3">
        <v>9436</v>
      </c>
      <c r="C259" s="3">
        <v>16734</v>
      </c>
      <c r="D259" s="3" t="s">
        <v>21</v>
      </c>
      <c r="E259" s="3">
        <v>23760</v>
      </c>
      <c r="F259" s="3" t="s">
        <v>582</v>
      </c>
      <c r="G259" s="3" t="s">
        <v>108</v>
      </c>
      <c r="H259" s="3" t="s">
        <v>583</v>
      </c>
      <c r="I259" s="3" t="s">
        <v>584</v>
      </c>
      <c r="J259" s="3" t="s">
        <v>86</v>
      </c>
      <c r="K259" s="6">
        <v>2667.4</v>
      </c>
      <c r="L259" s="6">
        <v>3136</v>
      </c>
      <c r="M259" s="4">
        <v>1</v>
      </c>
      <c r="N259" s="4">
        <v>564.48</v>
      </c>
      <c r="O259" s="11"/>
      <c r="P259" s="11"/>
      <c r="Q259" s="11"/>
    </row>
    <row r="260" spans="1:17" x14ac:dyDescent="0.25">
      <c r="A260" s="8">
        <v>45741</v>
      </c>
      <c r="B260" s="3">
        <v>9605</v>
      </c>
      <c r="C260" s="3">
        <v>16734</v>
      </c>
      <c r="D260" s="3" t="s">
        <v>21</v>
      </c>
      <c r="E260" s="3">
        <v>24037</v>
      </c>
      <c r="F260" s="3" t="s">
        <v>585</v>
      </c>
      <c r="G260" s="3" t="s">
        <v>108</v>
      </c>
      <c r="H260" s="3" t="s">
        <v>586</v>
      </c>
      <c r="I260" s="3" t="s">
        <v>587</v>
      </c>
      <c r="J260" s="3" t="s">
        <v>86</v>
      </c>
      <c r="K260" s="6">
        <v>2429.8200000000002</v>
      </c>
      <c r="L260" s="6">
        <v>2333.0100000000002</v>
      </c>
      <c r="M260" s="4">
        <v>1</v>
      </c>
      <c r="N260" s="4">
        <v>419.94</v>
      </c>
      <c r="O260" s="11"/>
      <c r="P260" s="11"/>
      <c r="Q260" s="11"/>
    </row>
    <row r="261" spans="1:17" x14ac:dyDescent="0.25">
      <c r="A261" s="8">
        <v>45741</v>
      </c>
      <c r="B261" s="3">
        <v>9605</v>
      </c>
      <c r="C261" s="3">
        <v>16734</v>
      </c>
      <c r="D261" s="3" t="s">
        <v>21</v>
      </c>
      <c r="E261" s="3">
        <v>24037</v>
      </c>
      <c r="F261" s="3" t="s">
        <v>585</v>
      </c>
      <c r="G261" s="3" t="s">
        <v>108</v>
      </c>
      <c r="H261" s="3" t="s">
        <v>588</v>
      </c>
      <c r="I261" s="3" t="s">
        <v>589</v>
      </c>
      <c r="J261" s="3" t="s">
        <v>86</v>
      </c>
      <c r="K261" s="5"/>
      <c r="L261" s="5"/>
      <c r="M261" s="5"/>
      <c r="N261" s="5"/>
      <c r="O261" s="11"/>
      <c r="P261" s="11"/>
      <c r="Q261" s="11"/>
    </row>
    <row r="262" spans="1:17" x14ac:dyDescent="0.25">
      <c r="A262" s="8">
        <v>45741</v>
      </c>
      <c r="B262" s="3">
        <v>9567</v>
      </c>
      <c r="C262" s="3">
        <v>16734</v>
      </c>
      <c r="D262" s="3" t="s">
        <v>21</v>
      </c>
      <c r="E262" s="3">
        <v>23998</v>
      </c>
      <c r="F262" s="3" t="s">
        <v>590</v>
      </c>
      <c r="G262" s="3" t="s">
        <v>108</v>
      </c>
      <c r="H262" s="3" t="s">
        <v>591</v>
      </c>
      <c r="I262" s="3" t="s">
        <v>572</v>
      </c>
      <c r="J262" s="3" t="s">
        <v>86</v>
      </c>
      <c r="K262" s="6">
        <v>1553.22</v>
      </c>
      <c r="L262" s="4">
        <v>-42.28</v>
      </c>
      <c r="M262" s="4">
        <v>0.5</v>
      </c>
      <c r="N262" s="4">
        <v>100</v>
      </c>
      <c r="O262" s="11"/>
      <c r="P262" s="11"/>
      <c r="Q262" s="11"/>
    </row>
    <row r="263" spans="1:17" x14ac:dyDescent="0.25">
      <c r="A263" s="8">
        <v>45741</v>
      </c>
      <c r="B263" s="3">
        <v>9567</v>
      </c>
      <c r="C263" s="3">
        <v>16734</v>
      </c>
      <c r="D263" s="3" t="s">
        <v>21</v>
      </c>
      <c r="E263" s="3">
        <v>23998</v>
      </c>
      <c r="F263" s="3" t="s">
        <v>590</v>
      </c>
      <c r="G263" s="3" t="s">
        <v>108</v>
      </c>
      <c r="H263" s="3" t="s">
        <v>592</v>
      </c>
      <c r="I263" s="3" t="s">
        <v>593</v>
      </c>
      <c r="J263" s="3" t="s">
        <v>86</v>
      </c>
      <c r="K263" s="5"/>
      <c r="L263" s="5"/>
      <c r="M263" s="5"/>
      <c r="N263" s="5"/>
      <c r="O263" s="11"/>
      <c r="P263" s="11"/>
      <c r="Q263" s="11"/>
    </row>
    <row r="264" spans="1:17" x14ac:dyDescent="0.25">
      <c r="A264" s="8">
        <v>45741</v>
      </c>
      <c r="B264" s="3">
        <v>9555</v>
      </c>
      <c r="C264" s="3">
        <v>16734</v>
      </c>
      <c r="D264" s="3" t="s">
        <v>21</v>
      </c>
      <c r="E264" s="3">
        <v>23980</v>
      </c>
      <c r="F264" s="3" t="s">
        <v>594</v>
      </c>
      <c r="G264" s="3" t="s">
        <v>108</v>
      </c>
      <c r="H264" s="3" t="s">
        <v>595</v>
      </c>
      <c r="I264" s="3" t="s">
        <v>256</v>
      </c>
      <c r="J264" s="3" t="s">
        <v>86</v>
      </c>
      <c r="K264" s="4">
        <v>0</v>
      </c>
      <c r="L264" s="6">
        <v>-1312.23</v>
      </c>
      <c r="M264" s="4">
        <v>1</v>
      </c>
      <c r="N264" s="4">
        <v>200</v>
      </c>
      <c r="O264" s="11"/>
      <c r="P264" s="11"/>
      <c r="Q264" s="11"/>
    </row>
    <row r="265" spans="1:17" x14ac:dyDescent="0.25">
      <c r="A265" s="8">
        <v>45744</v>
      </c>
      <c r="B265" s="3">
        <v>8092</v>
      </c>
      <c r="C265" s="3">
        <v>16734</v>
      </c>
      <c r="D265" s="3" t="s">
        <v>21</v>
      </c>
      <c r="E265" s="3">
        <v>21789</v>
      </c>
      <c r="F265" s="3" t="s">
        <v>542</v>
      </c>
      <c r="G265" s="3" t="s">
        <v>108</v>
      </c>
      <c r="H265" s="3" t="s">
        <v>543</v>
      </c>
      <c r="I265" s="3" t="s">
        <v>544</v>
      </c>
      <c r="J265" s="3" t="s">
        <v>86</v>
      </c>
      <c r="K265" s="4">
        <v>0</v>
      </c>
      <c r="L265" s="4">
        <v>685.91</v>
      </c>
      <c r="M265" s="4">
        <v>-0.5</v>
      </c>
      <c r="N265" s="4">
        <v>-100</v>
      </c>
      <c r="O265" s="11"/>
      <c r="P265" s="11"/>
      <c r="Q265" s="11"/>
    </row>
    <row r="266" spans="1:17" x14ac:dyDescent="0.25">
      <c r="A266" s="8">
        <v>45744</v>
      </c>
      <c r="B266" s="3">
        <v>9754</v>
      </c>
      <c r="C266" s="3">
        <v>16734</v>
      </c>
      <c r="D266" s="3" t="s">
        <v>21</v>
      </c>
      <c r="E266" s="3">
        <v>24268</v>
      </c>
      <c r="F266" s="3" t="s">
        <v>596</v>
      </c>
      <c r="G266" s="3" t="s">
        <v>108</v>
      </c>
      <c r="H266" s="3" t="s">
        <v>492</v>
      </c>
      <c r="I266" s="3" t="s">
        <v>493</v>
      </c>
      <c r="J266" s="3" t="s">
        <v>86</v>
      </c>
      <c r="K266" s="4">
        <v>0</v>
      </c>
      <c r="L266" s="6">
        <v>1627.34</v>
      </c>
      <c r="M266" s="4">
        <v>1</v>
      </c>
      <c r="N266" s="4">
        <v>292.92</v>
      </c>
      <c r="O266" s="11"/>
      <c r="P266" s="11"/>
      <c r="Q266" s="11"/>
    </row>
    <row r="267" spans="1:17" x14ac:dyDescent="0.25">
      <c r="A267" s="8">
        <v>45747</v>
      </c>
      <c r="B267" s="3">
        <v>9791</v>
      </c>
      <c r="C267" s="3">
        <v>16734</v>
      </c>
      <c r="D267" s="3" t="s">
        <v>21</v>
      </c>
      <c r="E267" s="3">
        <v>24309</v>
      </c>
      <c r="F267" s="3" t="s">
        <v>597</v>
      </c>
      <c r="G267" s="3" t="s">
        <v>108</v>
      </c>
      <c r="H267" s="3" t="s">
        <v>598</v>
      </c>
      <c r="I267" s="3" t="s">
        <v>599</v>
      </c>
      <c r="J267" s="3" t="s">
        <v>86</v>
      </c>
      <c r="K267" s="6">
        <v>3179.78</v>
      </c>
      <c r="L267" s="6">
        <v>-1224.82</v>
      </c>
      <c r="M267" s="4">
        <v>1</v>
      </c>
      <c r="N267" s="4">
        <v>200</v>
      </c>
      <c r="O267" s="11"/>
      <c r="P267" s="11"/>
      <c r="Q267" s="11"/>
    </row>
    <row r="268" spans="1:17" x14ac:dyDescent="0.25">
      <c r="A268" s="8">
        <v>45747</v>
      </c>
      <c r="B268" s="3">
        <v>9798</v>
      </c>
      <c r="C268" s="3">
        <v>16734</v>
      </c>
      <c r="D268" s="3" t="s">
        <v>21</v>
      </c>
      <c r="E268" s="3">
        <v>21789</v>
      </c>
      <c r="F268" s="3" t="s">
        <v>542</v>
      </c>
      <c r="G268" s="3" t="s">
        <v>108</v>
      </c>
      <c r="H268" s="3" t="s">
        <v>543</v>
      </c>
      <c r="I268" s="3" t="s">
        <v>544</v>
      </c>
      <c r="J268" s="3" t="s">
        <v>86</v>
      </c>
      <c r="K268" s="4">
        <v>0</v>
      </c>
      <c r="L268" s="4">
        <v>-685.91</v>
      </c>
      <c r="M268" s="4">
        <v>0.5</v>
      </c>
      <c r="N268" s="4">
        <v>100</v>
      </c>
      <c r="O268" s="11"/>
      <c r="P268" s="11"/>
      <c r="Q268" s="11"/>
    </row>
    <row r="269" spans="1:17" x14ac:dyDescent="0.25">
      <c r="A269" s="8">
        <v>45747</v>
      </c>
      <c r="B269" s="3">
        <v>9894</v>
      </c>
      <c r="C269" s="3">
        <v>16734</v>
      </c>
      <c r="D269" s="3" t="s">
        <v>21</v>
      </c>
      <c r="E269" s="3">
        <v>24436</v>
      </c>
      <c r="F269" s="3" t="s">
        <v>600</v>
      </c>
      <c r="G269" s="3" t="s">
        <v>108</v>
      </c>
      <c r="H269" s="3" t="s">
        <v>601</v>
      </c>
      <c r="I269" s="3" t="s">
        <v>602</v>
      </c>
      <c r="J269" s="3" t="s">
        <v>86</v>
      </c>
      <c r="K269" s="4">
        <v>0</v>
      </c>
      <c r="L269" s="4">
        <v>0</v>
      </c>
      <c r="M269" s="4">
        <v>0</v>
      </c>
      <c r="N269" s="4">
        <v>0</v>
      </c>
      <c r="O269" s="11"/>
      <c r="P269" s="11"/>
      <c r="Q269" s="11"/>
    </row>
    <row r="270" spans="1:17" x14ac:dyDescent="0.25">
      <c r="A270" s="8">
        <v>45747</v>
      </c>
      <c r="B270" s="3">
        <v>9894</v>
      </c>
      <c r="C270" s="3">
        <v>16734</v>
      </c>
      <c r="D270" s="3" t="s">
        <v>21</v>
      </c>
      <c r="E270" s="3">
        <v>24436</v>
      </c>
      <c r="F270" s="3" t="s">
        <v>600</v>
      </c>
      <c r="G270" s="3" t="s">
        <v>108</v>
      </c>
      <c r="H270" s="3" t="s">
        <v>603</v>
      </c>
      <c r="I270" s="3" t="s">
        <v>604</v>
      </c>
      <c r="J270" s="3" t="s">
        <v>86</v>
      </c>
      <c r="K270" s="5"/>
      <c r="L270" s="5"/>
      <c r="M270" s="5"/>
      <c r="N270" s="5"/>
      <c r="O270" s="11"/>
      <c r="P270" s="11"/>
      <c r="Q270" s="11"/>
    </row>
    <row r="271" spans="1:17" x14ac:dyDescent="0.25">
      <c r="A271" s="8">
        <v>45747</v>
      </c>
      <c r="B271" s="3" t="s">
        <v>605</v>
      </c>
      <c r="C271" s="3">
        <v>16734</v>
      </c>
      <c r="D271" s="3" t="s">
        <v>21</v>
      </c>
      <c r="E271" s="3">
        <v>24436</v>
      </c>
      <c r="F271" s="3" t="s">
        <v>600</v>
      </c>
      <c r="G271" s="3" t="s">
        <v>108</v>
      </c>
      <c r="H271" s="3" t="s">
        <v>601</v>
      </c>
      <c r="I271" s="3" t="s">
        <v>602</v>
      </c>
      <c r="J271" s="3" t="s">
        <v>86</v>
      </c>
      <c r="K271" s="6">
        <v>1000</v>
      </c>
      <c r="L271" s="4">
        <v>27.77</v>
      </c>
      <c r="M271" s="4">
        <v>0.5</v>
      </c>
      <c r="N271" s="4">
        <v>100</v>
      </c>
      <c r="O271" s="11"/>
      <c r="P271" s="11"/>
      <c r="Q271" s="11"/>
    </row>
    <row r="272" spans="1:17" x14ac:dyDescent="0.25">
      <c r="A272" s="8">
        <v>45747</v>
      </c>
      <c r="B272" s="3" t="s">
        <v>605</v>
      </c>
      <c r="C272" s="3">
        <v>16734</v>
      </c>
      <c r="D272" s="3" t="s">
        <v>21</v>
      </c>
      <c r="E272" s="3">
        <v>24436</v>
      </c>
      <c r="F272" s="3" t="s">
        <v>600</v>
      </c>
      <c r="G272" s="3" t="s">
        <v>108</v>
      </c>
      <c r="H272" s="3" t="s">
        <v>603</v>
      </c>
      <c r="I272" s="3" t="s">
        <v>604</v>
      </c>
      <c r="J272" s="3" t="s">
        <v>86</v>
      </c>
      <c r="K272" s="5"/>
      <c r="L272" s="5"/>
      <c r="M272" s="5"/>
      <c r="N272" s="5"/>
      <c r="O272" s="11"/>
      <c r="P272" s="11"/>
      <c r="Q272" s="11"/>
    </row>
    <row r="273" spans="1:17" x14ac:dyDescent="0.25">
      <c r="A273" s="8">
        <v>45747</v>
      </c>
      <c r="B273" s="3">
        <v>9850</v>
      </c>
      <c r="C273" s="3">
        <v>16734</v>
      </c>
      <c r="D273" s="3" t="s">
        <v>21</v>
      </c>
      <c r="E273" s="3">
        <v>24384</v>
      </c>
      <c r="F273" s="3" t="s">
        <v>606</v>
      </c>
      <c r="G273" s="3" t="s">
        <v>125</v>
      </c>
      <c r="H273" s="3">
        <v>632651</v>
      </c>
      <c r="I273" s="3" t="s">
        <v>607</v>
      </c>
      <c r="J273" s="3" t="s">
        <v>86</v>
      </c>
      <c r="K273" s="4">
        <v>0</v>
      </c>
      <c r="L273" s="4">
        <v>994.71</v>
      </c>
      <c r="M273" s="4">
        <v>1</v>
      </c>
      <c r="N273" s="4">
        <v>200</v>
      </c>
      <c r="O273" s="11"/>
      <c r="P273" s="11"/>
      <c r="Q273" s="11"/>
    </row>
    <row r="274" spans="1:17" x14ac:dyDescent="0.25">
      <c r="A274" s="8">
        <v>45747</v>
      </c>
      <c r="B274" s="3">
        <v>9946</v>
      </c>
      <c r="C274" s="3">
        <v>16734</v>
      </c>
      <c r="D274" s="3" t="s">
        <v>21</v>
      </c>
      <c r="E274" s="3">
        <v>24492</v>
      </c>
      <c r="F274" s="3" t="s">
        <v>608</v>
      </c>
      <c r="G274" s="3" t="s">
        <v>125</v>
      </c>
      <c r="H274" s="3" t="s">
        <v>609</v>
      </c>
      <c r="I274" s="3" t="s">
        <v>610</v>
      </c>
      <c r="J274" s="3" t="s">
        <v>86</v>
      </c>
      <c r="K274" s="4">
        <v>592.5</v>
      </c>
      <c r="L274" s="6">
        <v>1688.88</v>
      </c>
      <c r="M274" s="4">
        <v>0.5</v>
      </c>
      <c r="N274" s="4">
        <v>304</v>
      </c>
      <c r="O274" s="11"/>
      <c r="P274" s="11"/>
      <c r="Q274" s="11"/>
    </row>
    <row r="275" spans="1:17" x14ac:dyDescent="0.25">
      <c r="A275" s="8">
        <v>45723</v>
      </c>
      <c r="B275" s="3">
        <v>9306</v>
      </c>
      <c r="C275" s="3">
        <v>20993</v>
      </c>
      <c r="D275" s="3" t="s">
        <v>23</v>
      </c>
      <c r="E275" s="3">
        <v>279953</v>
      </c>
      <c r="F275" s="3" t="s">
        <v>611</v>
      </c>
      <c r="G275" s="3" t="s">
        <v>83</v>
      </c>
      <c r="H275" s="3" t="s">
        <v>612</v>
      </c>
      <c r="I275" s="3" t="s">
        <v>613</v>
      </c>
      <c r="J275" s="3" t="s">
        <v>86</v>
      </c>
      <c r="K275" s="6">
        <v>1546.76</v>
      </c>
      <c r="L275" s="4">
        <v>750</v>
      </c>
      <c r="M275" s="4">
        <v>1</v>
      </c>
      <c r="N275" s="4">
        <v>200</v>
      </c>
      <c r="O275" s="11"/>
      <c r="P275" s="11"/>
      <c r="Q275" s="11"/>
    </row>
    <row r="276" spans="1:17" x14ac:dyDescent="0.25">
      <c r="A276" s="8">
        <v>45723</v>
      </c>
      <c r="B276" s="3">
        <v>9309</v>
      </c>
      <c r="C276" s="3">
        <v>20993</v>
      </c>
      <c r="D276" s="3" t="s">
        <v>23</v>
      </c>
      <c r="E276" s="3">
        <v>262043</v>
      </c>
      <c r="F276" s="3" t="s">
        <v>614</v>
      </c>
      <c r="G276" s="3" t="s">
        <v>108</v>
      </c>
      <c r="H276" s="3" t="s">
        <v>615</v>
      </c>
      <c r="I276" s="3" t="s">
        <v>616</v>
      </c>
      <c r="J276" s="3" t="s">
        <v>86</v>
      </c>
      <c r="K276" s="6">
        <v>5921.36</v>
      </c>
      <c r="L276" s="6">
        <v>-2628.65</v>
      </c>
      <c r="M276" s="4">
        <v>1</v>
      </c>
      <c r="N276" s="4">
        <v>200</v>
      </c>
      <c r="O276" s="11"/>
      <c r="P276" s="11"/>
      <c r="Q276" s="11"/>
    </row>
    <row r="277" spans="1:17" x14ac:dyDescent="0.25">
      <c r="A277" s="8">
        <v>45723</v>
      </c>
      <c r="B277" s="3">
        <v>9309</v>
      </c>
      <c r="C277" s="3">
        <v>20993</v>
      </c>
      <c r="D277" s="3" t="s">
        <v>23</v>
      </c>
      <c r="E277" s="3">
        <v>262043</v>
      </c>
      <c r="F277" s="3" t="s">
        <v>614</v>
      </c>
      <c r="G277" s="3" t="s">
        <v>108</v>
      </c>
      <c r="H277" s="3" t="s">
        <v>617</v>
      </c>
      <c r="I277" s="3" t="s">
        <v>618</v>
      </c>
      <c r="J277" s="3" t="s">
        <v>86</v>
      </c>
      <c r="K277" s="5"/>
      <c r="L277" s="5"/>
      <c r="M277" s="5"/>
      <c r="N277" s="5"/>
      <c r="O277" s="11"/>
      <c r="P277" s="11"/>
      <c r="Q277" s="11"/>
    </row>
    <row r="278" spans="1:17" x14ac:dyDescent="0.25">
      <c r="A278" s="8">
        <v>45728</v>
      </c>
      <c r="B278" s="3">
        <v>9498</v>
      </c>
      <c r="C278" s="3">
        <v>20993</v>
      </c>
      <c r="D278" s="3" t="s">
        <v>23</v>
      </c>
      <c r="E278" s="3">
        <v>23866</v>
      </c>
      <c r="F278" s="3" t="s">
        <v>619</v>
      </c>
      <c r="G278" s="3" t="s">
        <v>108</v>
      </c>
      <c r="H278" s="3" t="s">
        <v>620</v>
      </c>
      <c r="I278" s="3" t="s">
        <v>621</v>
      </c>
      <c r="J278" s="3" t="s">
        <v>86</v>
      </c>
      <c r="K278" s="6">
        <v>7088.97</v>
      </c>
      <c r="L278" s="6">
        <v>2725</v>
      </c>
      <c r="M278" s="4">
        <v>1</v>
      </c>
      <c r="N278" s="4">
        <v>490.5</v>
      </c>
      <c r="O278" s="11"/>
      <c r="P278" s="11"/>
      <c r="Q278" s="11"/>
    </row>
    <row r="279" spans="1:17" x14ac:dyDescent="0.25">
      <c r="A279" s="8">
        <v>45728</v>
      </c>
      <c r="B279" s="3">
        <v>9498</v>
      </c>
      <c r="C279" s="3">
        <v>20993</v>
      </c>
      <c r="D279" s="3" t="s">
        <v>23</v>
      </c>
      <c r="E279" s="3">
        <v>23866</v>
      </c>
      <c r="F279" s="3" t="s">
        <v>619</v>
      </c>
      <c r="G279" s="3" t="s">
        <v>108</v>
      </c>
      <c r="H279" s="3" t="s">
        <v>622</v>
      </c>
      <c r="I279" s="3" t="s">
        <v>623</v>
      </c>
      <c r="J279" s="3" t="s">
        <v>86</v>
      </c>
      <c r="K279" s="5"/>
      <c r="L279" s="5"/>
      <c r="M279" s="5"/>
      <c r="N279" s="5"/>
      <c r="O279" s="11"/>
      <c r="P279" s="11"/>
      <c r="Q279" s="11"/>
    </row>
    <row r="280" spans="1:17" x14ac:dyDescent="0.25">
      <c r="A280" s="8">
        <v>45730</v>
      </c>
      <c r="B280" s="3">
        <v>9430</v>
      </c>
      <c r="C280" s="3">
        <v>20993</v>
      </c>
      <c r="D280" s="3" t="s">
        <v>23</v>
      </c>
      <c r="E280" s="3">
        <v>23746</v>
      </c>
      <c r="F280" s="3" t="s">
        <v>624</v>
      </c>
      <c r="G280" s="3" t="s">
        <v>108</v>
      </c>
      <c r="H280" s="3" t="s">
        <v>625</v>
      </c>
      <c r="I280" s="3" t="s">
        <v>626</v>
      </c>
      <c r="J280" s="3" t="s">
        <v>86</v>
      </c>
      <c r="K280" s="6">
        <v>4259.2</v>
      </c>
      <c r="L280" s="6">
        <v>-6765.74</v>
      </c>
      <c r="M280" s="4">
        <v>1</v>
      </c>
      <c r="N280" s="4">
        <v>200</v>
      </c>
      <c r="O280" s="11"/>
      <c r="P280" s="11"/>
      <c r="Q280" s="11"/>
    </row>
    <row r="281" spans="1:17" x14ac:dyDescent="0.25">
      <c r="A281" s="8">
        <v>45734</v>
      </c>
      <c r="B281" s="3">
        <v>9584</v>
      </c>
      <c r="C281" s="3">
        <v>20993</v>
      </c>
      <c r="D281" s="3" t="s">
        <v>23</v>
      </c>
      <c r="E281" s="3">
        <v>24014</v>
      </c>
      <c r="F281" s="3" t="s">
        <v>627</v>
      </c>
      <c r="G281" s="3" t="s">
        <v>56</v>
      </c>
      <c r="H281" s="3" t="s">
        <v>628</v>
      </c>
      <c r="I281" s="3" t="s">
        <v>166</v>
      </c>
      <c r="J281" s="3" t="s">
        <v>59</v>
      </c>
      <c r="K281" s="4">
        <v>662</v>
      </c>
      <c r="L281" s="6">
        <v>-3210</v>
      </c>
      <c r="M281" s="4">
        <v>1</v>
      </c>
      <c r="N281" s="4">
        <v>200</v>
      </c>
      <c r="O281" s="11"/>
      <c r="P281" s="11"/>
      <c r="Q281" s="11"/>
    </row>
    <row r="282" spans="1:17" x14ac:dyDescent="0.25">
      <c r="A282" s="8">
        <v>45735</v>
      </c>
      <c r="B282" s="3">
        <v>9563</v>
      </c>
      <c r="C282" s="3">
        <v>20993</v>
      </c>
      <c r="D282" s="3" t="s">
        <v>23</v>
      </c>
      <c r="E282" s="3">
        <v>23984</v>
      </c>
      <c r="F282" s="3" t="s">
        <v>629</v>
      </c>
      <c r="G282" s="3" t="s">
        <v>125</v>
      </c>
      <c r="H282" s="3" t="s">
        <v>630</v>
      </c>
      <c r="I282" s="3" t="s">
        <v>631</v>
      </c>
      <c r="J282" s="3" t="s">
        <v>86</v>
      </c>
      <c r="K282" s="6">
        <v>8294.65</v>
      </c>
      <c r="L282" s="4">
        <v>-615.05999999999995</v>
      </c>
      <c r="M282" s="4">
        <v>1</v>
      </c>
      <c r="N282" s="4">
        <v>200</v>
      </c>
      <c r="O282" s="11"/>
      <c r="P282" s="11"/>
      <c r="Q282" s="11"/>
    </row>
    <row r="283" spans="1:17" x14ac:dyDescent="0.25">
      <c r="A283" s="8">
        <v>45736</v>
      </c>
      <c r="B283" s="3">
        <v>9643</v>
      </c>
      <c r="C283" s="3">
        <v>20993</v>
      </c>
      <c r="D283" s="3" t="s">
        <v>23</v>
      </c>
      <c r="E283" s="3">
        <v>24097</v>
      </c>
      <c r="F283" s="3" t="s">
        <v>536</v>
      </c>
      <c r="G283" s="3" t="s">
        <v>125</v>
      </c>
      <c r="H283" s="3" t="s">
        <v>537</v>
      </c>
      <c r="I283" s="3" t="s">
        <v>538</v>
      </c>
      <c r="J283" s="3" t="s">
        <v>86</v>
      </c>
      <c r="K283" s="4">
        <v>348</v>
      </c>
      <c r="L283" s="4">
        <v>-63.56</v>
      </c>
      <c r="M283" s="4">
        <v>0.5</v>
      </c>
      <c r="N283" s="4">
        <v>100</v>
      </c>
      <c r="O283" s="11"/>
      <c r="P283" s="11"/>
      <c r="Q283" s="11"/>
    </row>
    <row r="284" spans="1:17" x14ac:dyDescent="0.25">
      <c r="A284" s="8">
        <v>45742</v>
      </c>
      <c r="B284" s="3">
        <v>9634</v>
      </c>
      <c r="C284" s="3">
        <v>20993</v>
      </c>
      <c r="D284" s="3" t="s">
        <v>23</v>
      </c>
      <c r="E284" s="3">
        <v>24007</v>
      </c>
      <c r="F284" s="3" t="s">
        <v>632</v>
      </c>
      <c r="G284" s="3" t="s">
        <v>108</v>
      </c>
      <c r="H284" s="3" t="s">
        <v>633</v>
      </c>
      <c r="I284" s="3" t="s">
        <v>634</v>
      </c>
      <c r="J284" s="3" t="s">
        <v>86</v>
      </c>
      <c r="K284" s="6">
        <v>6284.06</v>
      </c>
      <c r="L284" s="4">
        <v>329.88</v>
      </c>
      <c r="M284" s="4">
        <v>1</v>
      </c>
      <c r="N284" s="4">
        <v>200</v>
      </c>
      <c r="O284" s="11"/>
      <c r="P284" s="11"/>
      <c r="Q284" s="11"/>
    </row>
    <row r="285" spans="1:17" x14ac:dyDescent="0.25">
      <c r="A285" s="8">
        <v>45742</v>
      </c>
      <c r="B285" s="3">
        <v>9681</v>
      </c>
      <c r="C285" s="3">
        <v>20993</v>
      </c>
      <c r="D285" s="3" t="s">
        <v>23</v>
      </c>
      <c r="E285" s="3">
        <v>24192</v>
      </c>
      <c r="F285" s="3" t="s">
        <v>635</v>
      </c>
      <c r="G285" s="3" t="s">
        <v>108</v>
      </c>
      <c r="H285" s="3" t="s">
        <v>636</v>
      </c>
      <c r="I285" s="3" t="s">
        <v>637</v>
      </c>
      <c r="J285" s="3" t="s">
        <v>86</v>
      </c>
      <c r="K285" s="6">
        <v>2686.95</v>
      </c>
      <c r="L285" s="6">
        <v>-3288.57</v>
      </c>
      <c r="M285" s="4">
        <v>1</v>
      </c>
      <c r="N285" s="4">
        <v>200</v>
      </c>
      <c r="O285" s="11"/>
      <c r="P285" s="11"/>
      <c r="Q285" s="11"/>
    </row>
    <row r="286" spans="1:17" x14ac:dyDescent="0.25">
      <c r="A286" s="8">
        <v>45747</v>
      </c>
      <c r="B286" s="3">
        <v>9699</v>
      </c>
      <c r="C286" s="3">
        <v>20993</v>
      </c>
      <c r="D286" s="3" t="s">
        <v>23</v>
      </c>
      <c r="E286" s="3">
        <v>24217</v>
      </c>
      <c r="F286" s="3" t="s">
        <v>638</v>
      </c>
      <c r="G286" s="3" t="s">
        <v>69</v>
      </c>
      <c r="H286" s="3" t="s">
        <v>639</v>
      </c>
      <c r="I286" s="3" t="s">
        <v>71</v>
      </c>
      <c r="J286" s="3" t="s">
        <v>59</v>
      </c>
      <c r="K286" s="6">
        <v>2175.94</v>
      </c>
      <c r="L286" s="4">
        <v>780</v>
      </c>
      <c r="M286" s="4">
        <v>1</v>
      </c>
      <c r="N286" s="4">
        <v>200</v>
      </c>
      <c r="O286" s="11"/>
      <c r="P286" s="11"/>
      <c r="Q286" s="11"/>
    </row>
    <row r="287" spans="1:17" x14ac:dyDescent="0.25">
      <c r="A287" s="8">
        <v>45747</v>
      </c>
      <c r="B287" s="3">
        <v>9748</v>
      </c>
      <c r="C287" s="3">
        <v>20993</v>
      </c>
      <c r="D287" s="3" t="s">
        <v>23</v>
      </c>
      <c r="E287" s="3">
        <v>24273</v>
      </c>
      <c r="F287" s="3" t="s">
        <v>330</v>
      </c>
      <c r="G287" s="3" t="s">
        <v>56</v>
      </c>
      <c r="H287" s="3" t="s">
        <v>331</v>
      </c>
      <c r="I287" s="3" t="s">
        <v>188</v>
      </c>
      <c r="J287" s="3" t="s">
        <v>59</v>
      </c>
      <c r="K287" s="6">
        <v>3062.54</v>
      </c>
      <c r="L287" s="6">
        <v>-1820.49</v>
      </c>
      <c r="M287" s="4">
        <v>0.5</v>
      </c>
      <c r="N287" s="4">
        <v>100</v>
      </c>
      <c r="O287" s="11"/>
      <c r="P287" s="11"/>
      <c r="Q287" s="11"/>
    </row>
    <row r="288" spans="1:17" x14ac:dyDescent="0.25">
      <c r="A288" s="8">
        <v>45747</v>
      </c>
      <c r="B288" s="3">
        <v>9748</v>
      </c>
      <c r="C288" s="3">
        <v>20993</v>
      </c>
      <c r="D288" s="3" t="s">
        <v>23</v>
      </c>
      <c r="E288" s="3">
        <v>24273</v>
      </c>
      <c r="F288" s="3" t="s">
        <v>330</v>
      </c>
      <c r="G288" s="3" t="s">
        <v>56</v>
      </c>
      <c r="H288" s="3" t="s">
        <v>332</v>
      </c>
      <c r="I288" s="3" t="s">
        <v>333</v>
      </c>
      <c r="J288" s="3" t="s">
        <v>59</v>
      </c>
      <c r="K288" s="5"/>
      <c r="L288" s="5"/>
      <c r="M288" s="5"/>
      <c r="N288" s="5"/>
      <c r="O288" s="11"/>
      <c r="P288" s="11"/>
      <c r="Q288" s="11"/>
    </row>
    <row r="289" spans="1:17" x14ac:dyDescent="0.25">
      <c r="A289" s="8">
        <v>45747</v>
      </c>
      <c r="B289" s="3">
        <v>9771</v>
      </c>
      <c r="C289" s="3">
        <v>20993</v>
      </c>
      <c r="D289" s="3" t="s">
        <v>23</v>
      </c>
      <c r="E289" s="3">
        <v>24284</v>
      </c>
      <c r="F289" s="3" t="s">
        <v>390</v>
      </c>
      <c r="G289" s="3" t="s">
        <v>56</v>
      </c>
      <c r="H289" s="3" t="s">
        <v>391</v>
      </c>
      <c r="I289" s="3" t="s">
        <v>166</v>
      </c>
      <c r="J289" s="3" t="s">
        <v>59</v>
      </c>
      <c r="K289" s="4">
        <v>481</v>
      </c>
      <c r="L289" s="4">
        <v>752.5</v>
      </c>
      <c r="M289" s="4">
        <v>0.5</v>
      </c>
      <c r="N289" s="4">
        <v>135.44999999999999</v>
      </c>
      <c r="O289" s="11"/>
      <c r="P289" s="11"/>
      <c r="Q289" s="11"/>
    </row>
    <row r="290" spans="1:17" x14ac:dyDescent="0.25">
      <c r="A290" s="8">
        <v>45747</v>
      </c>
      <c r="B290" s="3">
        <v>9771</v>
      </c>
      <c r="C290" s="3">
        <v>20993</v>
      </c>
      <c r="D290" s="3" t="s">
        <v>23</v>
      </c>
      <c r="E290" s="3">
        <v>24284</v>
      </c>
      <c r="F290" s="3" t="s">
        <v>390</v>
      </c>
      <c r="G290" s="3" t="s">
        <v>56</v>
      </c>
      <c r="H290" s="3" t="s">
        <v>392</v>
      </c>
      <c r="I290" s="3" t="s">
        <v>393</v>
      </c>
      <c r="J290" s="3" t="s">
        <v>59</v>
      </c>
      <c r="K290" s="5"/>
      <c r="L290" s="5"/>
      <c r="M290" s="5"/>
      <c r="N290" s="5"/>
      <c r="O290" s="11"/>
      <c r="P290" s="11"/>
      <c r="Q290" s="11"/>
    </row>
    <row r="291" spans="1:17" x14ac:dyDescent="0.25">
      <c r="A291" s="8">
        <v>45747</v>
      </c>
      <c r="B291" s="3">
        <v>9797</v>
      </c>
      <c r="C291" s="3">
        <v>20993</v>
      </c>
      <c r="D291" s="3" t="s">
        <v>23</v>
      </c>
      <c r="E291" s="3">
        <v>24329</v>
      </c>
      <c r="F291" s="3" t="s">
        <v>640</v>
      </c>
      <c r="G291" s="3" t="s">
        <v>56</v>
      </c>
      <c r="H291" s="3" t="s">
        <v>641</v>
      </c>
      <c r="I291" s="3" t="s">
        <v>642</v>
      </c>
      <c r="J291" s="3" t="s">
        <v>59</v>
      </c>
      <c r="K291" s="6">
        <v>5670.89</v>
      </c>
      <c r="L291" s="6">
        <v>16772.47</v>
      </c>
      <c r="M291" s="4">
        <v>1</v>
      </c>
      <c r="N291" s="6">
        <v>3019.04</v>
      </c>
      <c r="O291" s="11"/>
      <c r="P291" s="11"/>
      <c r="Q291" s="11"/>
    </row>
    <row r="292" spans="1:17" x14ac:dyDescent="0.25">
      <c r="A292" s="8">
        <v>45747</v>
      </c>
      <c r="B292" s="3">
        <v>9821</v>
      </c>
      <c r="C292" s="3">
        <v>20993</v>
      </c>
      <c r="D292" s="3" t="s">
        <v>23</v>
      </c>
      <c r="E292" s="3">
        <v>278845</v>
      </c>
      <c r="F292" s="3" t="s">
        <v>643</v>
      </c>
      <c r="G292" s="3" t="s">
        <v>83</v>
      </c>
      <c r="H292" s="3" t="s">
        <v>644</v>
      </c>
      <c r="I292" s="3" t="s">
        <v>572</v>
      </c>
      <c r="J292" s="3" t="s">
        <v>86</v>
      </c>
      <c r="K292" s="6">
        <v>2379.25</v>
      </c>
      <c r="L292" s="4">
        <v>589.5</v>
      </c>
      <c r="M292" s="4">
        <v>1</v>
      </c>
      <c r="N292" s="4">
        <v>200</v>
      </c>
      <c r="O292" s="11"/>
      <c r="P292" s="11"/>
      <c r="Q292" s="11"/>
    </row>
    <row r="293" spans="1:17" x14ac:dyDescent="0.25">
      <c r="A293" s="8">
        <v>45747</v>
      </c>
      <c r="B293" s="3">
        <v>9925</v>
      </c>
      <c r="C293" s="3">
        <v>20993</v>
      </c>
      <c r="D293" s="3" t="s">
        <v>23</v>
      </c>
      <c r="E293" s="3">
        <v>24475</v>
      </c>
      <c r="F293" s="3" t="s">
        <v>645</v>
      </c>
      <c r="G293" s="3" t="s">
        <v>108</v>
      </c>
      <c r="H293" s="3" t="s">
        <v>646</v>
      </c>
      <c r="I293" s="3" t="s">
        <v>218</v>
      </c>
      <c r="J293" s="3" t="s">
        <v>86</v>
      </c>
      <c r="K293" s="6">
        <v>3428.82</v>
      </c>
      <c r="L293" s="6">
        <v>-2076.9499999999998</v>
      </c>
      <c r="M293" s="4">
        <v>1</v>
      </c>
      <c r="N293" s="4">
        <v>200</v>
      </c>
      <c r="O293" s="11"/>
      <c r="P293" s="11"/>
      <c r="Q293" s="11"/>
    </row>
    <row r="294" spans="1:17" x14ac:dyDescent="0.25">
      <c r="A294" s="8">
        <v>45747</v>
      </c>
      <c r="B294" s="3">
        <v>9894</v>
      </c>
      <c r="C294" s="3">
        <v>20993</v>
      </c>
      <c r="D294" s="3" t="s">
        <v>23</v>
      </c>
      <c r="E294" s="3">
        <v>24436</v>
      </c>
      <c r="F294" s="3" t="s">
        <v>600</v>
      </c>
      <c r="G294" s="3" t="s">
        <v>108</v>
      </c>
      <c r="H294" s="3" t="s">
        <v>601</v>
      </c>
      <c r="I294" s="3" t="s">
        <v>602</v>
      </c>
      <c r="J294" s="3" t="s">
        <v>86</v>
      </c>
      <c r="K294" s="4">
        <v>0</v>
      </c>
      <c r="L294" s="4">
        <v>0</v>
      </c>
      <c r="M294" s="4">
        <v>0</v>
      </c>
      <c r="N294" s="4">
        <v>0</v>
      </c>
      <c r="O294" s="11"/>
      <c r="P294" s="11"/>
      <c r="Q294" s="11"/>
    </row>
    <row r="295" spans="1:17" x14ac:dyDescent="0.25">
      <c r="A295" s="8">
        <v>45747</v>
      </c>
      <c r="B295" s="3">
        <v>9894</v>
      </c>
      <c r="C295" s="3">
        <v>20993</v>
      </c>
      <c r="D295" s="3" t="s">
        <v>23</v>
      </c>
      <c r="E295" s="3">
        <v>24436</v>
      </c>
      <c r="F295" s="3" t="s">
        <v>600</v>
      </c>
      <c r="G295" s="3" t="s">
        <v>108</v>
      </c>
      <c r="H295" s="3" t="s">
        <v>603</v>
      </c>
      <c r="I295" s="3" t="s">
        <v>604</v>
      </c>
      <c r="J295" s="3" t="s">
        <v>86</v>
      </c>
      <c r="K295" s="5"/>
      <c r="L295" s="5"/>
      <c r="M295" s="5"/>
      <c r="N295" s="5"/>
      <c r="O295" s="11"/>
      <c r="P295" s="11"/>
      <c r="Q295" s="11"/>
    </row>
    <row r="296" spans="1:17" x14ac:dyDescent="0.25">
      <c r="A296" s="8">
        <v>45747</v>
      </c>
      <c r="B296" s="3" t="s">
        <v>605</v>
      </c>
      <c r="C296" s="3">
        <v>20993</v>
      </c>
      <c r="D296" s="3" t="s">
        <v>23</v>
      </c>
      <c r="E296" s="3">
        <v>24436</v>
      </c>
      <c r="F296" s="3" t="s">
        <v>600</v>
      </c>
      <c r="G296" s="3" t="s">
        <v>108</v>
      </c>
      <c r="H296" s="3" t="s">
        <v>601</v>
      </c>
      <c r="I296" s="3" t="s">
        <v>602</v>
      </c>
      <c r="J296" s="3" t="s">
        <v>86</v>
      </c>
      <c r="K296" s="6">
        <v>1000</v>
      </c>
      <c r="L296" s="4">
        <v>27.77</v>
      </c>
      <c r="M296" s="4">
        <v>0.5</v>
      </c>
      <c r="N296" s="4">
        <v>100</v>
      </c>
      <c r="O296" s="11"/>
      <c r="P296" s="11"/>
      <c r="Q296" s="11"/>
    </row>
    <row r="297" spans="1:17" x14ac:dyDescent="0.25">
      <c r="A297" s="8">
        <v>45747</v>
      </c>
      <c r="B297" s="3" t="s">
        <v>605</v>
      </c>
      <c r="C297" s="3">
        <v>20993</v>
      </c>
      <c r="D297" s="3" t="s">
        <v>23</v>
      </c>
      <c r="E297" s="3">
        <v>24436</v>
      </c>
      <c r="F297" s="3" t="s">
        <v>600</v>
      </c>
      <c r="G297" s="3" t="s">
        <v>108</v>
      </c>
      <c r="H297" s="3" t="s">
        <v>603</v>
      </c>
      <c r="I297" s="3" t="s">
        <v>604</v>
      </c>
      <c r="J297" s="3" t="s">
        <v>86</v>
      </c>
      <c r="K297" s="5"/>
      <c r="L297" s="5"/>
      <c r="M297" s="5"/>
      <c r="N297" s="5"/>
      <c r="O297" s="11"/>
      <c r="P297" s="11"/>
      <c r="Q297" s="11"/>
    </row>
    <row r="298" spans="1:17" x14ac:dyDescent="0.25">
      <c r="A298" s="8">
        <v>45747</v>
      </c>
      <c r="B298" s="3">
        <v>9941</v>
      </c>
      <c r="C298" s="3">
        <v>20993</v>
      </c>
      <c r="D298" s="3" t="s">
        <v>23</v>
      </c>
      <c r="E298" s="3">
        <v>24488</v>
      </c>
      <c r="F298" s="3" t="s">
        <v>560</v>
      </c>
      <c r="G298" s="3" t="s">
        <v>125</v>
      </c>
      <c r="H298" s="3" t="s">
        <v>561</v>
      </c>
      <c r="I298" s="3" t="s">
        <v>562</v>
      </c>
      <c r="J298" s="3" t="s">
        <v>86</v>
      </c>
      <c r="K298" s="4">
        <v>124.02</v>
      </c>
      <c r="L298" s="4">
        <v>992.27</v>
      </c>
      <c r="M298" s="4">
        <v>0.5</v>
      </c>
      <c r="N298" s="4">
        <v>178.61</v>
      </c>
      <c r="O298" s="11"/>
      <c r="P298" s="11"/>
      <c r="Q298" s="11"/>
    </row>
    <row r="299" spans="1:17" x14ac:dyDescent="0.25">
      <c r="A299" s="8">
        <v>45717</v>
      </c>
      <c r="B299" s="3">
        <v>9177</v>
      </c>
      <c r="C299" s="3">
        <v>22145</v>
      </c>
      <c r="D299" s="3" t="s">
        <v>24</v>
      </c>
      <c r="E299" s="3">
        <v>23388</v>
      </c>
      <c r="F299" s="3" t="s">
        <v>647</v>
      </c>
      <c r="G299" s="3" t="s">
        <v>56</v>
      </c>
      <c r="H299" s="3" t="s">
        <v>648</v>
      </c>
      <c r="I299" s="3" t="s">
        <v>166</v>
      </c>
      <c r="J299" s="3" t="s">
        <v>59</v>
      </c>
      <c r="K299" s="6">
        <v>-3308.45</v>
      </c>
      <c r="L299" s="4">
        <v>-76.099999999999994</v>
      </c>
      <c r="M299" s="4">
        <v>-1</v>
      </c>
      <c r="N299" s="4">
        <v>-200</v>
      </c>
      <c r="O299" s="11"/>
      <c r="P299" s="11"/>
      <c r="Q299" s="11"/>
    </row>
    <row r="300" spans="1:17" x14ac:dyDescent="0.25">
      <c r="A300" s="8">
        <v>45717</v>
      </c>
      <c r="B300" s="3">
        <v>9177</v>
      </c>
      <c r="C300" s="3">
        <v>22145</v>
      </c>
      <c r="D300" s="3" t="s">
        <v>24</v>
      </c>
      <c r="E300" s="3">
        <v>23388</v>
      </c>
      <c r="F300" s="3" t="s">
        <v>647</v>
      </c>
      <c r="G300" s="3" t="s">
        <v>56</v>
      </c>
      <c r="H300" s="3" t="s">
        <v>649</v>
      </c>
      <c r="I300" s="3" t="s">
        <v>650</v>
      </c>
      <c r="J300" s="3" t="s">
        <v>59</v>
      </c>
      <c r="K300" s="5"/>
      <c r="L300" s="5"/>
      <c r="M300" s="5"/>
      <c r="N300" s="5"/>
      <c r="O300" s="11"/>
      <c r="P300" s="11"/>
      <c r="Q300" s="11"/>
    </row>
    <row r="301" spans="1:17" x14ac:dyDescent="0.25">
      <c r="A301" s="8">
        <v>45722</v>
      </c>
      <c r="B301" s="3">
        <v>9335</v>
      </c>
      <c r="C301" s="3">
        <v>22145</v>
      </c>
      <c r="D301" s="3" t="s">
        <v>24</v>
      </c>
      <c r="E301" s="3">
        <v>23587</v>
      </c>
      <c r="F301" s="3" t="s">
        <v>401</v>
      </c>
      <c r="G301" s="3" t="s">
        <v>69</v>
      </c>
      <c r="H301" s="3" t="s">
        <v>402</v>
      </c>
      <c r="I301" s="3" t="s">
        <v>79</v>
      </c>
      <c r="J301" s="3" t="s">
        <v>59</v>
      </c>
      <c r="K301" s="4">
        <v>731.49</v>
      </c>
      <c r="L301" s="4">
        <v>-72.19</v>
      </c>
      <c r="M301" s="4">
        <v>0.5</v>
      </c>
      <c r="N301" s="4">
        <v>100</v>
      </c>
      <c r="O301" s="11"/>
      <c r="P301" s="11"/>
      <c r="Q301" s="11"/>
    </row>
    <row r="302" spans="1:17" x14ac:dyDescent="0.25">
      <c r="A302" s="8">
        <v>45722</v>
      </c>
      <c r="B302" s="3">
        <v>9335</v>
      </c>
      <c r="C302" s="3">
        <v>22145</v>
      </c>
      <c r="D302" s="3" t="s">
        <v>24</v>
      </c>
      <c r="E302" s="3">
        <v>23587</v>
      </c>
      <c r="F302" s="3" t="s">
        <v>401</v>
      </c>
      <c r="G302" s="3" t="s">
        <v>69</v>
      </c>
      <c r="H302" s="3" t="s">
        <v>403</v>
      </c>
      <c r="I302" s="3" t="s">
        <v>404</v>
      </c>
      <c r="J302" s="3" t="s">
        <v>59</v>
      </c>
      <c r="K302" s="5"/>
      <c r="L302" s="5"/>
      <c r="M302" s="5"/>
      <c r="N302" s="5"/>
      <c r="O302" s="11"/>
      <c r="P302" s="11"/>
      <c r="Q302" s="11"/>
    </row>
    <row r="303" spans="1:17" x14ac:dyDescent="0.25">
      <c r="A303" s="8">
        <v>45728</v>
      </c>
      <c r="B303" s="3">
        <v>9473</v>
      </c>
      <c r="C303" s="3">
        <v>22145</v>
      </c>
      <c r="D303" s="3" t="s">
        <v>24</v>
      </c>
      <c r="E303" s="3">
        <v>12454</v>
      </c>
      <c r="F303" s="3" t="s">
        <v>651</v>
      </c>
      <c r="G303" s="3" t="s">
        <v>69</v>
      </c>
      <c r="H303" s="3" t="s">
        <v>652</v>
      </c>
      <c r="I303" s="3" t="s">
        <v>67</v>
      </c>
      <c r="J303" s="3" t="s">
        <v>59</v>
      </c>
      <c r="K303" s="6">
        <v>2642.42</v>
      </c>
      <c r="L303" s="6">
        <v>6159</v>
      </c>
      <c r="M303" s="4">
        <v>1</v>
      </c>
      <c r="N303" s="6">
        <v>1108.6199999999999</v>
      </c>
      <c r="O303" s="11"/>
      <c r="P303" s="11"/>
      <c r="Q303" s="11"/>
    </row>
    <row r="304" spans="1:17" x14ac:dyDescent="0.25">
      <c r="A304" s="8">
        <v>45728</v>
      </c>
      <c r="B304" s="3">
        <v>9491</v>
      </c>
      <c r="C304" s="3">
        <v>22145</v>
      </c>
      <c r="D304" s="3" t="s">
        <v>24</v>
      </c>
      <c r="E304" s="3">
        <v>23837</v>
      </c>
      <c r="F304" s="3" t="s">
        <v>653</v>
      </c>
      <c r="G304" s="3" t="s">
        <v>69</v>
      </c>
      <c r="H304" s="3" t="s">
        <v>654</v>
      </c>
      <c r="I304" s="3" t="s">
        <v>655</v>
      </c>
      <c r="J304" s="3" t="s">
        <v>59</v>
      </c>
      <c r="K304" s="6">
        <v>3982.02</v>
      </c>
      <c r="L304" s="4">
        <v>514</v>
      </c>
      <c r="M304" s="4">
        <v>1</v>
      </c>
      <c r="N304" s="4">
        <v>200</v>
      </c>
      <c r="O304" s="11"/>
      <c r="P304" s="11"/>
      <c r="Q304" s="11"/>
    </row>
    <row r="305" spans="1:17" x14ac:dyDescent="0.25">
      <c r="A305" s="8">
        <v>45728</v>
      </c>
      <c r="B305" s="3">
        <v>9491</v>
      </c>
      <c r="C305" s="3">
        <v>22145</v>
      </c>
      <c r="D305" s="3" t="s">
        <v>24</v>
      </c>
      <c r="E305" s="3">
        <v>23837</v>
      </c>
      <c r="F305" s="3" t="s">
        <v>653</v>
      </c>
      <c r="G305" s="3" t="s">
        <v>69</v>
      </c>
      <c r="H305" s="3" t="s">
        <v>656</v>
      </c>
      <c r="I305" s="3" t="s">
        <v>657</v>
      </c>
      <c r="J305" s="3" t="s">
        <v>59</v>
      </c>
      <c r="K305" s="5"/>
      <c r="L305" s="5"/>
      <c r="M305" s="5"/>
      <c r="N305" s="5"/>
      <c r="O305" s="11"/>
      <c r="P305" s="11"/>
      <c r="Q305" s="11"/>
    </row>
    <row r="306" spans="1:17" x14ac:dyDescent="0.25">
      <c r="A306" s="8">
        <v>45733</v>
      </c>
      <c r="B306" s="3">
        <v>9439</v>
      </c>
      <c r="C306" s="3">
        <v>22145</v>
      </c>
      <c r="D306" s="3" t="s">
        <v>24</v>
      </c>
      <c r="E306" s="3">
        <v>23771</v>
      </c>
      <c r="F306" s="3" t="s">
        <v>658</v>
      </c>
      <c r="G306" s="3" t="s">
        <v>69</v>
      </c>
      <c r="H306" s="3" t="s">
        <v>659</v>
      </c>
      <c r="I306" s="3" t="s">
        <v>188</v>
      </c>
      <c r="J306" s="3" t="s">
        <v>59</v>
      </c>
      <c r="K306" s="6">
        <v>2865.9</v>
      </c>
      <c r="L306" s="6">
        <v>-4207</v>
      </c>
      <c r="M306" s="4">
        <v>1</v>
      </c>
      <c r="N306" s="4">
        <v>200</v>
      </c>
      <c r="O306" s="11"/>
      <c r="P306" s="11"/>
      <c r="Q306" s="11"/>
    </row>
    <row r="307" spans="1:17" x14ac:dyDescent="0.25">
      <c r="A307" s="8">
        <v>45733</v>
      </c>
      <c r="B307" s="3">
        <v>9524</v>
      </c>
      <c r="C307" s="3">
        <v>22145</v>
      </c>
      <c r="D307" s="3" t="s">
        <v>24</v>
      </c>
      <c r="E307" s="3">
        <v>255550</v>
      </c>
      <c r="F307" s="3" t="s">
        <v>660</v>
      </c>
      <c r="G307" s="3" t="s">
        <v>69</v>
      </c>
      <c r="H307" s="3" t="s">
        <v>661</v>
      </c>
      <c r="I307" s="3" t="s">
        <v>188</v>
      </c>
      <c r="J307" s="3" t="s">
        <v>59</v>
      </c>
      <c r="K307" s="6">
        <v>4698.5</v>
      </c>
      <c r="L307" s="6">
        <v>7304</v>
      </c>
      <c r="M307" s="4">
        <v>1</v>
      </c>
      <c r="N307" s="6">
        <v>1314.72</v>
      </c>
      <c r="O307" s="11"/>
      <c r="P307" s="11"/>
      <c r="Q307" s="11"/>
    </row>
    <row r="308" spans="1:17" x14ac:dyDescent="0.25">
      <c r="A308" s="8">
        <v>45733</v>
      </c>
      <c r="B308" s="3">
        <v>9524</v>
      </c>
      <c r="C308" s="3">
        <v>22145</v>
      </c>
      <c r="D308" s="3" t="s">
        <v>24</v>
      </c>
      <c r="E308" s="3">
        <v>255550</v>
      </c>
      <c r="F308" s="3" t="s">
        <v>660</v>
      </c>
      <c r="G308" s="3" t="s">
        <v>69</v>
      </c>
      <c r="H308" s="3" t="s">
        <v>557</v>
      </c>
      <c r="I308" s="3" t="s">
        <v>333</v>
      </c>
      <c r="J308" s="3" t="s">
        <v>59</v>
      </c>
      <c r="K308" s="5"/>
      <c r="L308" s="5"/>
      <c r="M308" s="5"/>
      <c r="N308" s="5"/>
      <c r="O308" s="11"/>
      <c r="P308" s="11"/>
      <c r="Q308" s="11"/>
    </row>
    <row r="309" spans="1:17" x14ac:dyDescent="0.25">
      <c r="A309" s="8">
        <v>45733</v>
      </c>
      <c r="B309" s="3">
        <v>9550</v>
      </c>
      <c r="C309" s="3">
        <v>22145</v>
      </c>
      <c r="D309" s="3" t="s">
        <v>24</v>
      </c>
      <c r="E309" s="3">
        <v>23972</v>
      </c>
      <c r="F309" s="3" t="s">
        <v>662</v>
      </c>
      <c r="G309" s="3" t="s">
        <v>69</v>
      </c>
      <c r="H309" s="3">
        <v>5126466</v>
      </c>
      <c r="I309" s="3" t="s">
        <v>519</v>
      </c>
      <c r="J309" s="3" t="s">
        <v>59</v>
      </c>
      <c r="K309" s="6">
        <v>3377.66</v>
      </c>
      <c r="L309" s="6">
        <v>2177</v>
      </c>
      <c r="M309" s="4">
        <v>1</v>
      </c>
      <c r="N309" s="4">
        <v>391.86</v>
      </c>
      <c r="O309" s="11"/>
      <c r="P309" s="11"/>
      <c r="Q309" s="11"/>
    </row>
    <row r="310" spans="1:17" x14ac:dyDescent="0.25">
      <c r="A310" s="8">
        <v>45733</v>
      </c>
      <c r="B310" s="3">
        <v>9550</v>
      </c>
      <c r="C310" s="3">
        <v>22145</v>
      </c>
      <c r="D310" s="3" t="s">
        <v>24</v>
      </c>
      <c r="E310" s="3">
        <v>23972</v>
      </c>
      <c r="F310" s="3" t="s">
        <v>662</v>
      </c>
      <c r="G310" s="3" t="s">
        <v>69</v>
      </c>
      <c r="H310" s="3" t="s">
        <v>663</v>
      </c>
      <c r="I310" s="3" t="s">
        <v>664</v>
      </c>
      <c r="J310" s="3" t="s">
        <v>59</v>
      </c>
      <c r="K310" s="5"/>
      <c r="L310" s="5"/>
      <c r="M310" s="5"/>
      <c r="N310" s="5"/>
      <c r="O310" s="11"/>
      <c r="P310" s="11"/>
      <c r="Q310" s="11"/>
    </row>
    <row r="311" spans="1:17" x14ac:dyDescent="0.25">
      <c r="A311" s="8">
        <v>45735</v>
      </c>
      <c r="B311" s="3">
        <v>9592</v>
      </c>
      <c r="C311" s="3">
        <v>22145</v>
      </c>
      <c r="D311" s="3" t="s">
        <v>24</v>
      </c>
      <c r="E311" s="3">
        <v>24024</v>
      </c>
      <c r="F311" s="3" t="s">
        <v>665</v>
      </c>
      <c r="G311" s="3" t="s">
        <v>69</v>
      </c>
      <c r="H311" s="3" t="s">
        <v>666</v>
      </c>
      <c r="I311" s="3" t="s">
        <v>667</v>
      </c>
      <c r="J311" s="3" t="s">
        <v>59</v>
      </c>
      <c r="K311" s="4">
        <v>408.6</v>
      </c>
      <c r="L311" s="6">
        <v>-2395</v>
      </c>
      <c r="M311" s="4">
        <v>1</v>
      </c>
      <c r="N311" s="4">
        <v>200</v>
      </c>
      <c r="O311" s="11"/>
      <c r="P311" s="11"/>
      <c r="Q311" s="11"/>
    </row>
    <row r="312" spans="1:17" x14ac:dyDescent="0.25">
      <c r="A312" s="8">
        <v>45735</v>
      </c>
      <c r="B312" s="3">
        <v>9592</v>
      </c>
      <c r="C312" s="3">
        <v>22145</v>
      </c>
      <c r="D312" s="3" t="s">
        <v>24</v>
      </c>
      <c r="E312" s="3">
        <v>24024</v>
      </c>
      <c r="F312" s="3" t="s">
        <v>665</v>
      </c>
      <c r="G312" s="3" t="s">
        <v>69</v>
      </c>
      <c r="H312" s="3" t="s">
        <v>554</v>
      </c>
      <c r="I312" s="3" t="s">
        <v>555</v>
      </c>
      <c r="J312" s="3" t="s">
        <v>59</v>
      </c>
      <c r="K312" s="5"/>
      <c r="L312" s="5"/>
      <c r="M312" s="5"/>
      <c r="N312" s="5"/>
      <c r="O312" s="11"/>
      <c r="P312" s="11"/>
      <c r="Q312" s="11"/>
    </row>
    <row r="313" spans="1:17" x14ac:dyDescent="0.25">
      <c r="A313" s="8">
        <v>45742</v>
      </c>
      <c r="B313" s="3">
        <v>9685</v>
      </c>
      <c r="C313" s="3">
        <v>22145</v>
      </c>
      <c r="D313" s="3" t="s">
        <v>24</v>
      </c>
      <c r="E313" s="3">
        <v>24196</v>
      </c>
      <c r="F313" s="3" t="s">
        <v>668</v>
      </c>
      <c r="G313" s="3" t="s">
        <v>56</v>
      </c>
      <c r="H313" s="3" t="s">
        <v>669</v>
      </c>
      <c r="I313" s="3" t="s">
        <v>106</v>
      </c>
      <c r="J313" s="3" t="s">
        <v>59</v>
      </c>
      <c r="K313" s="6">
        <v>5729.95</v>
      </c>
      <c r="L313" s="6">
        <v>5343.41</v>
      </c>
      <c r="M313" s="4">
        <v>1</v>
      </c>
      <c r="N313" s="4">
        <v>961.81</v>
      </c>
      <c r="O313" s="11"/>
      <c r="P313" s="11"/>
      <c r="Q313" s="11"/>
    </row>
    <row r="314" spans="1:17" x14ac:dyDescent="0.25">
      <c r="A314" s="8">
        <v>45743</v>
      </c>
      <c r="B314" s="3">
        <v>9732</v>
      </c>
      <c r="C314" s="3">
        <v>22145</v>
      </c>
      <c r="D314" s="3" t="s">
        <v>24</v>
      </c>
      <c r="E314" s="3">
        <v>24247</v>
      </c>
      <c r="F314" s="3" t="s">
        <v>670</v>
      </c>
      <c r="G314" s="3" t="s">
        <v>63</v>
      </c>
      <c r="H314" s="3" t="s">
        <v>671</v>
      </c>
      <c r="I314" s="3" t="s">
        <v>118</v>
      </c>
      <c r="J314" s="3" t="s">
        <v>59</v>
      </c>
      <c r="K314" s="6">
        <v>2193.71</v>
      </c>
      <c r="L314" s="6">
        <v>-1440</v>
      </c>
      <c r="M314" s="4">
        <v>1</v>
      </c>
      <c r="N314" s="4">
        <v>200</v>
      </c>
      <c r="O314" s="11"/>
      <c r="P314" s="11"/>
      <c r="Q314" s="11"/>
    </row>
    <row r="315" spans="1:17" x14ac:dyDescent="0.25">
      <c r="A315" s="8">
        <v>45743</v>
      </c>
      <c r="B315" s="3">
        <v>9712</v>
      </c>
      <c r="C315" s="3">
        <v>22145</v>
      </c>
      <c r="D315" s="3" t="s">
        <v>24</v>
      </c>
      <c r="E315" s="3">
        <v>24234</v>
      </c>
      <c r="F315" s="3" t="s">
        <v>672</v>
      </c>
      <c r="G315" s="3" t="s">
        <v>56</v>
      </c>
      <c r="H315" s="3" t="s">
        <v>673</v>
      </c>
      <c r="I315" s="3" t="s">
        <v>71</v>
      </c>
      <c r="J315" s="3" t="s">
        <v>59</v>
      </c>
      <c r="K315" s="4">
        <v>977</v>
      </c>
      <c r="L315" s="4">
        <v>814.57</v>
      </c>
      <c r="M315" s="4">
        <v>1</v>
      </c>
      <c r="N315" s="4">
        <v>200</v>
      </c>
      <c r="O315" s="11"/>
      <c r="P315" s="11"/>
      <c r="Q315" s="11"/>
    </row>
    <row r="316" spans="1:17" x14ac:dyDescent="0.25">
      <c r="A316" s="8">
        <v>45744</v>
      </c>
      <c r="B316" s="3">
        <v>9756</v>
      </c>
      <c r="C316" s="3">
        <v>22145</v>
      </c>
      <c r="D316" s="3" t="s">
        <v>24</v>
      </c>
      <c r="E316" s="3">
        <v>226994</v>
      </c>
      <c r="F316" s="3" t="s">
        <v>674</v>
      </c>
      <c r="G316" s="3" t="s">
        <v>56</v>
      </c>
      <c r="H316" s="3" t="s">
        <v>675</v>
      </c>
      <c r="I316" s="3" t="s">
        <v>210</v>
      </c>
      <c r="J316" s="3" t="s">
        <v>59</v>
      </c>
      <c r="K316" s="6">
        <v>2158.9899999999998</v>
      </c>
      <c r="L316" s="4">
        <v>775</v>
      </c>
      <c r="M316" s="4">
        <v>0.5</v>
      </c>
      <c r="N316" s="4">
        <v>139.5</v>
      </c>
      <c r="O316" s="11"/>
      <c r="P316" s="11"/>
      <c r="Q316" s="11"/>
    </row>
    <row r="317" spans="1:17" x14ac:dyDescent="0.25">
      <c r="A317" s="8">
        <v>45744</v>
      </c>
      <c r="B317" s="3">
        <v>9756</v>
      </c>
      <c r="C317" s="3">
        <v>22145</v>
      </c>
      <c r="D317" s="3" t="s">
        <v>24</v>
      </c>
      <c r="E317" s="3">
        <v>226994</v>
      </c>
      <c r="F317" s="3" t="s">
        <v>674</v>
      </c>
      <c r="G317" s="3" t="s">
        <v>56</v>
      </c>
      <c r="H317" s="3" t="s">
        <v>676</v>
      </c>
      <c r="I317" s="3" t="s">
        <v>677</v>
      </c>
      <c r="J317" s="3" t="s">
        <v>59</v>
      </c>
      <c r="K317" s="5"/>
      <c r="L317" s="5"/>
      <c r="M317" s="5"/>
      <c r="N317" s="5"/>
      <c r="O317" s="11"/>
      <c r="P317" s="11"/>
      <c r="Q317" s="11"/>
    </row>
    <row r="318" spans="1:17" x14ac:dyDescent="0.25">
      <c r="A318" s="8">
        <v>45747</v>
      </c>
      <c r="B318" s="3">
        <v>9974</v>
      </c>
      <c r="C318" s="3">
        <v>22145</v>
      </c>
      <c r="D318" s="3" t="s">
        <v>24</v>
      </c>
      <c r="E318" s="3">
        <v>24529</v>
      </c>
      <c r="F318" s="3" t="s">
        <v>678</v>
      </c>
      <c r="G318" s="3" t="s">
        <v>69</v>
      </c>
      <c r="H318" s="3" t="s">
        <v>679</v>
      </c>
      <c r="I318" s="3" t="s">
        <v>427</v>
      </c>
      <c r="J318" s="3" t="s">
        <v>59</v>
      </c>
      <c r="K318" s="6">
        <v>5284.94</v>
      </c>
      <c r="L318" s="6">
        <v>2556</v>
      </c>
      <c r="M318" s="4">
        <v>1</v>
      </c>
      <c r="N318" s="4">
        <v>460.08</v>
      </c>
      <c r="O318" s="11"/>
      <c r="P318" s="11"/>
      <c r="Q318" s="11"/>
    </row>
    <row r="319" spans="1:17" x14ac:dyDescent="0.25">
      <c r="A319" s="8">
        <v>45747</v>
      </c>
      <c r="B319" s="3">
        <v>9765</v>
      </c>
      <c r="C319" s="3">
        <v>22145</v>
      </c>
      <c r="D319" s="3" t="s">
        <v>24</v>
      </c>
      <c r="E319" s="3">
        <v>24234</v>
      </c>
      <c r="F319" s="3" t="s">
        <v>672</v>
      </c>
      <c r="G319" s="3" t="s">
        <v>56</v>
      </c>
      <c r="H319" s="3" t="s">
        <v>680</v>
      </c>
      <c r="I319" s="3" t="s">
        <v>270</v>
      </c>
      <c r="J319" s="3" t="s">
        <v>59</v>
      </c>
      <c r="K319" s="4">
        <v>0</v>
      </c>
      <c r="L319" s="4">
        <v>0</v>
      </c>
      <c r="M319" s="4">
        <v>0</v>
      </c>
      <c r="N319" s="4">
        <v>0</v>
      </c>
      <c r="O319" s="11"/>
      <c r="P319" s="11"/>
      <c r="Q319" s="11"/>
    </row>
    <row r="320" spans="1:17" x14ac:dyDescent="0.25">
      <c r="A320" s="8">
        <v>45747</v>
      </c>
      <c r="B320" s="3">
        <v>9765</v>
      </c>
      <c r="C320" s="3">
        <v>22145</v>
      </c>
      <c r="D320" s="3" t="s">
        <v>24</v>
      </c>
      <c r="E320" s="3">
        <v>24234</v>
      </c>
      <c r="F320" s="3" t="s">
        <v>672</v>
      </c>
      <c r="G320" s="3" t="s">
        <v>56</v>
      </c>
      <c r="H320" s="3" t="s">
        <v>681</v>
      </c>
      <c r="I320" s="3" t="s">
        <v>682</v>
      </c>
      <c r="J320" s="3" t="s">
        <v>59</v>
      </c>
      <c r="K320" s="5"/>
      <c r="L320" s="5"/>
      <c r="M320" s="5"/>
      <c r="N320" s="5"/>
      <c r="O320" s="11"/>
      <c r="P320" s="11"/>
      <c r="Q320" s="11"/>
    </row>
    <row r="321" spans="1:17" x14ac:dyDescent="0.25">
      <c r="A321" s="8">
        <v>45747</v>
      </c>
      <c r="B321" s="3">
        <v>9928</v>
      </c>
      <c r="C321" s="3">
        <v>22145</v>
      </c>
      <c r="D321" s="3" t="s">
        <v>24</v>
      </c>
      <c r="E321" s="3">
        <v>24477</v>
      </c>
      <c r="F321" s="3" t="s">
        <v>683</v>
      </c>
      <c r="G321" s="3" t="s">
        <v>56</v>
      </c>
      <c r="H321" s="3" t="s">
        <v>684</v>
      </c>
      <c r="I321" s="3" t="s">
        <v>188</v>
      </c>
      <c r="J321" s="3" t="s">
        <v>59</v>
      </c>
      <c r="K321" s="6">
        <v>1962</v>
      </c>
      <c r="L321" s="4">
        <v>17.190000000000001</v>
      </c>
      <c r="M321" s="4">
        <v>1</v>
      </c>
      <c r="N321" s="4">
        <v>200</v>
      </c>
      <c r="O321" s="11"/>
      <c r="P321" s="11"/>
      <c r="Q321" s="11"/>
    </row>
    <row r="322" spans="1:17" x14ac:dyDescent="0.25">
      <c r="A322" s="8">
        <v>45747</v>
      </c>
      <c r="B322" s="3">
        <v>9627</v>
      </c>
      <c r="C322" s="3">
        <v>22145</v>
      </c>
      <c r="D322" s="3" t="s">
        <v>24</v>
      </c>
      <c r="E322" s="3">
        <v>23388</v>
      </c>
      <c r="F322" s="3" t="s">
        <v>647</v>
      </c>
      <c r="G322" s="3" t="s">
        <v>56</v>
      </c>
      <c r="H322" s="3" t="s">
        <v>685</v>
      </c>
      <c r="I322" s="3" t="s">
        <v>166</v>
      </c>
      <c r="J322" s="3" t="s">
        <v>59</v>
      </c>
      <c r="K322" s="6">
        <v>3329.18</v>
      </c>
      <c r="L322" s="6">
        <v>-1737.3</v>
      </c>
      <c r="M322" s="4">
        <v>1</v>
      </c>
      <c r="N322" s="4">
        <v>200</v>
      </c>
      <c r="O322" s="11"/>
      <c r="P322" s="11"/>
      <c r="Q322" s="11"/>
    </row>
    <row r="323" spans="1:17" x14ac:dyDescent="0.25">
      <c r="A323" s="8">
        <v>45747</v>
      </c>
      <c r="B323" s="3">
        <v>9627</v>
      </c>
      <c r="C323" s="3">
        <v>22145</v>
      </c>
      <c r="D323" s="3" t="s">
        <v>24</v>
      </c>
      <c r="E323" s="3">
        <v>23388</v>
      </c>
      <c r="F323" s="3" t="s">
        <v>647</v>
      </c>
      <c r="G323" s="3" t="s">
        <v>56</v>
      </c>
      <c r="H323" s="3" t="s">
        <v>686</v>
      </c>
      <c r="I323" s="3" t="s">
        <v>687</v>
      </c>
      <c r="J323" s="3" t="s">
        <v>59</v>
      </c>
      <c r="K323" s="5"/>
      <c r="L323" s="5"/>
      <c r="M323" s="5"/>
      <c r="N323" s="5"/>
      <c r="O323" s="11"/>
      <c r="P323" s="11"/>
      <c r="Q323" s="11"/>
    </row>
    <row r="324" spans="1:17" x14ac:dyDescent="0.25">
      <c r="A324" s="8">
        <v>45747</v>
      </c>
      <c r="B324" s="3" t="s">
        <v>688</v>
      </c>
      <c r="C324" s="3">
        <v>22145</v>
      </c>
      <c r="D324" s="3" t="s">
        <v>24</v>
      </c>
      <c r="E324" s="3">
        <v>24234</v>
      </c>
      <c r="F324" s="3" t="s">
        <v>672</v>
      </c>
      <c r="G324" s="3" t="s">
        <v>56</v>
      </c>
      <c r="H324" s="3" t="s">
        <v>680</v>
      </c>
      <c r="I324" s="3" t="s">
        <v>270</v>
      </c>
      <c r="J324" s="3" t="s">
        <v>59</v>
      </c>
      <c r="K324" s="6">
        <v>2883.76</v>
      </c>
      <c r="L324" s="6">
        <v>5279.26</v>
      </c>
      <c r="M324" s="4">
        <v>1</v>
      </c>
      <c r="N324" s="4">
        <v>950.27</v>
      </c>
      <c r="O324" s="11"/>
      <c r="P324" s="11"/>
      <c r="Q324" s="11"/>
    </row>
    <row r="325" spans="1:17" x14ac:dyDescent="0.25">
      <c r="A325" s="8">
        <v>45747</v>
      </c>
      <c r="B325" s="3" t="s">
        <v>688</v>
      </c>
      <c r="C325" s="3">
        <v>22145</v>
      </c>
      <c r="D325" s="3" t="s">
        <v>24</v>
      </c>
      <c r="E325" s="3">
        <v>24234</v>
      </c>
      <c r="F325" s="3" t="s">
        <v>672</v>
      </c>
      <c r="G325" s="3" t="s">
        <v>56</v>
      </c>
      <c r="H325" s="3" t="s">
        <v>681</v>
      </c>
      <c r="I325" s="3" t="s">
        <v>682</v>
      </c>
      <c r="J325" s="3" t="s">
        <v>59</v>
      </c>
      <c r="K325" s="5"/>
      <c r="L325" s="5"/>
      <c r="M325" s="5"/>
      <c r="N325" s="5"/>
      <c r="O325" s="11"/>
      <c r="P325" s="11"/>
      <c r="Q325" s="11"/>
    </row>
    <row r="326" spans="1:17" x14ac:dyDescent="0.25">
      <c r="A326" s="8">
        <v>45721</v>
      </c>
      <c r="B326" s="3">
        <v>9333</v>
      </c>
      <c r="C326" s="3">
        <v>22478</v>
      </c>
      <c r="D326" s="3" t="s">
        <v>25</v>
      </c>
      <c r="E326" s="3">
        <v>23586</v>
      </c>
      <c r="F326" s="3" t="s">
        <v>689</v>
      </c>
      <c r="G326" s="3" t="s">
        <v>56</v>
      </c>
      <c r="H326" s="3" t="s">
        <v>690</v>
      </c>
      <c r="I326" s="3" t="s">
        <v>166</v>
      </c>
      <c r="J326" s="3" t="s">
        <v>59</v>
      </c>
      <c r="K326" s="6">
        <v>1654</v>
      </c>
      <c r="L326" s="6">
        <v>1445</v>
      </c>
      <c r="M326" s="4">
        <v>1</v>
      </c>
      <c r="N326" s="4">
        <v>260.10000000000002</v>
      </c>
      <c r="O326" s="11"/>
      <c r="P326" s="11"/>
      <c r="Q326" s="11"/>
    </row>
    <row r="327" spans="1:17" x14ac:dyDescent="0.25">
      <c r="A327" s="8">
        <v>45734</v>
      </c>
      <c r="B327" s="3">
        <v>9481</v>
      </c>
      <c r="C327" s="3">
        <v>22478</v>
      </c>
      <c r="D327" s="3" t="s">
        <v>25</v>
      </c>
      <c r="E327" s="3">
        <v>23824</v>
      </c>
      <c r="F327" s="3" t="s">
        <v>691</v>
      </c>
      <c r="G327" s="3" t="s">
        <v>69</v>
      </c>
      <c r="H327" s="3" t="s">
        <v>692</v>
      </c>
      <c r="I327" s="3" t="s">
        <v>79</v>
      </c>
      <c r="J327" s="3" t="s">
        <v>59</v>
      </c>
      <c r="K327" s="6">
        <v>3918.65</v>
      </c>
      <c r="L327" s="6">
        <v>1460.22</v>
      </c>
      <c r="M327" s="4">
        <v>1</v>
      </c>
      <c r="N327" s="4">
        <v>262.83999999999997</v>
      </c>
      <c r="O327" s="11"/>
      <c r="P327" s="11"/>
      <c r="Q327" s="11"/>
    </row>
    <row r="328" spans="1:17" x14ac:dyDescent="0.25">
      <c r="A328" s="8">
        <v>45734</v>
      </c>
      <c r="B328" s="3">
        <v>9481</v>
      </c>
      <c r="C328" s="3">
        <v>22478</v>
      </c>
      <c r="D328" s="3" t="s">
        <v>25</v>
      </c>
      <c r="E328" s="3">
        <v>23824</v>
      </c>
      <c r="F328" s="3" t="s">
        <v>691</v>
      </c>
      <c r="G328" s="3" t="s">
        <v>69</v>
      </c>
      <c r="H328" s="3" t="s">
        <v>609</v>
      </c>
      <c r="I328" s="3" t="s">
        <v>610</v>
      </c>
      <c r="J328" s="3" t="s">
        <v>59</v>
      </c>
      <c r="K328" s="5"/>
      <c r="L328" s="5"/>
      <c r="M328" s="5"/>
      <c r="N328" s="5"/>
      <c r="O328" s="11"/>
      <c r="P328" s="11"/>
      <c r="Q328" s="11"/>
    </row>
    <row r="329" spans="1:17" x14ac:dyDescent="0.25">
      <c r="A329" s="8">
        <v>45747</v>
      </c>
      <c r="B329" s="3">
        <v>9786</v>
      </c>
      <c r="C329" s="3">
        <v>22478</v>
      </c>
      <c r="D329" s="3" t="s">
        <v>25</v>
      </c>
      <c r="E329" s="3">
        <v>24300</v>
      </c>
      <c r="F329" s="3" t="s">
        <v>693</v>
      </c>
      <c r="G329" s="3" t="s">
        <v>69</v>
      </c>
      <c r="H329" s="3" t="s">
        <v>694</v>
      </c>
      <c r="I329" s="3" t="s">
        <v>67</v>
      </c>
      <c r="J329" s="3" t="s">
        <v>59</v>
      </c>
      <c r="K329" s="6">
        <v>1283</v>
      </c>
      <c r="L329" s="6">
        <v>5221.5</v>
      </c>
      <c r="M329" s="4">
        <v>1</v>
      </c>
      <c r="N329" s="4">
        <v>939.87</v>
      </c>
      <c r="O329" s="11"/>
      <c r="P329" s="11"/>
      <c r="Q329" s="11"/>
    </row>
    <row r="330" spans="1:17" x14ac:dyDescent="0.25">
      <c r="A330" s="8">
        <v>45747</v>
      </c>
      <c r="B330" s="3">
        <v>9786</v>
      </c>
      <c r="C330" s="3">
        <v>22478</v>
      </c>
      <c r="D330" s="3" t="s">
        <v>25</v>
      </c>
      <c r="E330" s="3">
        <v>24300</v>
      </c>
      <c r="F330" s="3" t="s">
        <v>693</v>
      </c>
      <c r="G330" s="3" t="s">
        <v>69</v>
      </c>
      <c r="H330" s="3" t="s">
        <v>695</v>
      </c>
      <c r="I330" s="3" t="s">
        <v>696</v>
      </c>
      <c r="J330" s="3" t="s">
        <v>59</v>
      </c>
      <c r="K330" s="5"/>
      <c r="L330" s="5"/>
      <c r="M330" s="5"/>
      <c r="N330" s="5"/>
      <c r="O330" s="11"/>
      <c r="P330" s="11"/>
      <c r="Q330" s="11"/>
    </row>
    <row r="331" spans="1:17" x14ac:dyDescent="0.25">
      <c r="A331" s="8">
        <v>45747</v>
      </c>
      <c r="B331" s="3">
        <v>9823</v>
      </c>
      <c r="C331" s="3">
        <v>22478</v>
      </c>
      <c r="D331" s="3" t="s">
        <v>25</v>
      </c>
      <c r="E331" s="3">
        <v>24345</v>
      </c>
      <c r="F331" s="3" t="s">
        <v>697</v>
      </c>
      <c r="G331" s="3" t="s">
        <v>56</v>
      </c>
      <c r="H331" s="3" t="s">
        <v>698</v>
      </c>
      <c r="I331" s="3" t="s">
        <v>369</v>
      </c>
      <c r="J331" s="3" t="s">
        <v>59</v>
      </c>
      <c r="K331" s="4">
        <v>728</v>
      </c>
      <c r="L331" s="6">
        <v>-2523.59</v>
      </c>
      <c r="M331" s="4">
        <v>1</v>
      </c>
      <c r="N331" s="4">
        <v>200</v>
      </c>
      <c r="O331" s="11"/>
      <c r="P331" s="11"/>
      <c r="Q331" s="11"/>
    </row>
    <row r="332" spans="1:17" x14ac:dyDescent="0.25">
      <c r="A332" s="8">
        <v>45747</v>
      </c>
      <c r="B332" s="3">
        <v>9934</v>
      </c>
      <c r="C332" s="3">
        <v>22478</v>
      </c>
      <c r="D332" s="3" t="s">
        <v>25</v>
      </c>
      <c r="E332" s="3">
        <v>274833</v>
      </c>
      <c r="F332" s="3" t="s">
        <v>699</v>
      </c>
      <c r="G332" s="3" t="s">
        <v>56</v>
      </c>
      <c r="H332" s="3">
        <v>5237011</v>
      </c>
      <c r="I332" s="3" t="s">
        <v>519</v>
      </c>
      <c r="J332" s="3" t="s">
        <v>59</v>
      </c>
      <c r="K332" s="4">
        <v>462</v>
      </c>
      <c r="L332" s="6">
        <v>-2149</v>
      </c>
      <c r="M332" s="4">
        <v>1</v>
      </c>
      <c r="N332" s="4">
        <v>200</v>
      </c>
      <c r="O332" s="11"/>
      <c r="P332" s="11"/>
      <c r="Q332" s="11"/>
    </row>
    <row r="333" spans="1:17" x14ac:dyDescent="0.25">
      <c r="A333" s="8">
        <v>45721</v>
      </c>
      <c r="B333" s="3" t="s">
        <v>61</v>
      </c>
      <c r="C333" s="3">
        <v>22564</v>
      </c>
      <c r="D333" s="3" t="s">
        <v>26</v>
      </c>
      <c r="E333" s="3">
        <v>23583</v>
      </c>
      <c r="F333" s="3" t="s">
        <v>62</v>
      </c>
      <c r="G333" s="3" t="s">
        <v>63</v>
      </c>
      <c r="H333" s="3">
        <v>5217204</v>
      </c>
      <c r="I333" s="3" t="s">
        <v>64</v>
      </c>
      <c r="J333" s="3" t="s">
        <v>59</v>
      </c>
      <c r="K333" s="6">
        <v>1005.29</v>
      </c>
      <c r="L333" s="4">
        <v>234.62</v>
      </c>
      <c r="M333" s="4">
        <v>0.5</v>
      </c>
      <c r="N333" s="4">
        <v>100</v>
      </c>
      <c r="O333" s="11"/>
      <c r="P333" s="11"/>
      <c r="Q333" s="11"/>
    </row>
    <row r="334" spans="1:17" x14ac:dyDescent="0.25">
      <c r="A334" s="8">
        <v>45721</v>
      </c>
      <c r="B334" s="3">
        <v>9326</v>
      </c>
      <c r="C334" s="3">
        <v>22564</v>
      </c>
      <c r="D334" s="3" t="s">
        <v>26</v>
      </c>
      <c r="E334" s="3">
        <v>23576</v>
      </c>
      <c r="F334" s="3" t="s">
        <v>700</v>
      </c>
      <c r="G334" s="3" t="s">
        <v>69</v>
      </c>
      <c r="H334" s="3" t="s">
        <v>701</v>
      </c>
      <c r="I334" s="3" t="s">
        <v>67</v>
      </c>
      <c r="J334" s="3" t="s">
        <v>59</v>
      </c>
      <c r="K334" s="6">
        <v>3202.36</v>
      </c>
      <c r="L334" s="6">
        <v>3165</v>
      </c>
      <c r="M334" s="4">
        <v>1</v>
      </c>
      <c r="N334" s="4">
        <v>569.70000000000005</v>
      </c>
      <c r="O334" s="11"/>
      <c r="P334" s="11"/>
      <c r="Q334" s="11"/>
    </row>
    <row r="335" spans="1:17" x14ac:dyDescent="0.25">
      <c r="A335" s="8">
        <v>45721</v>
      </c>
      <c r="B335" s="3">
        <v>9330</v>
      </c>
      <c r="C335" s="3">
        <v>22564</v>
      </c>
      <c r="D335" s="3" t="s">
        <v>26</v>
      </c>
      <c r="E335" s="3">
        <v>23583</v>
      </c>
      <c r="F335" s="3" t="s">
        <v>62</v>
      </c>
      <c r="G335" s="3" t="s">
        <v>56</v>
      </c>
      <c r="H335" s="3">
        <v>5217204</v>
      </c>
      <c r="I335" s="3" t="s">
        <v>64</v>
      </c>
      <c r="J335" s="3" t="s">
        <v>59</v>
      </c>
      <c r="K335" s="4">
        <v>0</v>
      </c>
      <c r="L335" s="4">
        <v>0</v>
      </c>
      <c r="M335" s="4">
        <v>0</v>
      </c>
      <c r="N335" s="4">
        <v>0</v>
      </c>
      <c r="O335" s="11"/>
      <c r="P335" s="11"/>
      <c r="Q335" s="11"/>
    </row>
    <row r="336" spans="1:17" x14ac:dyDescent="0.25">
      <c r="A336" s="8">
        <v>45727</v>
      </c>
      <c r="B336" s="3">
        <v>9418</v>
      </c>
      <c r="C336" s="3">
        <v>22564</v>
      </c>
      <c r="D336" s="3" t="s">
        <v>26</v>
      </c>
      <c r="E336" s="3">
        <v>23725</v>
      </c>
      <c r="F336" s="3" t="s">
        <v>702</v>
      </c>
      <c r="G336" s="3" t="s">
        <v>125</v>
      </c>
      <c r="H336" s="3" t="s">
        <v>703</v>
      </c>
      <c r="I336" s="3" t="s">
        <v>704</v>
      </c>
      <c r="J336" s="3" t="s">
        <v>86</v>
      </c>
      <c r="K336" s="6">
        <v>1688.12</v>
      </c>
      <c r="L336" s="6">
        <v>2624.59</v>
      </c>
      <c r="M336" s="4">
        <v>1</v>
      </c>
      <c r="N336" s="4">
        <v>472.43</v>
      </c>
      <c r="O336" s="11"/>
      <c r="P336" s="11"/>
      <c r="Q336" s="11"/>
    </row>
    <row r="337" spans="1:17" x14ac:dyDescent="0.25">
      <c r="A337" s="8">
        <v>45728</v>
      </c>
      <c r="B337" s="3">
        <v>9466</v>
      </c>
      <c r="C337" s="3">
        <v>22564</v>
      </c>
      <c r="D337" s="3" t="s">
        <v>26</v>
      </c>
      <c r="E337" s="3">
        <v>23813</v>
      </c>
      <c r="F337" s="3" t="s">
        <v>705</v>
      </c>
      <c r="G337" s="3" t="s">
        <v>108</v>
      </c>
      <c r="H337" s="3" t="s">
        <v>706</v>
      </c>
      <c r="I337" s="3" t="s">
        <v>350</v>
      </c>
      <c r="J337" s="3" t="s">
        <v>86</v>
      </c>
      <c r="K337" s="6">
        <v>4291.05</v>
      </c>
      <c r="L337" s="4">
        <v>-879.27</v>
      </c>
      <c r="M337" s="4">
        <v>1</v>
      </c>
      <c r="N337" s="4">
        <v>200</v>
      </c>
      <c r="O337" s="11"/>
      <c r="P337" s="11"/>
      <c r="Q337" s="11"/>
    </row>
    <row r="338" spans="1:17" x14ac:dyDescent="0.25">
      <c r="A338" s="8">
        <v>45728</v>
      </c>
      <c r="B338" s="3">
        <v>9466</v>
      </c>
      <c r="C338" s="3">
        <v>22564</v>
      </c>
      <c r="D338" s="3" t="s">
        <v>26</v>
      </c>
      <c r="E338" s="3">
        <v>23813</v>
      </c>
      <c r="F338" s="3" t="s">
        <v>705</v>
      </c>
      <c r="G338" s="3" t="s">
        <v>108</v>
      </c>
      <c r="H338" s="3" t="s">
        <v>707</v>
      </c>
      <c r="I338" s="3" t="s">
        <v>708</v>
      </c>
      <c r="J338" s="3" t="s">
        <v>86</v>
      </c>
      <c r="K338" s="5"/>
      <c r="L338" s="5"/>
      <c r="M338" s="5"/>
      <c r="N338" s="5"/>
      <c r="O338" s="11"/>
      <c r="P338" s="11"/>
      <c r="Q338" s="11"/>
    </row>
    <row r="339" spans="1:17" x14ac:dyDescent="0.25">
      <c r="A339" s="8">
        <v>45733</v>
      </c>
      <c r="B339" s="3">
        <v>9527</v>
      </c>
      <c r="C339" s="3">
        <v>22564</v>
      </c>
      <c r="D339" s="3" t="s">
        <v>26</v>
      </c>
      <c r="E339" s="3">
        <v>23945</v>
      </c>
      <c r="F339" s="3" t="s">
        <v>709</v>
      </c>
      <c r="G339" s="3" t="s">
        <v>69</v>
      </c>
      <c r="H339" s="3" t="s">
        <v>710</v>
      </c>
      <c r="I339" s="3" t="s">
        <v>711</v>
      </c>
      <c r="J339" s="3" t="s">
        <v>59</v>
      </c>
      <c r="K339" s="4">
        <v>0</v>
      </c>
      <c r="L339" s="4">
        <v>0</v>
      </c>
      <c r="M339" s="4">
        <v>0</v>
      </c>
      <c r="N339" s="4">
        <v>0</v>
      </c>
      <c r="O339" s="11"/>
      <c r="P339" s="11"/>
      <c r="Q339" s="11"/>
    </row>
    <row r="340" spans="1:17" x14ac:dyDescent="0.25">
      <c r="A340" s="8">
        <v>45733</v>
      </c>
      <c r="B340" s="3">
        <v>9527</v>
      </c>
      <c r="C340" s="3">
        <v>22564</v>
      </c>
      <c r="D340" s="3" t="s">
        <v>26</v>
      </c>
      <c r="E340" s="3">
        <v>23945</v>
      </c>
      <c r="F340" s="3" t="s">
        <v>709</v>
      </c>
      <c r="G340" s="3" t="s">
        <v>69</v>
      </c>
      <c r="H340" s="3" t="s">
        <v>712</v>
      </c>
      <c r="I340" s="3" t="s">
        <v>713</v>
      </c>
      <c r="J340" s="3" t="s">
        <v>59</v>
      </c>
      <c r="K340" s="5"/>
      <c r="L340" s="5"/>
      <c r="M340" s="5"/>
      <c r="N340" s="5"/>
      <c r="O340" s="11"/>
      <c r="P340" s="11"/>
      <c r="Q340" s="11"/>
    </row>
    <row r="341" spans="1:17" x14ac:dyDescent="0.25">
      <c r="A341" s="8">
        <v>45734</v>
      </c>
      <c r="B341" s="3">
        <v>9583</v>
      </c>
      <c r="C341" s="3">
        <v>22564</v>
      </c>
      <c r="D341" s="3" t="s">
        <v>26</v>
      </c>
      <c r="E341" s="3">
        <v>24013</v>
      </c>
      <c r="F341" s="3" t="s">
        <v>714</v>
      </c>
      <c r="G341" s="3" t="s">
        <v>56</v>
      </c>
      <c r="H341" s="3" t="s">
        <v>715</v>
      </c>
      <c r="I341" s="3" t="s">
        <v>188</v>
      </c>
      <c r="J341" s="3" t="s">
        <v>59</v>
      </c>
      <c r="K341" s="6">
        <v>1248</v>
      </c>
      <c r="L341" s="6">
        <v>-5730.45</v>
      </c>
      <c r="M341" s="4">
        <v>1</v>
      </c>
      <c r="N341" s="4">
        <v>200</v>
      </c>
      <c r="O341" s="11"/>
      <c r="P341" s="11"/>
      <c r="Q341" s="11"/>
    </row>
    <row r="342" spans="1:17" x14ac:dyDescent="0.25">
      <c r="A342" s="8">
        <v>45741</v>
      </c>
      <c r="B342" s="3" t="s">
        <v>716</v>
      </c>
      <c r="C342" s="3">
        <v>22564</v>
      </c>
      <c r="D342" s="3" t="s">
        <v>26</v>
      </c>
      <c r="E342" s="3">
        <v>23945</v>
      </c>
      <c r="F342" s="3" t="s">
        <v>709</v>
      </c>
      <c r="G342" s="3" t="s">
        <v>69</v>
      </c>
      <c r="H342" s="3" t="s">
        <v>710</v>
      </c>
      <c r="I342" s="3" t="s">
        <v>711</v>
      </c>
      <c r="J342" s="3" t="s">
        <v>59</v>
      </c>
      <c r="K342" s="6">
        <v>9774</v>
      </c>
      <c r="L342" s="6">
        <v>33202</v>
      </c>
      <c r="M342" s="4">
        <v>1</v>
      </c>
      <c r="N342" s="6">
        <v>5976.36</v>
      </c>
      <c r="O342" s="11"/>
      <c r="P342" s="11"/>
      <c r="Q342" s="11"/>
    </row>
    <row r="343" spans="1:17" x14ac:dyDescent="0.25">
      <c r="A343" s="8">
        <v>45741</v>
      </c>
      <c r="B343" s="3" t="s">
        <v>716</v>
      </c>
      <c r="C343" s="3">
        <v>22564</v>
      </c>
      <c r="D343" s="3" t="s">
        <v>26</v>
      </c>
      <c r="E343" s="3">
        <v>23945</v>
      </c>
      <c r="F343" s="3" t="s">
        <v>709</v>
      </c>
      <c r="G343" s="3" t="s">
        <v>69</v>
      </c>
      <c r="H343" s="3" t="s">
        <v>712</v>
      </c>
      <c r="I343" s="3" t="s">
        <v>713</v>
      </c>
      <c r="J343" s="3" t="s">
        <v>59</v>
      </c>
      <c r="K343" s="5"/>
      <c r="L343" s="5"/>
      <c r="M343" s="5"/>
      <c r="N343" s="5"/>
      <c r="O343" s="11"/>
      <c r="P343" s="11"/>
      <c r="Q343" s="11"/>
    </row>
    <row r="344" spans="1:17" x14ac:dyDescent="0.25">
      <c r="A344" s="8">
        <v>45741</v>
      </c>
      <c r="B344" s="3">
        <v>9566</v>
      </c>
      <c r="C344" s="3">
        <v>22564</v>
      </c>
      <c r="D344" s="3" t="s">
        <v>26</v>
      </c>
      <c r="E344" s="3">
        <v>23997</v>
      </c>
      <c r="F344" s="3" t="s">
        <v>717</v>
      </c>
      <c r="G344" s="3" t="s">
        <v>56</v>
      </c>
      <c r="H344" s="3" t="s">
        <v>718</v>
      </c>
      <c r="I344" s="3" t="s">
        <v>459</v>
      </c>
      <c r="J344" s="3" t="s">
        <v>59</v>
      </c>
      <c r="K344" s="6">
        <v>2437.15</v>
      </c>
      <c r="L344" s="6">
        <v>4205.6899999999996</v>
      </c>
      <c r="M344" s="4">
        <v>1</v>
      </c>
      <c r="N344" s="4">
        <v>757.02</v>
      </c>
      <c r="O344" s="11"/>
      <c r="P344" s="11"/>
      <c r="Q344" s="11"/>
    </row>
    <row r="345" spans="1:17" x14ac:dyDescent="0.25">
      <c r="A345" s="8">
        <v>45742</v>
      </c>
      <c r="B345" s="3">
        <v>9684</v>
      </c>
      <c r="C345" s="3">
        <v>22564</v>
      </c>
      <c r="D345" s="3" t="s">
        <v>26</v>
      </c>
      <c r="E345" s="3">
        <v>24194</v>
      </c>
      <c r="F345" s="3" t="s">
        <v>719</v>
      </c>
      <c r="G345" s="3" t="s">
        <v>108</v>
      </c>
      <c r="H345" s="3" t="s">
        <v>720</v>
      </c>
      <c r="I345" s="3" t="s">
        <v>721</v>
      </c>
      <c r="J345" s="3" t="s">
        <v>86</v>
      </c>
      <c r="K345" s="6">
        <v>3911.6</v>
      </c>
      <c r="L345" s="6">
        <v>1535.97</v>
      </c>
      <c r="M345" s="4">
        <v>1</v>
      </c>
      <c r="N345" s="4">
        <v>276.47000000000003</v>
      </c>
      <c r="O345" s="11"/>
      <c r="P345" s="11"/>
      <c r="Q345" s="11"/>
    </row>
    <row r="346" spans="1:17" x14ac:dyDescent="0.25">
      <c r="A346" s="8">
        <v>45742</v>
      </c>
      <c r="B346" s="3">
        <v>9684</v>
      </c>
      <c r="C346" s="3">
        <v>22564</v>
      </c>
      <c r="D346" s="3" t="s">
        <v>26</v>
      </c>
      <c r="E346" s="3">
        <v>24194</v>
      </c>
      <c r="F346" s="3" t="s">
        <v>719</v>
      </c>
      <c r="G346" s="3" t="s">
        <v>108</v>
      </c>
      <c r="H346" s="3" t="s">
        <v>722</v>
      </c>
      <c r="I346" s="3" t="s">
        <v>723</v>
      </c>
      <c r="J346" s="3" t="s">
        <v>86</v>
      </c>
      <c r="K346" s="5"/>
      <c r="L346" s="5"/>
      <c r="M346" s="5"/>
      <c r="N346" s="5"/>
      <c r="O346" s="11"/>
      <c r="P346" s="11"/>
      <c r="Q346" s="11"/>
    </row>
    <row r="347" spans="1:17" x14ac:dyDescent="0.25">
      <c r="A347" s="8">
        <v>45744</v>
      </c>
      <c r="B347" s="3">
        <v>9747</v>
      </c>
      <c r="C347" s="3">
        <v>22564</v>
      </c>
      <c r="D347" s="3" t="s">
        <v>26</v>
      </c>
      <c r="E347" s="3">
        <v>24264</v>
      </c>
      <c r="F347" s="3" t="s">
        <v>724</v>
      </c>
      <c r="G347" s="3" t="s">
        <v>56</v>
      </c>
      <c r="H347" s="3" t="s">
        <v>725</v>
      </c>
      <c r="I347" s="3" t="s">
        <v>188</v>
      </c>
      <c r="J347" s="3" t="s">
        <v>59</v>
      </c>
      <c r="K347" s="4">
        <v>225</v>
      </c>
      <c r="L347" s="6">
        <v>2575</v>
      </c>
      <c r="M347" s="4">
        <v>1</v>
      </c>
      <c r="N347" s="4">
        <v>463.5</v>
      </c>
      <c r="O347" s="11"/>
      <c r="P347" s="11"/>
      <c r="Q347" s="11"/>
    </row>
    <row r="348" spans="1:17" x14ac:dyDescent="0.25">
      <c r="A348" s="8">
        <v>45747</v>
      </c>
      <c r="B348" s="3">
        <v>9930</v>
      </c>
      <c r="C348" s="3">
        <v>22564</v>
      </c>
      <c r="D348" s="3" t="s">
        <v>26</v>
      </c>
      <c r="E348" s="3">
        <v>24479</v>
      </c>
      <c r="F348" s="3" t="s">
        <v>726</v>
      </c>
      <c r="G348" s="3" t="s">
        <v>69</v>
      </c>
      <c r="H348" s="3" t="s">
        <v>727</v>
      </c>
      <c r="I348" s="3" t="s">
        <v>71</v>
      </c>
      <c r="J348" s="3" t="s">
        <v>59</v>
      </c>
      <c r="K348" s="6">
        <v>1530.4</v>
      </c>
      <c r="L348" s="6">
        <v>-3264</v>
      </c>
      <c r="M348" s="4">
        <v>1</v>
      </c>
      <c r="N348" s="4">
        <v>200</v>
      </c>
      <c r="O348" s="11"/>
      <c r="P348" s="11"/>
      <c r="Q348" s="11"/>
    </row>
    <row r="349" spans="1:17" x14ac:dyDescent="0.25">
      <c r="A349" s="8">
        <v>45747</v>
      </c>
      <c r="B349" s="3">
        <v>9930</v>
      </c>
      <c r="C349" s="3">
        <v>22564</v>
      </c>
      <c r="D349" s="3" t="s">
        <v>26</v>
      </c>
      <c r="E349" s="3">
        <v>24479</v>
      </c>
      <c r="F349" s="3" t="s">
        <v>726</v>
      </c>
      <c r="G349" s="3" t="s">
        <v>69</v>
      </c>
      <c r="H349" s="3" t="s">
        <v>728</v>
      </c>
      <c r="I349" s="3" t="s">
        <v>729</v>
      </c>
      <c r="J349" s="3" t="s">
        <v>59</v>
      </c>
      <c r="K349" s="5"/>
      <c r="L349" s="5"/>
      <c r="M349" s="5"/>
      <c r="N349" s="5"/>
      <c r="O349" s="11"/>
      <c r="P349" s="11"/>
      <c r="Q349" s="11"/>
    </row>
    <row r="350" spans="1:17" x14ac:dyDescent="0.25">
      <c r="A350" s="8">
        <v>45747</v>
      </c>
      <c r="B350" s="3">
        <v>9908</v>
      </c>
      <c r="C350" s="3">
        <v>22564</v>
      </c>
      <c r="D350" s="3" t="s">
        <v>26</v>
      </c>
      <c r="E350" s="3">
        <v>221677</v>
      </c>
      <c r="F350" s="3" t="s">
        <v>730</v>
      </c>
      <c r="G350" s="3" t="s">
        <v>69</v>
      </c>
      <c r="H350" s="3" t="s">
        <v>731</v>
      </c>
      <c r="I350" s="3" t="s">
        <v>491</v>
      </c>
      <c r="J350" s="3" t="s">
        <v>59</v>
      </c>
      <c r="K350" s="6">
        <v>6261.18</v>
      </c>
      <c r="L350" s="4">
        <v>-495</v>
      </c>
      <c r="M350" s="4">
        <v>1</v>
      </c>
      <c r="N350" s="4">
        <v>200</v>
      </c>
      <c r="O350" s="11"/>
      <c r="P350" s="11"/>
      <c r="Q350" s="11"/>
    </row>
    <row r="351" spans="1:17" x14ac:dyDescent="0.25">
      <c r="A351" s="8">
        <v>45747</v>
      </c>
      <c r="B351" s="3">
        <v>9908</v>
      </c>
      <c r="C351" s="3">
        <v>22564</v>
      </c>
      <c r="D351" s="3" t="s">
        <v>26</v>
      </c>
      <c r="E351" s="3">
        <v>221677</v>
      </c>
      <c r="F351" s="3" t="s">
        <v>730</v>
      </c>
      <c r="G351" s="3" t="s">
        <v>69</v>
      </c>
      <c r="H351" s="3" t="s">
        <v>732</v>
      </c>
      <c r="I351" s="3" t="s">
        <v>276</v>
      </c>
      <c r="J351" s="3" t="s">
        <v>59</v>
      </c>
      <c r="K351" s="5"/>
      <c r="L351" s="5"/>
      <c r="M351" s="5"/>
      <c r="N351" s="5"/>
      <c r="O351" s="11"/>
      <c r="P351" s="11"/>
      <c r="Q351" s="11"/>
    </row>
    <row r="352" spans="1:17" x14ac:dyDescent="0.25">
      <c r="A352" s="8">
        <v>45747</v>
      </c>
      <c r="B352" s="3">
        <v>9867</v>
      </c>
      <c r="C352" s="3">
        <v>22564</v>
      </c>
      <c r="D352" s="3" t="s">
        <v>26</v>
      </c>
      <c r="E352" s="3">
        <v>24412</v>
      </c>
      <c r="F352" s="3" t="s">
        <v>733</v>
      </c>
      <c r="G352" s="3" t="s">
        <v>56</v>
      </c>
      <c r="H352" s="3" t="s">
        <v>734</v>
      </c>
      <c r="I352" s="3" t="s">
        <v>71</v>
      </c>
      <c r="J352" s="3" t="s">
        <v>59</v>
      </c>
      <c r="K352" s="4">
        <v>821.2</v>
      </c>
      <c r="L352" s="4">
        <v>233.16</v>
      </c>
      <c r="M352" s="4">
        <v>1</v>
      </c>
      <c r="N352" s="4">
        <v>200</v>
      </c>
      <c r="O352" s="11"/>
      <c r="P352" s="11"/>
      <c r="Q352" s="11"/>
    </row>
    <row r="353" spans="1:17" x14ac:dyDescent="0.25">
      <c r="A353" s="8">
        <v>45747</v>
      </c>
      <c r="B353" s="3">
        <v>9867</v>
      </c>
      <c r="C353" s="3">
        <v>22564</v>
      </c>
      <c r="D353" s="3" t="s">
        <v>26</v>
      </c>
      <c r="E353" s="3">
        <v>24412</v>
      </c>
      <c r="F353" s="3" t="s">
        <v>733</v>
      </c>
      <c r="G353" s="3" t="s">
        <v>56</v>
      </c>
      <c r="H353" s="3" t="s">
        <v>735</v>
      </c>
      <c r="I353" s="3" t="s">
        <v>736</v>
      </c>
      <c r="J353" s="3" t="s">
        <v>59</v>
      </c>
      <c r="K353" s="5"/>
      <c r="L353" s="5"/>
      <c r="M353" s="5"/>
      <c r="N353" s="5"/>
      <c r="O353" s="11"/>
      <c r="P353" s="11"/>
      <c r="Q353" s="11"/>
    </row>
    <row r="354" spans="1:17" x14ac:dyDescent="0.25">
      <c r="A354" s="8">
        <v>45747</v>
      </c>
      <c r="B354" s="3">
        <v>9933</v>
      </c>
      <c r="C354" s="3">
        <v>22564</v>
      </c>
      <c r="D354" s="3" t="s">
        <v>26</v>
      </c>
      <c r="E354" s="3">
        <v>24482</v>
      </c>
      <c r="F354" s="3" t="s">
        <v>737</v>
      </c>
      <c r="G354" s="3" t="s">
        <v>56</v>
      </c>
      <c r="H354" s="3" t="s">
        <v>738</v>
      </c>
      <c r="I354" s="3" t="s">
        <v>188</v>
      </c>
      <c r="J354" s="3" t="s">
        <v>59</v>
      </c>
      <c r="K354" s="4">
        <v>0</v>
      </c>
      <c r="L354" s="4">
        <v>0</v>
      </c>
      <c r="M354" s="4">
        <v>0</v>
      </c>
      <c r="N354" s="4">
        <v>0</v>
      </c>
      <c r="O354" s="11"/>
      <c r="P354" s="11"/>
      <c r="Q354" s="11"/>
    </row>
    <row r="355" spans="1:17" x14ac:dyDescent="0.25">
      <c r="A355" s="8">
        <v>45747</v>
      </c>
      <c r="B355" s="3" t="s">
        <v>739</v>
      </c>
      <c r="C355" s="3">
        <v>22564</v>
      </c>
      <c r="D355" s="3" t="s">
        <v>26</v>
      </c>
      <c r="E355" s="3">
        <v>24482</v>
      </c>
      <c r="F355" s="3" t="s">
        <v>737</v>
      </c>
      <c r="G355" s="3" t="s">
        <v>56</v>
      </c>
      <c r="H355" s="3" t="s">
        <v>738</v>
      </c>
      <c r="I355" s="3" t="s">
        <v>188</v>
      </c>
      <c r="J355" s="3" t="s">
        <v>59</v>
      </c>
      <c r="K355" s="4">
        <v>992</v>
      </c>
      <c r="L355" s="6">
        <v>2192.5</v>
      </c>
      <c r="M355" s="4">
        <v>0.5</v>
      </c>
      <c r="N355" s="4">
        <v>394.65</v>
      </c>
      <c r="O355" s="11"/>
      <c r="P355" s="11"/>
      <c r="Q355" s="11"/>
    </row>
    <row r="356" spans="1:17" x14ac:dyDescent="0.25">
      <c r="A356" s="8">
        <v>45747</v>
      </c>
      <c r="B356" s="3">
        <v>9986</v>
      </c>
      <c r="C356" s="3">
        <v>22564</v>
      </c>
      <c r="D356" s="3" t="s">
        <v>26</v>
      </c>
      <c r="E356" s="3">
        <v>24540</v>
      </c>
      <c r="F356" s="3" t="s">
        <v>740</v>
      </c>
      <c r="G356" s="3" t="s">
        <v>56</v>
      </c>
      <c r="H356" s="3" t="s">
        <v>741</v>
      </c>
      <c r="I356" s="3" t="s">
        <v>369</v>
      </c>
      <c r="J356" s="3" t="s">
        <v>59</v>
      </c>
      <c r="K356" s="6">
        <v>1107.8900000000001</v>
      </c>
      <c r="L356" s="6">
        <v>-5202.3900000000003</v>
      </c>
      <c r="M356" s="4">
        <v>1</v>
      </c>
      <c r="N356" s="4">
        <v>200</v>
      </c>
      <c r="O356" s="11"/>
      <c r="P356" s="11"/>
      <c r="Q356" s="11"/>
    </row>
    <row r="357" spans="1:17" x14ac:dyDescent="0.25">
      <c r="A357" s="8">
        <v>45747</v>
      </c>
      <c r="B357" s="3">
        <v>9708</v>
      </c>
      <c r="C357" s="3">
        <v>22564</v>
      </c>
      <c r="D357" s="3" t="s">
        <v>26</v>
      </c>
      <c r="E357" s="3">
        <v>24229</v>
      </c>
      <c r="F357" s="3" t="s">
        <v>742</v>
      </c>
      <c r="G357" s="3" t="s">
        <v>56</v>
      </c>
      <c r="H357" s="3" t="s">
        <v>743</v>
      </c>
      <c r="I357" s="3" t="s">
        <v>188</v>
      </c>
      <c r="J357" s="3" t="s">
        <v>59</v>
      </c>
      <c r="K357" s="4">
        <v>872.5</v>
      </c>
      <c r="L357" s="6">
        <v>2849</v>
      </c>
      <c r="M357" s="4">
        <v>1</v>
      </c>
      <c r="N357" s="4">
        <v>512.82000000000005</v>
      </c>
      <c r="O357" s="11"/>
      <c r="P357" s="11"/>
      <c r="Q357" s="11"/>
    </row>
    <row r="358" spans="1:17" x14ac:dyDescent="0.25">
      <c r="A358" s="8">
        <v>45735</v>
      </c>
      <c r="B358" s="3">
        <v>9600</v>
      </c>
      <c r="C358" s="3">
        <v>207147</v>
      </c>
      <c r="D358" s="3" t="s">
        <v>27</v>
      </c>
      <c r="E358" s="3">
        <v>24031</v>
      </c>
      <c r="F358" s="3" t="s">
        <v>744</v>
      </c>
      <c r="G358" s="3" t="s">
        <v>108</v>
      </c>
      <c r="H358" s="3" t="s">
        <v>745</v>
      </c>
      <c r="I358" s="3" t="s">
        <v>355</v>
      </c>
      <c r="J358" s="3" t="s">
        <v>86</v>
      </c>
      <c r="K358" s="6">
        <v>3391.16</v>
      </c>
      <c r="L358" s="6">
        <v>3524.68</v>
      </c>
      <c r="M358" s="4">
        <v>1</v>
      </c>
      <c r="N358" s="4">
        <v>634.44000000000005</v>
      </c>
      <c r="O358" s="11"/>
      <c r="P358" s="11"/>
      <c r="Q358" s="11"/>
    </row>
    <row r="359" spans="1:17" x14ac:dyDescent="0.25">
      <c r="A359" s="8">
        <v>45744</v>
      </c>
      <c r="B359" s="3">
        <v>9734</v>
      </c>
      <c r="C359" s="3">
        <v>207147</v>
      </c>
      <c r="D359" s="3" t="s">
        <v>27</v>
      </c>
      <c r="E359" s="3">
        <v>24250</v>
      </c>
      <c r="F359" s="3" t="s">
        <v>746</v>
      </c>
      <c r="G359" s="3" t="s">
        <v>108</v>
      </c>
      <c r="H359" s="3" t="s">
        <v>747</v>
      </c>
      <c r="I359" s="3" t="s">
        <v>748</v>
      </c>
      <c r="J359" s="3" t="s">
        <v>86</v>
      </c>
      <c r="K359" s="6">
        <v>2494.4499999999998</v>
      </c>
      <c r="L359" s="4">
        <v>-430.04</v>
      </c>
      <c r="M359" s="4">
        <v>1</v>
      </c>
      <c r="N359" s="4">
        <v>200</v>
      </c>
      <c r="O359" s="11"/>
      <c r="P359" s="11"/>
      <c r="Q359" s="11"/>
    </row>
    <row r="360" spans="1:17" x14ac:dyDescent="0.25">
      <c r="A360" s="8">
        <v>45744</v>
      </c>
      <c r="B360" s="3">
        <v>9734</v>
      </c>
      <c r="C360" s="3">
        <v>207147</v>
      </c>
      <c r="D360" s="3" t="s">
        <v>27</v>
      </c>
      <c r="E360" s="3">
        <v>24250</v>
      </c>
      <c r="F360" s="3" t="s">
        <v>746</v>
      </c>
      <c r="G360" s="3" t="s">
        <v>108</v>
      </c>
      <c r="H360" s="3" t="s">
        <v>749</v>
      </c>
      <c r="I360" s="3" t="s">
        <v>750</v>
      </c>
      <c r="J360" s="3" t="s">
        <v>86</v>
      </c>
      <c r="K360" s="5"/>
      <c r="L360" s="5"/>
      <c r="M360" s="5"/>
      <c r="N360" s="5"/>
      <c r="O360" s="11"/>
      <c r="P360" s="11"/>
      <c r="Q360" s="11"/>
    </row>
    <row r="361" spans="1:17" x14ac:dyDescent="0.25">
      <c r="A361" s="8">
        <v>45747</v>
      </c>
      <c r="B361" s="3">
        <v>9838</v>
      </c>
      <c r="C361" s="3">
        <v>207147</v>
      </c>
      <c r="D361" s="3" t="s">
        <v>27</v>
      </c>
      <c r="E361" s="3">
        <v>265171</v>
      </c>
      <c r="F361" s="3" t="s">
        <v>751</v>
      </c>
      <c r="G361" s="3" t="s">
        <v>83</v>
      </c>
      <c r="H361" s="3" t="s">
        <v>752</v>
      </c>
      <c r="I361" s="3" t="s">
        <v>753</v>
      </c>
      <c r="J361" s="3" t="s">
        <v>86</v>
      </c>
      <c r="K361" s="4">
        <v>0</v>
      </c>
      <c r="L361" s="4">
        <v>750</v>
      </c>
      <c r="M361" s="4">
        <v>1</v>
      </c>
      <c r="N361" s="4">
        <v>200</v>
      </c>
      <c r="O361" s="11"/>
      <c r="P361" s="11"/>
      <c r="Q361" s="11"/>
    </row>
    <row r="362" spans="1:17" x14ac:dyDescent="0.25">
      <c r="A362" s="8">
        <v>45747</v>
      </c>
      <c r="B362" s="3">
        <v>9531</v>
      </c>
      <c r="C362" s="3">
        <v>207147</v>
      </c>
      <c r="D362" s="3" t="s">
        <v>27</v>
      </c>
      <c r="E362" s="3">
        <v>23955</v>
      </c>
      <c r="F362" s="3" t="s">
        <v>754</v>
      </c>
      <c r="G362" s="3" t="s">
        <v>83</v>
      </c>
      <c r="H362" s="3" t="s">
        <v>755</v>
      </c>
      <c r="I362" s="3" t="s">
        <v>572</v>
      </c>
      <c r="J362" s="3" t="s">
        <v>86</v>
      </c>
      <c r="K362" s="6">
        <v>1800.18</v>
      </c>
      <c r="L362" s="4">
        <v>750</v>
      </c>
      <c r="M362" s="4">
        <v>1</v>
      </c>
      <c r="N362" s="4">
        <v>200</v>
      </c>
      <c r="O362" s="11"/>
      <c r="P362" s="11"/>
      <c r="Q362" s="11"/>
    </row>
    <row r="363" spans="1:17" x14ac:dyDescent="0.25">
      <c r="A363" s="8">
        <v>45747</v>
      </c>
      <c r="B363" s="3">
        <v>9854</v>
      </c>
      <c r="C363" s="3">
        <v>207147</v>
      </c>
      <c r="D363" s="3" t="s">
        <v>27</v>
      </c>
      <c r="E363" s="3">
        <v>24389</v>
      </c>
      <c r="F363" s="3" t="s">
        <v>756</v>
      </c>
      <c r="G363" s="3" t="s">
        <v>108</v>
      </c>
      <c r="H363" s="3" t="s">
        <v>757</v>
      </c>
      <c r="I363" s="3" t="s">
        <v>758</v>
      </c>
      <c r="J363" s="3" t="s">
        <v>86</v>
      </c>
      <c r="K363" s="6">
        <v>1000</v>
      </c>
      <c r="L363" s="4">
        <v>-214.45</v>
      </c>
      <c r="M363" s="4">
        <v>1</v>
      </c>
      <c r="N363" s="4">
        <v>200</v>
      </c>
      <c r="O363" s="11"/>
      <c r="P363" s="11"/>
      <c r="Q363" s="11"/>
    </row>
    <row r="364" spans="1:17" x14ac:dyDescent="0.25">
      <c r="A364" s="8">
        <v>45747</v>
      </c>
      <c r="B364" s="3">
        <v>9484</v>
      </c>
      <c r="C364" s="3">
        <v>207147</v>
      </c>
      <c r="D364" s="3" t="s">
        <v>27</v>
      </c>
      <c r="E364" s="3">
        <v>23852</v>
      </c>
      <c r="F364" s="3" t="s">
        <v>759</v>
      </c>
      <c r="G364" s="3" t="s">
        <v>125</v>
      </c>
      <c r="H364" s="3">
        <v>5075994</v>
      </c>
      <c r="I364" s="3" t="s">
        <v>760</v>
      </c>
      <c r="J364" s="3" t="s">
        <v>86</v>
      </c>
      <c r="K364" s="4">
        <v>0</v>
      </c>
      <c r="L364" s="6">
        <v>2363.2800000000002</v>
      </c>
      <c r="M364" s="4">
        <v>1</v>
      </c>
      <c r="N364" s="4">
        <v>425.39</v>
      </c>
      <c r="O364" s="11"/>
      <c r="P364" s="11"/>
      <c r="Q364" s="11"/>
    </row>
    <row r="365" spans="1:17" x14ac:dyDescent="0.25">
      <c r="A365" s="8">
        <v>45721</v>
      </c>
      <c r="B365" s="3">
        <v>9351</v>
      </c>
      <c r="C365" s="3">
        <v>207347</v>
      </c>
      <c r="D365" s="3" t="s">
        <v>28</v>
      </c>
      <c r="E365" s="3">
        <v>23597</v>
      </c>
      <c r="F365" s="3" t="s">
        <v>761</v>
      </c>
      <c r="G365" s="3" t="s">
        <v>69</v>
      </c>
      <c r="H365" s="3" t="s">
        <v>762</v>
      </c>
      <c r="I365" s="3" t="s">
        <v>763</v>
      </c>
      <c r="J365" s="3" t="s">
        <v>59</v>
      </c>
      <c r="K365" s="6">
        <v>3438.75</v>
      </c>
      <c r="L365" s="6">
        <v>3980</v>
      </c>
      <c r="M365" s="4">
        <v>1</v>
      </c>
      <c r="N365" s="4">
        <v>716.4</v>
      </c>
      <c r="O365" s="11"/>
      <c r="P365" s="11"/>
      <c r="Q365" s="11"/>
    </row>
    <row r="366" spans="1:17" x14ac:dyDescent="0.25">
      <c r="A366" s="8">
        <v>45721</v>
      </c>
      <c r="B366" s="3">
        <v>7234</v>
      </c>
      <c r="C366" s="3">
        <v>207347</v>
      </c>
      <c r="D366" s="3" t="s">
        <v>28</v>
      </c>
      <c r="E366" s="3">
        <v>274867</v>
      </c>
      <c r="F366" s="3" t="s">
        <v>764</v>
      </c>
      <c r="G366" s="3" t="s">
        <v>56</v>
      </c>
      <c r="H366" s="3" t="s">
        <v>765</v>
      </c>
      <c r="I366" s="3" t="s">
        <v>248</v>
      </c>
      <c r="J366" s="3" t="s">
        <v>59</v>
      </c>
      <c r="K366" s="6">
        <v>5380.4</v>
      </c>
      <c r="L366" s="6">
        <v>7075</v>
      </c>
      <c r="M366" s="4">
        <v>1</v>
      </c>
      <c r="N366" s="6">
        <v>1273.5</v>
      </c>
      <c r="O366" s="11"/>
      <c r="P366" s="11"/>
      <c r="Q366" s="11"/>
    </row>
    <row r="367" spans="1:17" x14ac:dyDescent="0.25">
      <c r="A367" s="8">
        <v>45743</v>
      </c>
      <c r="B367" s="3">
        <v>9716</v>
      </c>
      <c r="C367" s="3">
        <v>207347</v>
      </c>
      <c r="D367" s="3" t="s">
        <v>28</v>
      </c>
      <c r="E367" s="3">
        <v>278659</v>
      </c>
      <c r="F367" s="3" t="s">
        <v>766</v>
      </c>
      <c r="G367" s="3" t="s">
        <v>56</v>
      </c>
      <c r="H367" s="3" t="s">
        <v>767</v>
      </c>
      <c r="I367" s="3" t="s">
        <v>71</v>
      </c>
      <c r="J367" s="3" t="s">
        <v>59</v>
      </c>
      <c r="K367" s="6">
        <v>1948.92</v>
      </c>
      <c r="L367" s="6">
        <v>2417.8000000000002</v>
      </c>
      <c r="M367" s="4">
        <v>1</v>
      </c>
      <c r="N367" s="4">
        <v>435.2</v>
      </c>
      <c r="O367" s="11"/>
      <c r="P367" s="11"/>
      <c r="Q367" s="11"/>
    </row>
    <row r="368" spans="1:17" x14ac:dyDescent="0.25">
      <c r="A368" s="8">
        <v>45743</v>
      </c>
      <c r="B368" s="3">
        <v>9716</v>
      </c>
      <c r="C368" s="3">
        <v>207347</v>
      </c>
      <c r="D368" s="3" t="s">
        <v>28</v>
      </c>
      <c r="E368" s="3">
        <v>278659</v>
      </c>
      <c r="F368" s="3" t="s">
        <v>766</v>
      </c>
      <c r="G368" s="3" t="s">
        <v>56</v>
      </c>
      <c r="H368" s="3" t="s">
        <v>768</v>
      </c>
      <c r="I368" s="3" t="s">
        <v>769</v>
      </c>
      <c r="J368" s="3" t="s">
        <v>59</v>
      </c>
      <c r="K368" s="5"/>
      <c r="L368" s="5"/>
      <c r="M368" s="5"/>
      <c r="N368" s="5"/>
      <c r="O368" s="11"/>
      <c r="P368" s="11"/>
      <c r="Q368" s="11"/>
    </row>
    <row r="369" spans="1:17" x14ac:dyDescent="0.25">
      <c r="A369" s="8">
        <v>45744</v>
      </c>
      <c r="B369" s="3">
        <v>9739</v>
      </c>
      <c r="C369" s="3">
        <v>207347</v>
      </c>
      <c r="D369" s="3" t="s">
        <v>28</v>
      </c>
      <c r="E369" s="3">
        <v>245457</v>
      </c>
      <c r="F369" s="3" t="s">
        <v>770</v>
      </c>
      <c r="G369" s="3" t="s">
        <v>63</v>
      </c>
      <c r="H369" s="3" t="s">
        <v>771</v>
      </c>
      <c r="I369" s="3" t="s">
        <v>291</v>
      </c>
      <c r="J369" s="3" t="s">
        <v>59</v>
      </c>
      <c r="K369" s="6">
        <v>2493.0700000000002</v>
      </c>
      <c r="L369" s="6">
        <v>2279</v>
      </c>
      <c r="M369" s="4">
        <v>1</v>
      </c>
      <c r="N369" s="4">
        <v>410.22</v>
      </c>
      <c r="O369" s="11"/>
      <c r="P369" s="11"/>
      <c r="Q369" s="11"/>
    </row>
    <row r="370" spans="1:17" x14ac:dyDescent="0.25">
      <c r="A370" s="8">
        <v>45744</v>
      </c>
      <c r="B370" s="3">
        <v>9739</v>
      </c>
      <c r="C370" s="3">
        <v>207347</v>
      </c>
      <c r="D370" s="3" t="s">
        <v>28</v>
      </c>
      <c r="E370" s="3">
        <v>245457</v>
      </c>
      <c r="F370" s="3" t="s">
        <v>770</v>
      </c>
      <c r="G370" s="3" t="s">
        <v>63</v>
      </c>
      <c r="H370" s="3" t="s">
        <v>772</v>
      </c>
      <c r="I370" s="3" t="s">
        <v>773</v>
      </c>
      <c r="J370" s="3" t="s">
        <v>59</v>
      </c>
      <c r="K370" s="5"/>
      <c r="L370" s="5"/>
      <c r="M370" s="5"/>
      <c r="N370" s="5"/>
      <c r="O370" s="11"/>
      <c r="P370" s="11"/>
      <c r="Q370" s="11"/>
    </row>
    <row r="371" spans="1:17" x14ac:dyDescent="0.25">
      <c r="A371" s="8">
        <v>45747</v>
      </c>
      <c r="B371" s="3">
        <v>9845</v>
      </c>
      <c r="C371" s="3">
        <v>207347</v>
      </c>
      <c r="D371" s="3" t="s">
        <v>28</v>
      </c>
      <c r="E371" s="3">
        <v>24381</v>
      </c>
      <c r="F371" s="3" t="s">
        <v>774</v>
      </c>
      <c r="G371" s="3" t="s">
        <v>289</v>
      </c>
      <c r="H371" s="3" t="s">
        <v>775</v>
      </c>
      <c r="I371" s="3" t="s">
        <v>94</v>
      </c>
      <c r="J371" s="3" t="s">
        <v>59</v>
      </c>
      <c r="K371" s="4">
        <v>0</v>
      </c>
      <c r="L371" s="4">
        <v>0</v>
      </c>
      <c r="M371" s="4">
        <v>0</v>
      </c>
      <c r="N371" s="4">
        <v>0</v>
      </c>
      <c r="O371" s="11"/>
      <c r="P371" s="11"/>
      <c r="Q371" s="11"/>
    </row>
    <row r="372" spans="1:17" x14ac:dyDescent="0.25">
      <c r="A372" s="8">
        <v>45747</v>
      </c>
      <c r="B372" s="3" t="s">
        <v>776</v>
      </c>
      <c r="C372" s="3">
        <v>207347</v>
      </c>
      <c r="D372" s="3" t="s">
        <v>28</v>
      </c>
      <c r="E372" s="3">
        <v>24381</v>
      </c>
      <c r="F372" s="3" t="s">
        <v>774</v>
      </c>
      <c r="G372" s="3" t="s">
        <v>289</v>
      </c>
      <c r="H372" s="3" t="s">
        <v>775</v>
      </c>
      <c r="I372" s="3" t="s">
        <v>94</v>
      </c>
      <c r="J372" s="3" t="s">
        <v>59</v>
      </c>
      <c r="K372" s="4">
        <v>0</v>
      </c>
      <c r="L372" s="6">
        <v>-1051.74</v>
      </c>
      <c r="M372" s="4">
        <v>1</v>
      </c>
      <c r="N372" s="4">
        <v>200</v>
      </c>
      <c r="O372" s="11"/>
      <c r="P372" s="11"/>
      <c r="Q372" s="11"/>
    </row>
    <row r="373" spans="1:17" x14ac:dyDescent="0.25">
      <c r="A373" s="8">
        <v>45747</v>
      </c>
      <c r="B373" s="3">
        <v>9915</v>
      </c>
      <c r="C373" s="3">
        <v>207347</v>
      </c>
      <c r="D373" s="3" t="s">
        <v>28</v>
      </c>
      <c r="E373" s="3">
        <v>24465</v>
      </c>
      <c r="F373" s="3" t="s">
        <v>777</v>
      </c>
      <c r="G373" s="3" t="s">
        <v>63</v>
      </c>
      <c r="H373" s="3" t="s">
        <v>778</v>
      </c>
      <c r="I373" s="3" t="s">
        <v>779</v>
      </c>
      <c r="J373" s="3" t="s">
        <v>59</v>
      </c>
      <c r="K373" s="6">
        <v>2151.1</v>
      </c>
      <c r="L373" s="6">
        <v>1316</v>
      </c>
      <c r="M373" s="4">
        <v>1</v>
      </c>
      <c r="N373" s="4">
        <v>236.88</v>
      </c>
      <c r="O373" s="11"/>
      <c r="P373" s="11"/>
      <c r="Q373" s="11"/>
    </row>
    <row r="374" spans="1:17" x14ac:dyDescent="0.25">
      <c r="A374" s="8">
        <v>45747</v>
      </c>
      <c r="B374" s="3">
        <v>9695</v>
      </c>
      <c r="C374" s="3">
        <v>207347</v>
      </c>
      <c r="D374" s="3" t="s">
        <v>28</v>
      </c>
      <c r="E374" s="3">
        <v>289529</v>
      </c>
      <c r="F374" s="3" t="s">
        <v>780</v>
      </c>
      <c r="G374" s="3" t="s">
        <v>69</v>
      </c>
      <c r="H374" s="3" t="s">
        <v>781</v>
      </c>
      <c r="I374" s="3" t="s">
        <v>79</v>
      </c>
      <c r="J374" s="3" t="s">
        <v>59</v>
      </c>
      <c r="K374" s="4">
        <v>0</v>
      </c>
      <c r="L374" s="6">
        <v>-1385</v>
      </c>
      <c r="M374" s="4">
        <v>1</v>
      </c>
      <c r="N374" s="4">
        <v>200</v>
      </c>
      <c r="O374" s="11"/>
      <c r="P374" s="11"/>
      <c r="Q374" s="11"/>
    </row>
    <row r="375" spans="1:17" x14ac:dyDescent="0.25">
      <c r="A375" s="8">
        <v>45747</v>
      </c>
      <c r="B375" s="3">
        <v>9695</v>
      </c>
      <c r="C375" s="3">
        <v>207347</v>
      </c>
      <c r="D375" s="3" t="s">
        <v>28</v>
      </c>
      <c r="E375" s="3">
        <v>289529</v>
      </c>
      <c r="F375" s="3" t="s">
        <v>780</v>
      </c>
      <c r="G375" s="3" t="s">
        <v>69</v>
      </c>
      <c r="H375" s="3" t="s">
        <v>782</v>
      </c>
      <c r="I375" s="3" t="s">
        <v>783</v>
      </c>
      <c r="J375" s="3" t="s">
        <v>59</v>
      </c>
      <c r="K375" s="5"/>
      <c r="L375" s="5"/>
      <c r="M375" s="5"/>
      <c r="N375" s="5"/>
      <c r="O375" s="11"/>
      <c r="P375" s="11"/>
      <c r="Q375" s="11"/>
    </row>
    <row r="376" spans="1:17" x14ac:dyDescent="0.25">
      <c r="A376" s="8">
        <v>45747</v>
      </c>
      <c r="B376" s="3">
        <v>9877</v>
      </c>
      <c r="C376" s="3">
        <v>207347</v>
      </c>
      <c r="D376" s="3" t="s">
        <v>28</v>
      </c>
      <c r="E376" s="3">
        <v>227351</v>
      </c>
      <c r="F376" s="3" t="s">
        <v>784</v>
      </c>
      <c r="G376" s="3" t="s">
        <v>83</v>
      </c>
      <c r="H376" s="3" t="s">
        <v>785</v>
      </c>
      <c r="I376" s="3" t="s">
        <v>786</v>
      </c>
      <c r="J376" s="3" t="s">
        <v>86</v>
      </c>
      <c r="K376" s="4">
        <v>466.2</v>
      </c>
      <c r="L376" s="4">
        <v>750</v>
      </c>
      <c r="M376" s="4">
        <v>1</v>
      </c>
      <c r="N376" s="4">
        <v>200</v>
      </c>
      <c r="O376" s="11"/>
      <c r="P376" s="11"/>
      <c r="Q376" s="11"/>
    </row>
    <row r="377" spans="1:17" x14ac:dyDescent="0.25">
      <c r="A377" s="8">
        <v>45723</v>
      </c>
      <c r="B377" s="3">
        <v>9365</v>
      </c>
      <c r="C377" s="3">
        <v>207462</v>
      </c>
      <c r="D377" s="3" t="s">
        <v>29</v>
      </c>
      <c r="E377" s="3">
        <v>242605</v>
      </c>
      <c r="F377" s="3" t="s">
        <v>787</v>
      </c>
      <c r="G377" s="3" t="s">
        <v>56</v>
      </c>
      <c r="H377" s="3" t="s">
        <v>788</v>
      </c>
      <c r="I377" s="3" t="s">
        <v>264</v>
      </c>
      <c r="J377" s="3" t="s">
        <v>59</v>
      </c>
      <c r="K377" s="4">
        <v>8</v>
      </c>
      <c r="L377" s="6">
        <v>2691.19</v>
      </c>
      <c r="M377" s="4">
        <v>1</v>
      </c>
      <c r="N377" s="4">
        <v>484.41</v>
      </c>
      <c r="O377" s="11"/>
      <c r="P377" s="11"/>
      <c r="Q377" s="11"/>
    </row>
    <row r="378" spans="1:17" x14ac:dyDescent="0.25">
      <c r="A378" s="8">
        <v>45723</v>
      </c>
      <c r="B378" s="3">
        <v>9365</v>
      </c>
      <c r="C378" s="3">
        <v>207462</v>
      </c>
      <c r="D378" s="3" t="s">
        <v>29</v>
      </c>
      <c r="E378" s="3">
        <v>242605</v>
      </c>
      <c r="F378" s="3" t="s">
        <v>787</v>
      </c>
      <c r="G378" s="3" t="s">
        <v>56</v>
      </c>
      <c r="H378" s="3" t="s">
        <v>789</v>
      </c>
      <c r="I378" s="3" t="s">
        <v>790</v>
      </c>
      <c r="J378" s="3" t="s">
        <v>59</v>
      </c>
      <c r="K378" s="5"/>
      <c r="L378" s="5"/>
      <c r="M378" s="5"/>
      <c r="N378" s="5"/>
      <c r="O378" s="11"/>
      <c r="P378" s="11"/>
      <c r="Q378" s="11"/>
    </row>
    <row r="379" spans="1:17" x14ac:dyDescent="0.25">
      <c r="A379" s="8">
        <v>45726</v>
      </c>
      <c r="B379" s="3">
        <v>9429</v>
      </c>
      <c r="C379" s="3">
        <v>207462</v>
      </c>
      <c r="D379" s="3" t="s">
        <v>29</v>
      </c>
      <c r="E379" s="3">
        <v>280461</v>
      </c>
      <c r="F379" s="3" t="s">
        <v>791</v>
      </c>
      <c r="G379" s="3" t="s">
        <v>56</v>
      </c>
      <c r="H379" s="3" t="s">
        <v>792</v>
      </c>
      <c r="I379" s="3" t="s">
        <v>71</v>
      </c>
      <c r="J379" s="3" t="s">
        <v>59</v>
      </c>
      <c r="K379" s="6">
        <v>1182</v>
      </c>
      <c r="L379" s="6">
        <v>-2650.5</v>
      </c>
      <c r="M379" s="4">
        <v>1</v>
      </c>
      <c r="N379" s="4">
        <v>200</v>
      </c>
      <c r="O379" s="11"/>
      <c r="P379" s="11"/>
      <c r="Q379" s="11"/>
    </row>
    <row r="380" spans="1:17" x14ac:dyDescent="0.25">
      <c r="A380" s="8">
        <v>45726</v>
      </c>
      <c r="B380" s="3">
        <v>9429</v>
      </c>
      <c r="C380" s="3">
        <v>207462</v>
      </c>
      <c r="D380" s="3" t="s">
        <v>29</v>
      </c>
      <c r="E380" s="3">
        <v>280461</v>
      </c>
      <c r="F380" s="3" t="s">
        <v>791</v>
      </c>
      <c r="G380" s="3" t="s">
        <v>56</v>
      </c>
      <c r="H380" s="3" t="s">
        <v>793</v>
      </c>
      <c r="I380" s="3" t="s">
        <v>794</v>
      </c>
      <c r="J380" s="3" t="s">
        <v>59</v>
      </c>
      <c r="K380" s="5"/>
      <c r="L380" s="5"/>
      <c r="M380" s="5"/>
      <c r="N380" s="5"/>
      <c r="O380" s="11"/>
      <c r="P380" s="11"/>
      <c r="Q380" s="11"/>
    </row>
    <row r="381" spans="1:17" x14ac:dyDescent="0.25">
      <c r="A381" s="8">
        <v>45727</v>
      </c>
      <c r="B381" s="3">
        <v>8239</v>
      </c>
      <c r="C381" s="3">
        <v>207462</v>
      </c>
      <c r="D381" s="3" t="s">
        <v>29</v>
      </c>
      <c r="E381" s="3">
        <v>261684</v>
      </c>
      <c r="F381" s="3" t="s">
        <v>795</v>
      </c>
      <c r="G381" s="3" t="s">
        <v>69</v>
      </c>
      <c r="H381" s="3" t="s">
        <v>796</v>
      </c>
      <c r="I381" s="3" t="s">
        <v>71</v>
      </c>
      <c r="J381" s="3" t="s">
        <v>59</v>
      </c>
      <c r="K381" s="6">
        <v>1646.15</v>
      </c>
      <c r="L381" s="6">
        <v>2468</v>
      </c>
      <c r="M381" s="4">
        <v>1</v>
      </c>
      <c r="N381" s="4">
        <v>444.24</v>
      </c>
      <c r="O381" s="11"/>
      <c r="P381" s="11"/>
      <c r="Q381" s="11"/>
    </row>
    <row r="382" spans="1:17" x14ac:dyDescent="0.25">
      <c r="A382" s="8">
        <v>45727</v>
      </c>
      <c r="B382" s="3">
        <v>8239</v>
      </c>
      <c r="C382" s="3">
        <v>207462</v>
      </c>
      <c r="D382" s="3" t="s">
        <v>29</v>
      </c>
      <c r="E382" s="3">
        <v>261684</v>
      </c>
      <c r="F382" s="3" t="s">
        <v>795</v>
      </c>
      <c r="G382" s="3" t="s">
        <v>69</v>
      </c>
      <c r="H382" s="3" t="s">
        <v>797</v>
      </c>
      <c r="I382" s="3" t="s">
        <v>798</v>
      </c>
      <c r="J382" s="3" t="s">
        <v>59</v>
      </c>
      <c r="K382" s="5"/>
      <c r="L382" s="5"/>
      <c r="M382" s="5"/>
      <c r="N382" s="5"/>
      <c r="O382" s="11"/>
      <c r="P382" s="11"/>
      <c r="Q382" s="11"/>
    </row>
    <row r="383" spans="1:17" x14ac:dyDescent="0.25">
      <c r="A383" s="8">
        <v>45729</v>
      </c>
      <c r="B383" s="3">
        <v>9438</v>
      </c>
      <c r="C383" s="3">
        <v>207462</v>
      </c>
      <c r="D383" s="3" t="s">
        <v>29</v>
      </c>
      <c r="E383" s="3">
        <v>206631</v>
      </c>
      <c r="F383" s="3" t="s">
        <v>799</v>
      </c>
      <c r="G383" s="3" t="s">
        <v>83</v>
      </c>
      <c r="H383" s="3" t="s">
        <v>800</v>
      </c>
      <c r="I383" s="3" t="s">
        <v>801</v>
      </c>
      <c r="J383" s="3" t="s">
        <v>86</v>
      </c>
      <c r="K383" s="4">
        <v>0</v>
      </c>
      <c r="L383" s="4">
        <v>0</v>
      </c>
      <c r="M383" s="4">
        <v>0</v>
      </c>
      <c r="N383" s="4">
        <v>0</v>
      </c>
      <c r="O383" s="11"/>
      <c r="P383" s="11"/>
      <c r="Q383" s="11"/>
    </row>
    <row r="384" spans="1:17" x14ac:dyDescent="0.25">
      <c r="A384" s="8">
        <v>45729</v>
      </c>
      <c r="B384" s="3" t="s">
        <v>802</v>
      </c>
      <c r="C384" s="3">
        <v>207462</v>
      </c>
      <c r="D384" s="3" t="s">
        <v>29</v>
      </c>
      <c r="E384" s="3">
        <v>206631</v>
      </c>
      <c r="F384" s="3" t="s">
        <v>799</v>
      </c>
      <c r="G384" s="3" t="s">
        <v>83</v>
      </c>
      <c r="H384" s="3" t="s">
        <v>800</v>
      </c>
      <c r="I384" s="3" t="s">
        <v>801</v>
      </c>
      <c r="J384" s="3" t="s">
        <v>86</v>
      </c>
      <c r="K384" s="6">
        <v>5083.45</v>
      </c>
      <c r="L384" s="6">
        <v>-2995.5</v>
      </c>
      <c r="M384" s="4">
        <v>1</v>
      </c>
      <c r="N384" s="4">
        <v>200</v>
      </c>
      <c r="O384" s="11"/>
      <c r="P384" s="11"/>
      <c r="Q384" s="11"/>
    </row>
    <row r="385" spans="1:17" x14ac:dyDescent="0.25">
      <c r="A385" s="8">
        <v>45734</v>
      </c>
      <c r="B385" s="3">
        <v>9580</v>
      </c>
      <c r="C385" s="3">
        <v>207462</v>
      </c>
      <c r="D385" s="3" t="s">
        <v>29</v>
      </c>
      <c r="E385" s="3">
        <v>266920</v>
      </c>
      <c r="F385" s="3" t="s">
        <v>803</v>
      </c>
      <c r="G385" s="3" t="s">
        <v>56</v>
      </c>
      <c r="H385" s="3">
        <v>5144138</v>
      </c>
      <c r="I385" s="3" t="s">
        <v>804</v>
      </c>
      <c r="J385" s="3" t="s">
        <v>59</v>
      </c>
      <c r="K385" s="4">
        <v>183</v>
      </c>
      <c r="L385" s="4">
        <v>-165.4</v>
      </c>
      <c r="M385" s="4">
        <v>1</v>
      </c>
      <c r="N385" s="4">
        <v>200</v>
      </c>
      <c r="O385" s="11"/>
      <c r="P385" s="11"/>
      <c r="Q385" s="11"/>
    </row>
    <row r="386" spans="1:17" x14ac:dyDescent="0.25">
      <c r="A386" s="8">
        <v>45734</v>
      </c>
      <c r="B386" s="3">
        <v>9580</v>
      </c>
      <c r="C386" s="3">
        <v>207462</v>
      </c>
      <c r="D386" s="3" t="s">
        <v>29</v>
      </c>
      <c r="E386" s="3">
        <v>266920</v>
      </c>
      <c r="F386" s="3" t="s">
        <v>803</v>
      </c>
      <c r="G386" s="3" t="s">
        <v>56</v>
      </c>
      <c r="H386" s="3" t="s">
        <v>805</v>
      </c>
      <c r="I386" s="3" t="s">
        <v>769</v>
      </c>
      <c r="J386" s="3" t="s">
        <v>59</v>
      </c>
      <c r="K386" s="5"/>
      <c r="L386" s="5"/>
      <c r="M386" s="5"/>
      <c r="N386" s="5"/>
      <c r="O386" s="11"/>
      <c r="P386" s="11"/>
      <c r="Q386" s="11"/>
    </row>
    <row r="387" spans="1:17" x14ac:dyDescent="0.25">
      <c r="A387" s="8">
        <v>45742</v>
      </c>
      <c r="B387" s="3">
        <v>9356</v>
      </c>
      <c r="C387" s="3">
        <v>207462</v>
      </c>
      <c r="D387" s="3" t="s">
        <v>29</v>
      </c>
      <c r="E387" s="3">
        <v>202540</v>
      </c>
      <c r="F387" s="3" t="s">
        <v>806</v>
      </c>
      <c r="G387" s="3" t="s">
        <v>69</v>
      </c>
      <c r="H387" s="3" t="s">
        <v>807</v>
      </c>
      <c r="I387" s="3" t="s">
        <v>274</v>
      </c>
      <c r="J387" s="3" t="s">
        <v>59</v>
      </c>
      <c r="K387" s="6">
        <v>2800.34</v>
      </c>
      <c r="L387" s="6">
        <v>2455</v>
      </c>
      <c r="M387" s="4">
        <v>1</v>
      </c>
      <c r="N387" s="4">
        <v>441.9</v>
      </c>
      <c r="O387" s="11"/>
      <c r="P387" s="11"/>
      <c r="Q387" s="11"/>
    </row>
    <row r="388" spans="1:17" x14ac:dyDescent="0.25">
      <c r="A388" s="8">
        <v>45742</v>
      </c>
      <c r="B388" s="3">
        <v>9356</v>
      </c>
      <c r="C388" s="3">
        <v>207462</v>
      </c>
      <c r="D388" s="3" t="s">
        <v>29</v>
      </c>
      <c r="E388" s="3">
        <v>202540</v>
      </c>
      <c r="F388" s="3" t="s">
        <v>806</v>
      </c>
      <c r="G388" s="3" t="s">
        <v>69</v>
      </c>
      <c r="H388" s="3" t="s">
        <v>808</v>
      </c>
      <c r="I388" s="3" t="s">
        <v>809</v>
      </c>
      <c r="J388" s="3" t="s">
        <v>59</v>
      </c>
      <c r="K388" s="5"/>
      <c r="L388" s="5"/>
      <c r="M388" s="5"/>
      <c r="N388" s="5"/>
      <c r="O388" s="11"/>
      <c r="P388" s="11"/>
      <c r="Q388" s="11"/>
    </row>
    <row r="389" spans="1:17" x14ac:dyDescent="0.25">
      <c r="A389" s="8">
        <v>45742</v>
      </c>
      <c r="B389" s="3">
        <v>9565</v>
      </c>
      <c r="C389" s="3">
        <v>207462</v>
      </c>
      <c r="D389" s="3" t="s">
        <v>29</v>
      </c>
      <c r="E389" s="3">
        <v>215183</v>
      </c>
      <c r="F389" s="3" t="s">
        <v>810</v>
      </c>
      <c r="G389" s="3" t="s">
        <v>56</v>
      </c>
      <c r="H389" s="3" t="s">
        <v>811</v>
      </c>
      <c r="I389" s="3" t="s">
        <v>71</v>
      </c>
      <c r="J389" s="3" t="s">
        <v>59</v>
      </c>
      <c r="K389" s="6">
        <v>1762</v>
      </c>
      <c r="L389" s="6">
        <v>1855</v>
      </c>
      <c r="M389" s="4">
        <v>1</v>
      </c>
      <c r="N389" s="4">
        <v>333.9</v>
      </c>
      <c r="O389" s="11"/>
      <c r="P389" s="11"/>
      <c r="Q389" s="11"/>
    </row>
    <row r="390" spans="1:17" x14ac:dyDescent="0.25">
      <c r="A390" s="8">
        <v>45742</v>
      </c>
      <c r="B390" s="3">
        <v>9565</v>
      </c>
      <c r="C390" s="3">
        <v>207462</v>
      </c>
      <c r="D390" s="3" t="s">
        <v>29</v>
      </c>
      <c r="E390" s="3">
        <v>215183</v>
      </c>
      <c r="F390" s="3" t="s">
        <v>810</v>
      </c>
      <c r="G390" s="3" t="s">
        <v>56</v>
      </c>
      <c r="H390" s="3" t="s">
        <v>812</v>
      </c>
      <c r="I390" s="3" t="s">
        <v>218</v>
      </c>
      <c r="J390" s="3" t="s">
        <v>59</v>
      </c>
      <c r="K390" s="5"/>
      <c r="L390" s="5"/>
      <c r="M390" s="5"/>
      <c r="N390" s="5"/>
      <c r="O390" s="11"/>
      <c r="P390" s="11"/>
      <c r="Q390" s="11"/>
    </row>
    <row r="391" spans="1:17" x14ac:dyDescent="0.25">
      <c r="A391" s="8">
        <v>45742</v>
      </c>
      <c r="B391" s="3">
        <v>9654</v>
      </c>
      <c r="C391" s="3">
        <v>207462</v>
      </c>
      <c r="D391" s="3" t="s">
        <v>29</v>
      </c>
      <c r="E391" s="3">
        <v>254678</v>
      </c>
      <c r="F391" s="3" t="s">
        <v>813</v>
      </c>
      <c r="G391" s="3" t="s">
        <v>108</v>
      </c>
      <c r="H391" s="3" t="s">
        <v>793</v>
      </c>
      <c r="I391" s="3" t="s">
        <v>794</v>
      </c>
      <c r="J391" s="3" t="s">
        <v>86</v>
      </c>
      <c r="K391" s="6">
        <v>3740.24</v>
      </c>
      <c r="L391" s="6">
        <v>1051.04</v>
      </c>
      <c r="M391" s="4">
        <v>1</v>
      </c>
      <c r="N391" s="4">
        <v>200</v>
      </c>
      <c r="O391" s="11"/>
      <c r="P391" s="11"/>
      <c r="Q391" s="11"/>
    </row>
    <row r="392" spans="1:17" x14ac:dyDescent="0.25">
      <c r="A392" s="8">
        <v>45742</v>
      </c>
      <c r="B392" s="3">
        <v>9654</v>
      </c>
      <c r="C392" s="3">
        <v>207462</v>
      </c>
      <c r="D392" s="3" t="s">
        <v>29</v>
      </c>
      <c r="E392" s="3">
        <v>254678</v>
      </c>
      <c r="F392" s="3" t="s">
        <v>813</v>
      </c>
      <c r="G392" s="3" t="s">
        <v>108</v>
      </c>
      <c r="H392" s="3" t="s">
        <v>814</v>
      </c>
      <c r="I392" s="3" t="s">
        <v>815</v>
      </c>
      <c r="J392" s="3" t="s">
        <v>86</v>
      </c>
      <c r="K392" s="5"/>
      <c r="L392" s="5"/>
      <c r="M392" s="5"/>
      <c r="N392" s="5"/>
      <c r="O392" s="11"/>
      <c r="P392" s="11"/>
      <c r="Q392" s="11"/>
    </row>
    <row r="393" spans="1:17" x14ac:dyDescent="0.25">
      <c r="A393" s="8">
        <v>45744</v>
      </c>
      <c r="B393" s="3">
        <v>9723</v>
      </c>
      <c r="C393" s="3">
        <v>207462</v>
      </c>
      <c r="D393" s="3" t="s">
        <v>29</v>
      </c>
      <c r="E393" s="3">
        <v>266951</v>
      </c>
      <c r="F393" s="3" t="s">
        <v>816</v>
      </c>
      <c r="G393" s="3" t="s">
        <v>69</v>
      </c>
      <c r="H393" s="3" t="s">
        <v>817</v>
      </c>
      <c r="I393" s="3" t="s">
        <v>818</v>
      </c>
      <c r="J393" s="3" t="s">
        <v>59</v>
      </c>
      <c r="K393" s="6">
        <v>7860.3</v>
      </c>
      <c r="L393" s="4">
        <v>811.61</v>
      </c>
      <c r="M393" s="4">
        <v>1</v>
      </c>
      <c r="N393" s="4">
        <v>200</v>
      </c>
      <c r="O393" s="11"/>
      <c r="P393" s="11"/>
      <c r="Q393" s="11"/>
    </row>
    <row r="394" spans="1:17" x14ac:dyDescent="0.25">
      <c r="A394" s="8">
        <v>45744</v>
      </c>
      <c r="B394" s="3">
        <v>9723</v>
      </c>
      <c r="C394" s="3">
        <v>207462</v>
      </c>
      <c r="D394" s="3" t="s">
        <v>29</v>
      </c>
      <c r="E394" s="3">
        <v>266951</v>
      </c>
      <c r="F394" s="3" t="s">
        <v>816</v>
      </c>
      <c r="G394" s="3" t="s">
        <v>69</v>
      </c>
      <c r="H394" s="3" t="s">
        <v>819</v>
      </c>
      <c r="I394" s="3" t="s">
        <v>820</v>
      </c>
      <c r="J394" s="3" t="s">
        <v>59</v>
      </c>
      <c r="K394" s="5"/>
      <c r="L394" s="5"/>
      <c r="M394" s="5"/>
      <c r="N394" s="5"/>
      <c r="O394" s="11"/>
      <c r="P394" s="11"/>
      <c r="Q394" s="11"/>
    </row>
    <row r="395" spans="1:17" x14ac:dyDescent="0.25">
      <c r="A395" s="8">
        <v>45747</v>
      </c>
      <c r="B395" s="3">
        <v>9767</v>
      </c>
      <c r="C395" s="3">
        <v>207462</v>
      </c>
      <c r="D395" s="3" t="s">
        <v>29</v>
      </c>
      <c r="E395" s="3">
        <v>20104</v>
      </c>
      <c r="F395" s="3" t="s">
        <v>821</v>
      </c>
      <c r="G395" s="3" t="s">
        <v>56</v>
      </c>
      <c r="H395" s="3" t="s">
        <v>822</v>
      </c>
      <c r="I395" s="3" t="s">
        <v>248</v>
      </c>
      <c r="J395" s="3" t="s">
        <v>59</v>
      </c>
      <c r="K395" s="6">
        <v>3250.34</v>
      </c>
      <c r="L395" s="4">
        <v>882</v>
      </c>
      <c r="M395" s="4">
        <v>1</v>
      </c>
      <c r="N395" s="4">
        <v>200</v>
      </c>
      <c r="O395" s="11"/>
      <c r="P395" s="11"/>
      <c r="Q395" s="11"/>
    </row>
    <row r="396" spans="1:17" x14ac:dyDescent="0.25">
      <c r="A396" s="8">
        <v>45747</v>
      </c>
      <c r="B396" s="3">
        <v>9776</v>
      </c>
      <c r="C396" s="3">
        <v>207462</v>
      </c>
      <c r="D396" s="3" t="s">
        <v>29</v>
      </c>
      <c r="E396" s="3">
        <v>265653</v>
      </c>
      <c r="F396" s="3" t="s">
        <v>823</v>
      </c>
      <c r="G396" s="3" t="s">
        <v>56</v>
      </c>
      <c r="H396" s="3" t="s">
        <v>824</v>
      </c>
      <c r="I396" s="3" t="s">
        <v>259</v>
      </c>
      <c r="J396" s="3" t="s">
        <v>59</v>
      </c>
      <c r="K396" s="6">
        <v>1162</v>
      </c>
      <c r="L396" s="6">
        <v>-3810.98</v>
      </c>
      <c r="M396" s="4">
        <v>1</v>
      </c>
      <c r="N396" s="4">
        <v>200</v>
      </c>
      <c r="O396" s="11"/>
      <c r="P396" s="11"/>
      <c r="Q396" s="11"/>
    </row>
    <row r="397" spans="1:17" x14ac:dyDescent="0.25">
      <c r="A397" s="8">
        <v>45734</v>
      </c>
      <c r="B397" s="3">
        <v>9569</v>
      </c>
      <c r="C397" s="3">
        <v>207573</v>
      </c>
      <c r="D397" s="3" t="s">
        <v>30</v>
      </c>
      <c r="E397" s="3">
        <v>24001</v>
      </c>
      <c r="F397" s="3" t="s">
        <v>825</v>
      </c>
      <c r="G397" s="3" t="s">
        <v>108</v>
      </c>
      <c r="H397" s="3" t="s">
        <v>174</v>
      </c>
      <c r="I397" s="3" t="s">
        <v>175</v>
      </c>
      <c r="J397" s="3" t="s">
        <v>86</v>
      </c>
      <c r="K397" s="6">
        <v>2863.06</v>
      </c>
      <c r="L397" s="6">
        <v>3755.61</v>
      </c>
      <c r="M397" s="4">
        <v>1</v>
      </c>
      <c r="N397" s="4">
        <v>676.01</v>
      </c>
      <c r="O397" s="11"/>
      <c r="P397" s="11"/>
      <c r="Q397" s="11"/>
    </row>
    <row r="398" spans="1:17" x14ac:dyDescent="0.25">
      <c r="A398" s="8">
        <v>45735</v>
      </c>
      <c r="B398" s="3">
        <v>9585</v>
      </c>
      <c r="C398" s="3">
        <v>207573</v>
      </c>
      <c r="D398" s="3" t="s">
        <v>30</v>
      </c>
      <c r="E398" s="3">
        <v>24015</v>
      </c>
      <c r="F398" s="3" t="s">
        <v>826</v>
      </c>
      <c r="G398" s="3" t="s">
        <v>56</v>
      </c>
      <c r="H398" s="3" t="s">
        <v>827</v>
      </c>
      <c r="I398" s="3" t="s">
        <v>166</v>
      </c>
      <c r="J398" s="3" t="s">
        <v>59</v>
      </c>
      <c r="K398" s="4">
        <v>768</v>
      </c>
      <c r="L398" s="6">
        <v>-3005</v>
      </c>
      <c r="M398" s="4">
        <v>1</v>
      </c>
      <c r="N398" s="4">
        <v>200</v>
      </c>
      <c r="O398" s="11"/>
      <c r="P398" s="11"/>
      <c r="Q398" s="11"/>
    </row>
    <row r="399" spans="1:17" x14ac:dyDescent="0.25">
      <c r="A399" s="8">
        <v>45735</v>
      </c>
      <c r="B399" s="3">
        <v>9585</v>
      </c>
      <c r="C399" s="3">
        <v>207573</v>
      </c>
      <c r="D399" s="3" t="s">
        <v>30</v>
      </c>
      <c r="E399" s="3">
        <v>24015</v>
      </c>
      <c r="F399" s="3" t="s">
        <v>826</v>
      </c>
      <c r="G399" s="3" t="s">
        <v>56</v>
      </c>
      <c r="H399" s="3" t="s">
        <v>828</v>
      </c>
      <c r="I399" s="3" t="s">
        <v>829</v>
      </c>
      <c r="J399" s="3" t="s">
        <v>59</v>
      </c>
      <c r="K399" s="5"/>
      <c r="L399" s="5"/>
      <c r="M399" s="5"/>
      <c r="N399" s="5"/>
      <c r="O399" s="11"/>
      <c r="P399" s="11"/>
      <c r="Q399" s="11"/>
    </row>
    <row r="400" spans="1:17" x14ac:dyDescent="0.25">
      <c r="A400" s="8">
        <v>45735</v>
      </c>
      <c r="B400" s="3">
        <v>9601</v>
      </c>
      <c r="C400" s="3">
        <v>207573</v>
      </c>
      <c r="D400" s="3" t="s">
        <v>30</v>
      </c>
      <c r="E400" s="3">
        <v>24033</v>
      </c>
      <c r="F400" s="3" t="s">
        <v>830</v>
      </c>
      <c r="G400" s="3" t="s">
        <v>56</v>
      </c>
      <c r="H400" s="3" t="s">
        <v>831</v>
      </c>
      <c r="I400" s="3" t="s">
        <v>259</v>
      </c>
      <c r="J400" s="3" t="s">
        <v>59</v>
      </c>
      <c r="K400" s="4">
        <v>654</v>
      </c>
      <c r="L400" s="6">
        <v>-2028.65</v>
      </c>
      <c r="M400" s="4">
        <v>1</v>
      </c>
      <c r="N400" s="4">
        <v>200</v>
      </c>
      <c r="O400" s="11"/>
      <c r="P400" s="11"/>
      <c r="Q400" s="11"/>
    </row>
    <row r="401" spans="1:17" x14ac:dyDescent="0.25">
      <c r="A401" s="8">
        <v>45736</v>
      </c>
      <c r="B401" s="3">
        <v>9171</v>
      </c>
      <c r="C401" s="3">
        <v>207573</v>
      </c>
      <c r="D401" s="3" t="s">
        <v>30</v>
      </c>
      <c r="E401" s="3">
        <v>23382</v>
      </c>
      <c r="F401" s="3" t="s">
        <v>421</v>
      </c>
      <c r="G401" s="3" t="s">
        <v>69</v>
      </c>
      <c r="H401" s="3" t="s">
        <v>422</v>
      </c>
      <c r="I401" s="3" t="s">
        <v>106</v>
      </c>
      <c r="J401" s="3" t="s">
        <v>59</v>
      </c>
      <c r="K401" s="6">
        <v>-5532.5</v>
      </c>
      <c r="L401" s="6">
        <v>-2477</v>
      </c>
      <c r="M401" s="4">
        <v>-0.5</v>
      </c>
      <c r="N401" s="4">
        <v>-445.86</v>
      </c>
      <c r="O401" s="11"/>
      <c r="P401" s="11"/>
      <c r="Q401" s="11"/>
    </row>
    <row r="402" spans="1:17" x14ac:dyDescent="0.25">
      <c r="A402" s="8">
        <v>45736</v>
      </c>
      <c r="B402" s="3">
        <v>9171</v>
      </c>
      <c r="C402" s="3">
        <v>207573</v>
      </c>
      <c r="D402" s="3" t="s">
        <v>30</v>
      </c>
      <c r="E402" s="3">
        <v>23382</v>
      </c>
      <c r="F402" s="3" t="s">
        <v>421</v>
      </c>
      <c r="G402" s="3" t="s">
        <v>69</v>
      </c>
      <c r="H402" s="3" t="s">
        <v>423</v>
      </c>
      <c r="I402" s="3" t="s">
        <v>424</v>
      </c>
      <c r="J402" s="3" t="s">
        <v>59</v>
      </c>
      <c r="K402" s="5"/>
      <c r="L402" s="5"/>
      <c r="M402" s="5"/>
      <c r="N402" s="5"/>
      <c r="O402" s="11"/>
      <c r="P402" s="11"/>
      <c r="Q402" s="11"/>
    </row>
    <row r="403" spans="1:17" x14ac:dyDescent="0.25">
      <c r="A403" s="8">
        <v>45742</v>
      </c>
      <c r="B403" s="3">
        <v>9653</v>
      </c>
      <c r="C403" s="3">
        <v>207573</v>
      </c>
      <c r="D403" s="3" t="s">
        <v>30</v>
      </c>
      <c r="E403" s="3">
        <v>24126</v>
      </c>
      <c r="F403" s="3" t="s">
        <v>360</v>
      </c>
      <c r="G403" s="3" t="s">
        <v>56</v>
      </c>
      <c r="H403" s="3" t="s">
        <v>361</v>
      </c>
      <c r="I403" s="3" t="s">
        <v>210</v>
      </c>
      <c r="J403" s="3" t="s">
        <v>59</v>
      </c>
      <c r="K403" s="4">
        <v>425.5</v>
      </c>
      <c r="L403" s="6">
        <v>-2086</v>
      </c>
      <c r="M403" s="4">
        <v>0.5</v>
      </c>
      <c r="N403" s="4">
        <v>100</v>
      </c>
      <c r="O403" s="11"/>
      <c r="P403" s="11"/>
      <c r="Q403" s="11"/>
    </row>
    <row r="404" spans="1:17" x14ac:dyDescent="0.25">
      <c r="A404" s="8">
        <v>45742</v>
      </c>
      <c r="B404" s="3">
        <v>9653</v>
      </c>
      <c r="C404" s="3">
        <v>207573</v>
      </c>
      <c r="D404" s="3" t="s">
        <v>30</v>
      </c>
      <c r="E404" s="3">
        <v>24126</v>
      </c>
      <c r="F404" s="3" t="s">
        <v>360</v>
      </c>
      <c r="G404" s="3" t="s">
        <v>56</v>
      </c>
      <c r="H404" s="3" t="s">
        <v>362</v>
      </c>
      <c r="I404" s="3" t="s">
        <v>347</v>
      </c>
      <c r="J404" s="3" t="s">
        <v>59</v>
      </c>
      <c r="K404" s="5"/>
      <c r="L404" s="5"/>
      <c r="M404" s="5"/>
      <c r="N404" s="5"/>
      <c r="O404" s="11"/>
      <c r="P404" s="11"/>
      <c r="Q404" s="11"/>
    </row>
    <row r="405" spans="1:17" x14ac:dyDescent="0.25">
      <c r="A405" s="8">
        <v>45742</v>
      </c>
      <c r="B405" s="3">
        <v>9661</v>
      </c>
      <c r="C405" s="3">
        <v>207573</v>
      </c>
      <c r="D405" s="3" t="s">
        <v>30</v>
      </c>
      <c r="E405" s="3">
        <v>24144</v>
      </c>
      <c r="F405" s="3" t="s">
        <v>832</v>
      </c>
      <c r="G405" s="3" t="s">
        <v>108</v>
      </c>
      <c r="H405" s="3" t="s">
        <v>833</v>
      </c>
      <c r="I405" s="3" t="s">
        <v>834</v>
      </c>
      <c r="J405" s="3" t="s">
        <v>86</v>
      </c>
      <c r="K405" s="6">
        <v>5844</v>
      </c>
      <c r="L405" s="4">
        <v>-71.3</v>
      </c>
      <c r="M405" s="4">
        <v>1</v>
      </c>
      <c r="N405" s="4">
        <v>200</v>
      </c>
      <c r="O405" s="11"/>
      <c r="P405" s="11"/>
      <c r="Q405" s="11"/>
    </row>
    <row r="406" spans="1:17" x14ac:dyDescent="0.25">
      <c r="A406" s="8">
        <v>45742</v>
      </c>
      <c r="B406" s="3">
        <v>9661</v>
      </c>
      <c r="C406" s="3">
        <v>207573</v>
      </c>
      <c r="D406" s="3" t="s">
        <v>30</v>
      </c>
      <c r="E406" s="3">
        <v>24144</v>
      </c>
      <c r="F406" s="3" t="s">
        <v>832</v>
      </c>
      <c r="G406" s="3" t="s">
        <v>108</v>
      </c>
      <c r="H406" s="3" t="s">
        <v>835</v>
      </c>
      <c r="I406" s="3" t="s">
        <v>836</v>
      </c>
      <c r="J406" s="3" t="s">
        <v>86</v>
      </c>
      <c r="K406" s="5"/>
      <c r="L406" s="5"/>
      <c r="M406" s="5"/>
      <c r="N406" s="5"/>
      <c r="O406" s="11"/>
      <c r="P406" s="11"/>
      <c r="Q406" s="11"/>
    </row>
    <row r="407" spans="1:17" x14ac:dyDescent="0.25">
      <c r="A407" s="8">
        <v>45743</v>
      </c>
      <c r="B407" s="3">
        <v>9733</v>
      </c>
      <c r="C407" s="3">
        <v>207573</v>
      </c>
      <c r="D407" s="3" t="s">
        <v>30</v>
      </c>
      <c r="E407" s="3">
        <v>24249</v>
      </c>
      <c r="F407" s="3" t="s">
        <v>837</v>
      </c>
      <c r="G407" s="3" t="s">
        <v>56</v>
      </c>
      <c r="H407" s="3" t="s">
        <v>838</v>
      </c>
      <c r="I407" s="3" t="s">
        <v>369</v>
      </c>
      <c r="J407" s="3" t="s">
        <v>59</v>
      </c>
      <c r="K407" s="6">
        <v>1695.07</v>
      </c>
      <c r="L407" s="6">
        <v>-4274</v>
      </c>
      <c r="M407" s="4">
        <v>1</v>
      </c>
      <c r="N407" s="4">
        <v>200</v>
      </c>
      <c r="O407" s="11"/>
      <c r="P407" s="11"/>
      <c r="Q407" s="11"/>
    </row>
    <row r="408" spans="1:17" x14ac:dyDescent="0.25">
      <c r="A408" s="8">
        <v>45744</v>
      </c>
      <c r="B408" s="3">
        <v>9469</v>
      </c>
      <c r="C408" s="3">
        <v>207573</v>
      </c>
      <c r="D408" s="3" t="s">
        <v>30</v>
      </c>
      <c r="E408" s="3">
        <v>23382</v>
      </c>
      <c r="F408" s="3" t="s">
        <v>421</v>
      </c>
      <c r="G408" s="3" t="s">
        <v>69</v>
      </c>
      <c r="H408" s="3" t="s">
        <v>422</v>
      </c>
      <c r="I408" s="3" t="s">
        <v>106</v>
      </c>
      <c r="J408" s="3" t="s">
        <v>59</v>
      </c>
      <c r="K408" s="6">
        <v>4359.5200000000004</v>
      </c>
      <c r="L408" s="6">
        <v>2477</v>
      </c>
      <c r="M408" s="4">
        <v>0.5</v>
      </c>
      <c r="N408" s="4">
        <v>445.86</v>
      </c>
      <c r="O408" s="11"/>
      <c r="P408" s="11"/>
      <c r="Q408" s="11"/>
    </row>
    <row r="409" spans="1:17" x14ac:dyDescent="0.25">
      <c r="A409" s="8">
        <v>45744</v>
      </c>
      <c r="B409" s="3">
        <v>9469</v>
      </c>
      <c r="C409" s="3">
        <v>207573</v>
      </c>
      <c r="D409" s="3" t="s">
        <v>30</v>
      </c>
      <c r="E409" s="3">
        <v>23382</v>
      </c>
      <c r="F409" s="3" t="s">
        <v>421</v>
      </c>
      <c r="G409" s="3" t="s">
        <v>69</v>
      </c>
      <c r="H409" s="3" t="s">
        <v>423</v>
      </c>
      <c r="I409" s="3" t="s">
        <v>424</v>
      </c>
      <c r="J409" s="3" t="s">
        <v>59</v>
      </c>
      <c r="K409" s="5"/>
      <c r="L409" s="5"/>
      <c r="M409" s="5"/>
      <c r="N409" s="5"/>
      <c r="O409" s="11"/>
      <c r="P409" s="11"/>
      <c r="Q409" s="11"/>
    </row>
    <row r="410" spans="1:17" x14ac:dyDescent="0.25">
      <c r="A410" s="8">
        <v>45747</v>
      </c>
      <c r="B410" s="3">
        <v>9785</v>
      </c>
      <c r="C410" s="3">
        <v>207573</v>
      </c>
      <c r="D410" s="3" t="s">
        <v>30</v>
      </c>
      <c r="E410" s="3">
        <v>24299</v>
      </c>
      <c r="F410" s="3" t="s">
        <v>839</v>
      </c>
      <c r="G410" s="3" t="s">
        <v>69</v>
      </c>
      <c r="H410" s="3" t="s">
        <v>840</v>
      </c>
      <c r="I410" s="3" t="s">
        <v>188</v>
      </c>
      <c r="J410" s="3" t="s">
        <v>59</v>
      </c>
      <c r="K410" s="6">
        <v>1431.9</v>
      </c>
      <c r="L410" s="6">
        <v>4598</v>
      </c>
      <c r="M410" s="4">
        <v>1</v>
      </c>
      <c r="N410" s="4">
        <v>827.64</v>
      </c>
      <c r="O410" s="11"/>
      <c r="P410" s="11"/>
      <c r="Q410" s="11"/>
    </row>
    <row r="411" spans="1:17" x14ac:dyDescent="0.25">
      <c r="A411" s="8">
        <v>45747</v>
      </c>
      <c r="B411" s="3">
        <v>9785</v>
      </c>
      <c r="C411" s="3">
        <v>207573</v>
      </c>
      <c r="D411" s="3" t="s">
        <v>30</v>
      </c>
      <c r="E411" s="3">
        <v>24299</v>
      </c>
      <c r="F411" s="3" t="s">
        <v>839</v>
      </c>
      <c r="G411" s="3" t="s">
        <v>69</v>
      </c>
      <c r="H411" s="3" t="s">
        <v>841</v>
      </c>
      <c r="I411" s="3" t="s">
        <v>842</v>
      </c>
      <c r="J411" s="3" t="s">
        <v>59</v>
      </c>
      <c r="K411" s="5"/>
      <c r="L411" s="5"/>
      <c r="M411" s="5"/>
      <c r="N411" s="5"/>
      <c r="O411" s="11"/>
      <c r="P411" s="11"/>
      <c r="Q411" s="11"/>
    </row>
    <row r="412" spans="1:17" x14ac:dyDescent="0.25">
      <c r="A412" s="8">
        <v>45747</v>
      </c>
      <c r="B412" s="3">
        <v>9981</v>
      </c>
      <c r="C412" s="3">
        <v>207573</v>
      </c>
      <c r="D412" s="3" t="s">
        <v>30</v>
      </c>
      <c r="E412" s="3">
        <v>24537</v>
      </c>
      <c r="F412" s="3" t="s">
        <v>843</v>
      </c>
      <c r="G412" s="3" t="s">
        <v>56</v>
      </c>
      <c r="H412" s="3" t="s">
        <v>844</v>
      </c>
      <c r="I412" s="3" t="s">
        <v>89</v>
      </c>
      <c r="J412" s="3" t="s">
        <v>59</v>
      </c>
      <c r="K412" s="4">
        <v>824</v>
      </c>
      <c r="L412" s="6">
        <v>1665.06</v>
      </c>
      <c r="M412" s="4">
        <v>1</v>
      </c>
      <c r="N412" s="4">
        <v>299.70999999999998</v>
      </c>
      <c r="O412" s="11"/>
      <c r="P412" s="11"/>
      <c r="Q412" s="11"/>
    </row>
    <row r="413" spans="1:17" x14ac:dyDescent="0.25">
      <c r="A413" s="8">
        <v>45727</v>
      </c>
      <c r="B413" s="3">
        <v>9464</v>
      </c>
      <c r="C413" s="3">
        <v>207580</v>
      </c>
      <c r="D413" s="3" t="s">
        <v>31</v>
      </c>
      <c r="E413" s="3">
        <v>23811</v>
      </c>
      <c r="F413" s="3" t="s">
        <v>251</v>
      </c>
      <c r="G413" s="3" t="s">
        <v>56</v>
      </c>
      <c r="H413" s="3" t="s">
        <v>252</v>
      </c>
      <c r="I413" s="3" t="s">
        <v>253</v>
      </c>
      <c r="J413" s="3" t="s">
        <v>59</v>
      </c>
      <c r="K413" s="4">
        <v>0</v>
      </c>
      <c r="L413" s="6">
        <v>1573.35</v>
      </c>
      <c r="M413" s="4">
        <v>0.5</v>
      </c>
      <c r="N413" s="4">
        <v>283.20999999999998</v>
      </c>
      <c r="O413" s="11"/>
      <c r="P413" s="11"/>
      <c r="Q413" s="11"/>
    </row>
    <row r="414" spans="1:17" x14ac:dyDescent="0.25">
      <c r="A414" s="8">
        <v>45729</v>
      </c>
      <c r="B414" s="3">
        <v>9483</v>
      </c>
      <c r="C414" s="3">
        <v>207580</v>
      </c>
      <c r="D414" s="3" t="s">
        <v>31</v>
      </c>
      <c r="E414" s="3">
        <v>23828</v>
      </c>
      <c r="F414" s="3" t="s">
        <v>845</v>
      </c>
      <c r="G414" s="3" t="s">
        <v>289</v>
      </c>
      <c r="H414" s="3" t="s">
        <v>846</v>
      </c>
      <c r="I414" s="3" t="s">
        <v>94</v>
      </c>
      <c r="J414" s="3" t="s">
        <v>59</v>
      </c>
      <c r="K414" s="4">
        <v>0</v>
      </c>
      <c r="L414" s="4">
        <v>0</v>
      </c>
      <c r="M414" s="4">
        <v>0</v>
      </c>
      <c r="N414" s="4">
        <v>0</v>
      </c>
      <c r="O414" s="11"/>
      <c r="P414" s="11"/>
      <c r="Q414" s="11"/>
    </row>
    <row r="415" spans="1:17" x14ac:dyDescent="0.25">
      <c r="A415" s="8">
        <v>45734</v>
      </c>
      <c r="B415" s="3">
        <v>9494</v>
      </c>
      <c r="C415" s="3">
        <v>207580</v>
      </c>
      <c r="D415" s="3" t="s">
        <v>31</v>
      </c>
      <c r="E415" s="3">
        <v>274672</v>
      </c>
      <c r="F415" s="3" t="s">
        <v>847</v>
      </c>
      <c r="G415" s="3" t="s">
        <v>69</v>
      </c>
      <c r="H415" s="3" t="s">
        <v>848</v>
      </c>
      <c r="I415" s="3" t="s">
        <v>89</v>
      </c>
      <c r="J415" s="3" t="s">
        <v>59</v>
      </c>
      <c r="K415" s="6">
        <v>2130.84</v>
      </c>
      <c r="L415" s="6">
        <v>9528.26</v>
      </c>
      <c r="M415" s="4">
        <v>1</v>
      </c>
      <c r="N415" s="6">
        <v>1715.09</v>
      </c>
      <c r="O415" s="11"/>
      <c r="P415" s="11"/>
      <c r="Q415" s="11"/>
    </row>
    <row r="416" spans="1:17" x14ac:dyDescent="0.25">
      <c r="A416" s="8">
        <v>45734</v>
      </c>
      <c r="B416" s="3">
        <v>9494</v>
      </c>
      <c r="C416" s="3">
        <v>207580</v>
      </c>
      <c r="D416" s="3" t="s">
        <v>31</v>
      </c>
      <c r="E416" s="3">
        <v>274672</v>
      </c>
      <c r="F416" s="3" t="s">
        <v>847</v>
      </c>
      <c r="G416" s="3" t="s">
        <v>69</v>
      </c>
      <c r="H416" s="3" t="s">
        <v>849</v>
      </c>
      <c r="I416" s="3" t="s">
        <v>850</v>
      </c>
      <c r="J416" s="3" t="s">
        <v>59</v>
      </c>
      <c r="K416" s="5"/>
      <c r="L416" s="5"/>
      <c r="M416" s="5"/>
      <c r="N416" s="5"/>
      <c r="O416" s="11"/>
      <c r="P416" s="11"/>
      <c r="Q416" s="11"/>
    </row>
    <row r="417" spans="1:17" x14ac:dyDescent="0.25">
      <c r="A417" s="8">
        <v>45734</v>
      </c>
      <c r="B417" s="3">
        <v>8916</v>
      </c>
      <c r="C417" s="3">
        <v>207580</v>
      </c>
      <c r="D417" s="3" t="s">
        <v>31</v>
      </c>
      <c r="E417" s="3">
        <v>23000</v>
      </c>
      <c r="F417" s="3" t="s">
        <v>851</v>
      </c>
      <c r="G417" s="3" t="s">
        <v>69</v>
      </c>
      <c r="H417" s="3" t="s">
        <v>852</v>
      </c>
      <c r="I417" s="3" t="s">
        <v>279</v>
      </c>
      <c r="J417" s="3" t="s">
        <v>59</v>
      </c>
      <c r="K417" s="4">
        <v>0</v>
      </c>
      <c r="L417" s="4">
        <v>0</v>
      </c>
      <c r="M417" s="4">
        <v>0</v>
      </c>
      <c r="N417" s="4">
        <v>0</v>
      </c>
      <c r="O417" s="11"/>
      <c r="P417" s="11"/>
      <c r="Q417" s="11"/>
    </row>
    <row r="418" spans="1:17" x14ac:dyDescent="0.25">
      <c r="A418" s="8">
        <v>45735</v>
      </c>
      <c r="B418" s="3">
        <v>9602</v>
      </c>
      <c r="C418" s="3">
        <v>207580</v>
      </c>
      <c r="D418" s="3" t="s">
        <v>31</v>
      </c>
      <c r="E418" s="3">
        <v>24034</v>
      </c>
      <c r="F418" s="3" t="s">
        <v>853</v>
      </c>
      <c r="G418" s="3" t="s">
        <v>69</v>
      </c>
      <c r="H418" s="3" t="s">
        <v>854</v>
      </c>
      <c r="I418" s="3" t="s">
        <v>378</v>
      </c>
      <c r="J418" s="3" t="s">
        <v>59</v>
      </c>
      <c r="K418" s="6">
        <v>4594.6000000000004</v>
      </c>
      <c r="L418" s="6">
        <v>10695.06</v>
      </c>
      <c r="M418" s="4">
        <v>1</v>
      </c>
      <c r="N418" s="6">
        <v>1925.11</v>
      </c>
      <c r="O418" s="11"/>
      <c r="P418" s="11"/>
      <c r="Q418" s="11"/>
    </row>
    <row r="419" spans="1:17" x14ac:dyDescent="0.25">
      <c r="A419" s="8">
        <v>45735</v>
      </c>
      <c r="B419" s="3">
        <v>9602</v>
      </c>
      <c r="C419" s="3">
        <v>207580</v>
      </c>
      <c r="D419" s="3" t="s">
        <v>31</v>
      </c>
      <c r="E419" s="3">
        <v>24034</v>
      </c>
      <c r="F419" s="3" t="s">
        <v>853</v>
      </c>
      <c r="G419" s="3" t="s">
        <v>69</v>
      </c>
      <c r="H419" s="3" t="s">
        <v>855</v>
      </c>
      <c r="I419" s="3" t="s">
        <v>856</v>
      </c>
      <c r="J419" s="3" t="s">
        <v>59</v>
      </c>
      <c r="K419" s="5"/>
      <c r="L419" s="5"/>
      <c r="M419" s="5"/>
      <c r="N419" s="5"/>
      <c r="O419" s="11"/>
      <c r="P419" s="11"/>
      <c r="Q419" s="11"/>
    </row>
    <row r="420" spans="1:17" x14ac:dyDescent="0.25">
      <c r="A420" s="8">
        <v>45735</v>
      </c>
      <c r="B420" s="3">
        <v>9506</v>
      </c>
      <c r="C420" s="3">
        <v>207580</v>
      </c>
      <c r="D420" s="3" t="s">
        <v>31</v>
      </c>
      <c r="E420" s="3">
        <v>23890</v>
      </c>
      <c r="F420" s="3" t="s">
        <v>857</v>
      </c>
      <c r="G420" s="3" t="s">
        <v>56</v>
      </c>
      <c r="H420" s="3" t="s">
        <v>858</v>
      </c>
      <c r="I420" s="3" t="s">
        <v>210</v>
      </c>
      <c r="J420" s="3" t="s">
        <v>59</v>
      </c>
      <c r="K420" s="6">
        <v>2076.69</v>
      </c>
      <c r="L420" s="6">
        <v>-4340</v>
      </c>
      <c r="M420" s="4">
        <v>1</v>
      </c>
      <c r="N420" s="4">
        <v>200</v>
      </c>
      <c r="O420" s="11"/>
      <c r="P420" s="11"/>
      <c r="Q420" s="11"/>
    </row>
    <row r="421" spans="1:17" x14ac:dyDescent="0.25">
      <c r="A421" s="8">
        <v>45736</v>
      </c>
      <c r="B421" s="3">
        <v>9582</v>
      </c>
      <c r="C421" s="3">
        <v>207580</v>
      </c>
      <c r="D421" s="3" t="s">
        <v>31</v>
      </c>
      <c r="E421" s="3">
        <v>24012</v>
      </c>
      <c r="F421" s="3" t="s">
        <v>859</v>
      </c>
      <c r="G421" s="3" t="s">
        <v>69</v>
      </c>
      <c r="H421" s="10" t="s">
        <v>860</v>
      </c>
      <c r="I421" s="3" t="s">
        <v>101</v>
      </c>
      <c r="J421" s="3" t="s">
        <v>59</v>
      </c>
      <c r="K421" s="4">
        <v>368</v>
      </c>
      <c r="L421" s="6">
        <v>3410</v>
      </c>
      <c r="M421" s="4">
        <v>1</v>
      </c>
      <c r="N421" s="4">
        <v>613.79999999999995</v>
      </c>
      <c r="O421" s="11"/>
      <c r="P421" s="11"/>
      <c r="Q421" s="11"/>
    </row>
    <row r="422" spans="1:17" x14ac:dyDescent="0.25">
      <c r="A422" s="8">
        <v>45736</v>
      </c>
      <c r="B422" s="3">
        <v>9582</v>
      </c>
      <c r="C422" s="3">
        <v>207580</v>
      </c>
      <c r="D422" s="3" t="s">
        <v>31</v>
      </c>
      <c r="E422" s="3">
        <v>24012</v>
      </c>
      <c r="F422" s="3" t="s">
        <v>859</v>
      </c>
      <c r="G422" s="3" t="s">
        <v>69</v>
      </c>
      <c r="H422" s="10" t="s">
        <v>861</v>
      </c>
      <c r="I422" s="3" t="s">
        <v>862</v>
      </c>
      <c r="J422" s="3" t="s">
        <v>59</v>
      </c>
      <c r="K422" s="5"/>
      <c r="L422" s="5"/>
      <c r="M422" s="5"/>
      <c r="N422" s="5"/>
      <c r="O422" s="11"/>
      <c r="P422" s="11"/>
      <c r="Q422" s="11"/>
    </row>
    <row r="423" spans="1:17" x14ac:dyDescent="0.25">
      <c r="A423" s="8">
        <v>45741</v>
      </c>
      <c r="B423" s="3" t="s">
        <v>863</v>
      </c>
      <c r="C423" s="3">
        <v>207580</v>
      </c>
      <c r="D423" s="3" t="s">
        <v>31</v>
      </c>
      <c r="E423" s="3">
        <v>23000</v>
      </c>
      <c r="F423" s="3" t="s">
        <v>851</v>
      </c>
      <c r="G423" s="3" t="s">
        <v>69</v>
      </c>
      <c r="H423" s="3" t="s">
        <v>852</v>
      </c>
      <c r="I423" s="3" t="s">
        <v>279</v>
      </c>
      <c r="J423" s="3" t="s">
        <v>59</v>
      </c>
      <c r="K423" s="6">
        <v>1682.41</v>
      </c>
      <c r="L423" s="6">
        <v>1287.5</v>
      </c>
      <c r="M423" s="4">
        <v>0.5</v>
      </c>
      <c r="N423" s="4">
        <v>231.75</v>
      </c>
      <c r="O423" s="11"/>
      <c r="P423" s="11"/>
      <c r="Q423" s="11"/>
    </row>
    <row r="424" spans="1:17" x14ac:dyDescent="0.25">
      <c r="A424" s="8">
        <v>45743</v>
      </c>
      <c r="B424" s="3">
        <v>9676</v>
      </c>
      <c r="C424" s="3">
        <v>207580</v>
      </c>
      <c r="D424" s="3" t="s">
        <v>31</v>
      </c>
      <c r="E424" s="3">
        <v>24182</v>
      </c>
      <c r="F424" s="3" t="s">
        <v>230</v>
      </c>
      <c r="G424" s="3" t="s">
        <v>108</v>
      </c>
      <c r="H424" s="3" t="s">
        <v>231</v>
      </c>
      <c r="I424" s="3" t="s">
        <v>232</v>
      </c>
      <c r="J424" s="3" t="s">
        <v>86</v>
      </c>
      <c r="K424" s="6">
        <v>2222.2600000000002</v>
      </c>
      <c r="L424" s="6">
        <v>-2472.16</v>
      </c>
      <c r="M424" s="4">
        <v>0.5</v>
      </c>
      <c r="N424" s="4">
        <v>100</v>
      </c>
      <c r="O424" s="11"/>
      <c r="P424" s="11"/>
      <c r="Q424" s="11"/>
    </row>
    <row r="425" spans="1:17" x14ac:dyDescent="0.25">
      <c r="A425" s="8">
        <v>45743</v>
      </c>
      <c r="B425" s="3">
        <v>9676</v>
      </c>
      <c r="C425" s="3">
        <v>207580</v>
      </c>
      <c r="D425" s="3" t="s">
        <v>31</v>
      </c>
      <c r="E425" s="3">
        <v>24182</v>
      </c>
      <c r="F425" s="3" t="s">
        <v>230</v>
      </c>
      <c r="G425" s="3" t="s">
        <v>108</v>
      </c>
      <c r="H425" s="3" t="s">
        <v>233</v>
      </c>
      <c r="I425" s="3" t="s">
        <v>234</v>
      </c>
      <c r="J425" s="3" t="s">
        <v>86</v>
      </c>
      <c r="K425" s="5"/>
      <c r="L425" s="5"/>
      <c r="M425" s="5"/>
      <c r="N425" s="5"/>
      <c r="O425" s="11"/>
      <c r="P425" s="11"/>
      <c r="Q425" s="11"/>
    </row>
    <row r="426" spans="1:17" x14ac:dyDescent="0.25">
      <c r="A426" s="8">
        <v>45744</v>
      </c>
      <c r="B426" s="3">
        <v>9749</v>
      </c>
      <c r="C426" s="3">
        <v>207580</v>
      </c>
      <c r="D426" s="3" t="s">
        <v>31</v>
      </c>
      <c r="E426" s="3">
        <v>24266</v>
      </c>
      <c r="F426" s="3" t="s">
        <v>864</v>
      </c>
      <c r="G426" s="3" t="s">
        <v>564</v>
      </c>
      <c r="H426" s="3" t="s">
        <v>865</v>
      </c>
      <c r="I426" s="3" t="s">
        <v>866</v>
      </c>
      <c r="J426" s="3" t="s">
        <v>86</v>
      </c>
      <c r="K426" s="4">
        <v>0</v>
      </c>
      <c r="L426" s="4">
        <v>0</v>
      </c>
      <c r="M426" s="4">
        <v>0</v>
      </c>
      <c r="N426" s="4">
        <v>0</v>
      </c>
      <c r="O426" s="11"/>
      <c r="P426" s="11"/>
      <c r="Q426" s="11"/>
    </row>
    <row r="427" spans="1:17" x14ac:dyDescent="0.25">
      <c r="A427" s="8">
        <v>45744</v>
      </c>
      <c r="B427" s="3">
        <v>9755</v>
      </c>
      <c r="C427" s="3">
        <v>207580</v>
      </c>
      <c r="D427" s="3" t="s">
        <v>31</v>
      </c>
      <c r="E427" s="3">
        <v>279004</v>
      </c>
      <c r="F427" s="3" t="s">
        <v>867</v>
      </c>
      <c r="G427" s="3" t="s">
        <v>69</v>
      </c>
      <c r="H427" s="3" t="s">
        <v>868</v>
      </c>
      <c r="I427" s="3" t="s">
        <v>188</v>
      </c>
      <c r="J427" s="3" t="s">
        <v>59</v>
      </c>
      <c r="K427" s="6">
        <v>3527.45</v>
      </c>
      <c r="L427" s="6">
        <v>2090</v>
      </c>
      <c r="M427" s="4">
        <v>0.5</v>
      </c>
      <c r="N427" s="4">
        <v>376.2</v>
      </c>
      <c r="O427" s="11"/>
      <c r="P427" s="11"/>
      <c r="Q427" s="11"/>
    </row>
    <row r="428" spans="1:17" x14ac:dyDescent="0.25">
      <c r="A428" s="8">
        <v>45744</v>
      </c>
      <c r="B428" s="3">
        <v>9755</v>
      </c>
      <c r="C428" s="3">
        <v>207580</v>
      </c>
      <c r="D428" s="3" t="s">
        <v>31</v>
      </c>
      <c r="E428" s="3">
        <v>279004</v>
      </c>
      <c r="F428" s="3" t="s">
        <v>867</v>
      </c>
      <c r="G428" s="3" t="s">
        <v>69</v>
      </c>
      <c r="H428" s="3" t="s">
        <v>869</v>
      </c>
      <c r="I428" s="3" t="s">
        <v>347</v>
      </c>
      <c r="J428" s="3" t="s">
        <v>59</v>
      </c>
      <c r="K428" s="5"/>
      <c r="L428" s="5"/>
      <c r="M428" s="5"/>
      <c r="N428" s="5"/>
      <c r="O428" s="11"/>
      <c r="P428" s="11"/>
      <c r="Q428" s="11"/>
    </row>
    <row r="429" spans="1:17" x14ac:dyDescent="0.25">
      <c r="A429" s="8">
        <v>45747</v>
      </c>
      <c r="B429" s="3">
        <v>7874</v>
      </c>
      <c r="C429" s="3">
        <v>207580</v>
      </c>
      <c r="D429" s="3" t="s">
        <v>31</v>
      </c>
      <c r="E429" s="3">
        <v>21555</v>
      </c>
      <c r="F429" s="3" t="s">
        <v>870</v>
      </c>
      <c r="G429" s="3" t="s">
        <v>289</v>
      </c>
      <c r="H429" s="3" t="s">
        <v>871</v>
      </c>
      <c r="I429" s="3" t="s">
        <v>291</v>
      </c>
      <c r="J429" s="3" t="s">
        <v>59</v>
      </c>
      <c r="K429" s="4">
        <v>958.11</v>
      </c>
      <c r="L429" s="6">
        <v>1380.5</v>
      </c>
      <c r="M429" s="4">
        <v>1</v>
      </c>
      <c r="N429" s="4">
        <v>248.49</v>
      </c>
      <c r="O429" s="11"/>
      <c r="P429" s="11"/>
      <c r="Q429" s="11"/>
    </row>
    <row r="430" spans="1:17" x14ac:dyDescent="0.25">
      <c r="A430" s="8">
        <v>45747</v>
      </c>
      <c r="B430" s="3" t="s">
        <v>872</v>
      </c>
      <c r="C430" s="3">
        <v>207580</v>
      </c>
      <c r="D430" s="3" t="s">
        <v>31</v>
      </c>
      <c r="E430" s="3">
        <v>23828</v>
      </c>
      <c r="F430" s="3" t="s">
        <v>845</v>
      </c>
      <c r="G430" s="3" t="s">
        <v>289</v>
      </c>
      <c r="H430" s="3" t="s">
        <v>846</v>
      </c>
      <c r="I430" s="3" t="s">
        <v>94</v>
      </c>
      <c r="J430" s="3" t="s">
        <v>59</v>
      </c>
      <c r="K430" s="6">
        <v>5084.7299999999996</v>
      </c>
      <c r="L430" s="6">
        <v>2790</v>
      </c>
      <c r="M430" s="4">
        <v>1</v>
      </c>
      <c r="N430" s="4">
        <v>502.2</v>
      </c>
      <c r="O430" s="11"/>
      <c r="P430" s="11"/>
      <c r="Q430" s="11"/>
    </row>
    <row r="431" spans="1:17" x14ac:dyDescent="0.25">
      <c r="A431" s="8">
        <v>45747</v>
      </c>
      <c r="B431" s="3" t="s">
        <v>873</v>
      </c>
      <c r="C431" s="3">
        <v>207580</v>
      </c>
      <c r="D431" s="3" t="s">
        <v>31</v>
      </c>
      <c r="E431" s="3">
        <v>24266</v>
      </c>
      <c r="F431" s="3" t="s">
        <v>864</v>
      </c>
      <c r="G431" s="3" t="s">
        <v>564</v>
      </c>
      <c r="H431" s="3" t="s">
        <v>865</v>
      </c>
      <c r="I431" s="3" t="s">
        <v>866</v>
      </c>
      <c r="J431" s="3" t="s">
        <v>86</v>
      </c>
      <c r="K431" s="4">
        <v>0</v>
      </c>
      <c r="L431" s="4">
        <v>0</v>
      </c>
      <c r="M431" s="4">
        <v>0</v>
      </c>
      <c r="N431" s="4">
        <v>0</v>
      </c>
      <c r="O431" s="11"/>
      <c r="P431" s="11"/>
      <c r="Q431" s="11"/>
    </row>
    <row r="432" spans="1:17" x14ac:dyDescent="0.25">
      <c r="A432" s="8">
        <v>45747</v>
      </c>
      <c r="B432" s="3" t="s">
        <v>874</v>
      </c>
      <c r="C432" s="3">
        <v>207580</v>
      </c>
      <c r="D432" s="3" t="s">
        <v>31</v>
      </c>
      <c r="E432" s="3">
        <v>24266</v>
      </c>
      <c r="F432" s="3" t="s">
        <v>864</v>
      </c>
      <c r="G432" s="3" t="s">
        <v>564</v>
      </c>
      <c r="H432" s="3" t="s">
        <v>865</v>
      </c>
      <c r="I432" s="3" t="s">
        <v>866</v>
      </c>
      <c r="J432" s="3" t="s">
        <v>86</v>
      </c>
      <c r="K432" s="6">
        <v>1774.31</v>
      </c>
      <c r="L432" s="4">
        <v>-227.45</v>
      </c>
      <c r="M432" s="4">
        <v>1</v>
      </c>
      <c r="N432" s="4">
        <v>200</v>
      </c>
      <c r="O432" s="11"/>
      <c r="P432" s="11"/>
      <c r="Q432" s="11"/>
    </row>
    <row r="433" spans="1:17" x14ac:dyDescent="0.25">
      <c r="A433" s="8">
        <v>45747</v>
      </c>
      <c r="B433" s="3">
        <v>9992</v>
      </c>
      <c r="C433" s="3">
        <v>207580</v>
      </c>
      <c r="D433" s="3" t="s">
        <v>31</v>
      </c>
      <c r="E433" s="3">
        <v>24544</v>
      </c>
      <c r="F433" s="3" t="s">
        <v>875</v>
      </c>
      <c r="G433" s="3" t="s">
        <v>69</v>
      </c>
      <c r="H433" s="3">
        <v>5264575</v>
      </c>
      <c r="I433" s="3" t="s">
        <v>519</v>
      </c>
      <c r="J433" s="3" t="s">
        <v>59</v>
      </c>
      <c r="K433" s="6">
        <v>1984.25</v>
      </c>
      <c r="L433" s="6">
        <v>-2059</v>
      </c>
      <c r="M433" s="4">
        <v>1</v>
      </c>
      <c r="N433" s="4">
        <v>200</v>
      </c>
      <c r="O433" s="11"/>
      <c r="P433" s="11"/>
      <c r="Q433" s="11"/>
    </row>
    <row r="434" spans="1:17" x14ac:dyDescent="0.25">
      <c r="A434" s="8">
        <v>45747</v>
      </c>
      <c r="B434" s="3">
        <v>9992</v>
      </c>
      <c r="C434" s="3">
        <v>207580</v>
      </c>
      <c r="D434" s="3" t="s">
        <v>31</v>
      </c>
      <c r="E434" s="3">
        <v>24544</v>
      </c>
      <c r="F434" s="3" t="s">
        <v>875</v>
      </c>
      <c r="G434" s="3" t="s">
        <v>69</v>
      </c>
      <c r="H434" s="3" t="s">
        <v>876</v>
      </c>
      <c r="I434" s="3" t="s">
        <v>877</v>
      </c>
      <c r="J434" s="3" t="s">
        <v>59</v>
      </c>
      <c r="K434" s="5"/>
      <c r="L434" s="5"/>
      <c r="M434" s="5"/>
      <c r="N434" s="5"/>
      <c r="O434" s="11"/>
      <c r="P434" s="11"/>
      <c r="Q434" s="11"/>
    </row>
    <row r="435" spans="1:17" x14ac:dyDescent="0.25">
      <c r="A435" s="8">
        <v>45747</v>
      </c>
      <c r="B435" s="3">
        <v>9841</v>
      </c>
      <c r="C435" s="3">
        <v>207580</v>
      </c>
      <c r="D435" s="3" t="s">
        <v>31</v>
      </c>
      <c r="E435" s="3">
        <v>24377</v>
      </c>
      <c r="F435" s="3" t="s">
        <v>878</v>
      </c>
      <c r="G435" s="3" t="s">
        <v>56</v>
      </c>
      <c r="H435" s="3">
        <v>5264203</v>
      </c>
      <c r="I435" s="3" t="s">
        <v>519</v>
      </c>
      <c r="J435" s="3" t="s">
        <v>59</v>
      </c>
      <c r="K435" s="4">
        <v>8</v>
      </c>
      <c r="L435" s="6">
        <v>-3805</v>
      </c>
      <c r="M435" s="4">
        <v>1</v>
      </c>
      <c r="N435" s="4">
        <v>200</v>
      </c>
      <c r="O435" s="11"/>
      <c r="P435" s="11"/>
      <c r="Q435" s="11"/>
    </row>
    <row r="436" spans="1:17" x14ac:dyDescent="0.25">
      <c r="A436" s="8">
        <v>45747</v>
      </c>
      <c r="B436" s="3">
        <v>9893</v>
      </c>
      <c r="C436" s="3">
        <v>207580</v>
      </c>
      <c r="D436" s="3" t="s">
        <v>31</v>
      </c>
      <c r="E436" s="3">
        <v>261405</v>
      </c>
      <c r="F436" s="3" t="s">
        <v>879</v>
      </c>
      <c r="G436" s="3" t="s">
        <v>56</v>
      </c>
      <c r="H436" s="3" t="s">
        <v>880</v>
      </c>
      <c r="I436" s="3" t="s">
        <v>89</v>
      </c>
      <c r="J436" s="3" t="s">
        <v>59</v>
      </c>
      <c r="K436" s="4">
        <v>0</v>
      </c>
      <c r="L436" s="4">
        <v>0</v>
      </c>
      <c r="M436" s="4">
        <v>0</v>
      </c>
      <c r="N436" s="4">
        <v>0</v>
      </c>
      <c r="O436" s="11"/>
      <c r="P436" s="11"/>
      <c r="Q436" s="11"/>
    </row>
    <row r="437" spans="1:17" x14ac:dyDescent="0.25">
      <c r="A437" s="8">
        <v>45747</v>
      </c>
      <c r="B437" s="3">
        <v>9893</v>
      </c>
      <c r="C437" s="3">
        <v>207580</v>
      </c>
      <c r="D437" s="3" t="s">
        <v>31</v>
      </c>
      <c r="E437" s="3">
        <v>261405</v>
      </c>
      <c r="F437" s="3" t="s">
        <v>879</v>
      </c>
      <c r="G437" s="3" t="s">
        <v>56</v>
      </c>
      <c r="H437" s="3" t="s">
        <v>881</v>
      </c>
      <c r="I437" s="3" t="s">
        <v>882</v>
      </c>
      <c r="J437" s="3" t="s">
        <v>59</v>
      </c>
      <c r="K437" s="5"/>
      <c r="L437" s="5"/>
      <c r="M437" s="5"/>
      <c r="N437" s="5"/>
      <c r="O437" s="11"/>
      <c r="P437" s="11"/>
      <c r="Q437" s="11"/>
    </row>
    <row r="438" spans="1:17" x14ac:dyDescent="0.25">
      <c r="A438" s="8">
        <v>45747</v>
      </c>
      <c r="B438" s="3">
        <v>9898</v>
      </c>
      <c r="C438" s="3">
        <v>207580</v>
      </c>
      <c r="D438" s="3" t="s">
        <v>31</v>
      </c>
      <c r="E438" s="3">
        <v>24442</v>
      </c>
      <c r="F438" s="3" t="s">
        <v>883</v>
      </c>
      <c r="G438" s="3" t="s">
        <v>56</v>
      </c>
      <c r="H438" s="3" t="s">
        <v>884</v>
      </c>
      <c r="I438" s="3" t="s">
        <v>106</v>
      </c>
      <c r="J438" s="3" t="s">
        <v>59</v>
      </c>
      <c r="K438" s="6">
        <v>1424</v>
      </c>
      <c r="L438" s="6">
        <v>-2934</v>
      </c>
      <c r="M438" s="4">
        <v>1</v>
      </c>
      <c r="N438" s="4">
        <v>200</v>
      </c>
      <c r="O438" s="11"/>
      <c r="P438" s="11"/>
      <c r="Q438" s="11"/>
    </row>
    <row r="439" spans="1:17" x14ac:dyDescent="0.25">
      <c r="A439" s="8">
        <v>45747</v>
      </c>
      <c r="B439" s="3">
        <v>9847</v>
      </c>
      <c r="C439" s="3">
        <v>207580</v>
      </c>
      <c r="D439" s="3" t="s">
        <v>31</v>
      </c>
      <c r="E439" s="3">
        <v>24382</v>
      </c>
      <c r="F439" s="3" t="s">
        <v>885</v>
      </c>
      <c r="G439" s="3" t="s">
        <v>56</v>
      </c>
      <c r="H439" s="3" t="s">
        <v>886</v>
      </c>
      <c r="I439" s="3" t="s">
        <v>89</v>
      </c>
      <c r="J439" s="3" t="s">
        <v>59</v>
      </c>
      <c r="K439" s="4">
        <v>0</v>
      </c>
      <c r="L439" s="4">
        <v>0</v>
      </c>
      <c r="M439" s="4">
        <v>0</v>
      </c>
      <c r="N439" s="4">
        <v>0</v>
      </c>
      <c r="O439" s="11"/>
      <c r="P439" s="11"/>
      <c r="Q439" s="11"/>
    </row>
    <row r="440" spans="1:17" x14ac:dyDescent="0.25">
      <c r="A440" s="8">
        <v>45747</v>
      </c>
      <c r="B440" s="3">
        <v>9871</v>
      </c>
      <c r="C440" s="3">
        <v>207580</v>
      </c>
      <c r="D440" s="3" t="s">
        <v>31</v>
      </c>
      <c r="E440" s="3">
        <v>24418</v>
      </c>
      <c r="F440" s="3" t="s">
        <v>887</v>
      </c>
      <c r="G440" s="3" t="s">
        <v>56</v>
      </c>
      <c r="H440" s="3" t="s">
        <v>888</v>
      </c>
      <c r="I440" s="3" t="s">
        <v>188</v>
      </c>
      <c r="J440" s="3" t="s">
        <v>59</v>
      </c>
      <c r="K440" s="6">
        <v>1066</v>
      </c>
      <c r="L440" s="6">
        <v>2194.59</v>
      </c>
      <c r="M440" s="4">
        <v>1</v>
      </c>
      <c r="N440" s="4">
        <v>395.03</v>
      </c>
      <c r="O440" s="11"/>
      <c r="P440" s="11"/>
      <c r="Q440" s="11"/>
    </row>
    <row r="441" spans="1:17" x14ac:dyDescent="0.25">
      <c r="A441" s="8">
        <v>45747</v>
      </c>
      <c r="B441" s="3">
        <v>9871</v>
      </c>
      <c r="C441" s="3">
        <v>207580</v>
      </c>
      <c r="D441" s="3" t="s">
        <v>31</v>
      </c>
      <c r="E441" s="3">
        <v>24418</v>
      </c>
      <c r="F441" s="3" t="s">
        <v>887</v>
      </c>
      <c r="G441" s="3" t="s">
        <v>56</v>
      </c>
      <c r="H441" s="3" t="s">
        <v>889</v>
      </c>
      <c r="I441" s="3" t="s">
        <v>333</v>
      </c>
      <c r="J441" s="3" t="s">
        <v>59</v>
      </c>
      <c r="K441" s="5"/>
      <c r="L441" s="5"/>
      <c r="M441" s="5"/>
      <c r="N441" s="5"/>
      <c r="O441" s="11"/>
      <c r="P441" s="11"/>
      <c r="Q441" s="11"/>
    </row>
    <row r="442" spans="1:17" x14ac:dyDescent="0.25">
      <c r="A442" s="8">
        <v>45747</v>
      </c>
      <c r="B442" s="3" t="s">
        <v>890</v>
      </c>
      <c r="C442" s="3">
        <v>207580</v>
      </c>
      <c r="D442" s="3" t="s">
        <v>31</v>
      </c>
      <c r="E442" s="3">
        <v>261405</v>
      </c>
      <c r="F442" s="3" t="s">
        <v>879</v>
      </c>
      <c r="G442" s="3" t="s">
        <v>56</v>
      </c>
      <c r="H442" s="3" t="s">
        <v>880</v>
      </c>
      <c r="I442" s="3" t="s">
        <v>89</v>
      </c>
      <c r="J442" s="3" t="s">
        <v>59</v>
      </c>
      <c r="K442" s="6">
        <v>7373.54</v>
      </c>
      <c r="L442" s="6">
        <v>11662.4</v>
      </c>
      <c r="M442" s="4">
        <v>1</v>
      </c>
      <c r="N442" s="6">
        <v>2099.23</v>
      </c>
      <c r="O442" s="11"/>
      <c r="P442" s="11"/>
      <c r="Q442" s="11"/>
    </row>
    <row r="443" spans="1:17" x14ac:dyDescent="0.25">
      <c r="A443" s="8">
        <v>45747</v>
      </c>
      <c r="B443" s="3" t="s">
        <v>890</v>
      </c>
      <c r="C443" s="3">
        <v>207580</v>
      </c>
      <c r="D443" s="3" t="s">
        <v>31</v>
      </c>
      <c r="E443" s="3">
        <v>261405</v>
      </c>
      <c r="F443" s="3" t="s">
        <v>879</v>
      </c>
      <c r="G443" s="3" t="s">
        <v>56</v>
      </c>
      <c r="H443" s="3" t="s">
        <v>881</v>
      </c>
      <c r="I443" s="3" t="s">
        <v>882</v>
      </c>
      <c r="J443" s="3" t="s">
        <v>59</v>
      </c>
      <c r="K443" s="5"/>
      <c r="L443" s="5"/>
      <c r="M443" s="5"/>
      <c r="N443" s="5"/>
      <c r="O443" s="11"/>
      <c r="P443" s="11"/>
      <c r="Q443" s="11"/>
    </row>
    <row r="444" spans="1:17" x14ac:dyDescent="0.25">
      <c r="A444" s="8">
        <v>45747</v>
      </c>
      <c r="B444" s="3" t="s">
        <v>891</v>
      </c>
      <c r="C444" s="3">
        <v>207580</v>
      </c>
      <c r="D444" s="3" t="s">
        <v>31</v>
      </c>
      <c r="E444" s="3">
        <v>24382</v>
      </c>
      <c r="F444" s="3" t="s">
        <v>885</v>
      </c>
      <c r="G444" s="3" t="s">
        <v>56</v>
      </c>
      <c r="H444" s="3" t="s">
        <v>886</v>
      </c>
      <c r="I444" s="3" t="s">
        <v>89</v>
      </c>
      <c r="J444" s="3" t="s">
        <v>59</v>
      </c>
      <c r="K444" s="6">
        <v>1624</v>
      </c>
      <c r="L444" s="6">
        <v>10256.35</v>
      </c>
      <c r="M444" s="4">
        <v>1</v>
      </c>
      <c r="N444" s="6">
        <v>1846.14</v>
      </c>
      <c r="O444" s="11"/>
      <c r="P444" s="11"/>
      <c r="Q444" s="11"/>
    </row>
    <row r="445" spans="1:17" x14ac:dyDescent="0.25">
      <c r="A445" s="8">
        <v>45747</v>
      </c>
      <c r="B445" s="3">
        <v>9682</v>
      </c>
      <c r="C445" s="3">
        <v>207580</v>
      </c>
      <c r="D445" s="3" t="s">
        <v>31</v>
      </c>
      <c r="E445" s="3">
        <v>24193</v>
      </c>
      <c r="F445" s="3" t="s">
        <v>892</v>
      </c>
      <c r="G445" s="3" t="s">
        <v>125</v>
      </c>
      <c r="H445" s="3" t="s">
        <v>893</v>
      </c>
      <c r="I445" s="3" t="s">
        <v>894</v>
      </c>
      <c r="J445" s="3" t="s">
        <v>86</v>
      </c>
      <c r="K445" s="6">
        <v>4097.2700000000004</v>
      </c>
      <c r="L445" s="6">
        <v>1335.86</v>
      </c>
      <c r="M445" s="4">
        <v>1</v>
      </c>
      <c r="N445" s="4">
        <v>240.45</v>
      </c>
      <c r="O445" s="11"/>
      <c r="P445" s="11"/>
      <c r="Q445" s="11"/>
    </row>
    <row r="446" spans="1:17" x14ac:dyDescent="0.25">
      <c r="A446" s="8">
        <v>45722</v>
      </c>
      <c r="B446" s="3">
        <v>9081</v>
      </c>
      <c r="C446" s="3">
        <v>215323</v>
      </c>
      <c r="D446" s="3" t="s">
        <v>895</v>
      </c>
      <c r="E446" s="3">
        <v>223861</v>
      </c>
      <c r="F446" s="3" t="s">
        <v>896</v>
      </c>
      <c r="G446" s="3" t="s">
        <v>69</v>
      </c>
      <c r="H446" s="3" t="s">
        <v>897</v>
      </c>
      <c r="I446" s="3" t="s">
        <v>166</v>
      </c>
      <c r="J446" s="3" t="s">
        <v>59</v>
      </c>
      <c r="K446" s="6">
        <v>3119.2</v>
      </c>
      <c r="L446" s="4">
        <v>74.06</v>
      </c>
      <c r="M446" s="4">
        <v>1</v>
      </c>
      <c r="N446" s="4">
        <v>200</v>
      </c>
      <c r="O446" s="11"/>
      <c r="P446" s="11"/>
      <c r="Q446" s="11"/>
    </row>
    <row r="447" spans="1:17" x14ac:dyDescent="0.25">
      <c r="A447" s="8">
        <v>45722</v>
      </c>
      <c r="B447" s="3">
        <v>9081</v>
      </c>
      <c r="C447" s="3">
        <v>215323</v>
      </c>
      <c r="D447" s="3" t="s">
        <v>895</v>
      </c>
      <c r="E447" s="3">
        <v>223861</v>
      </c>
      <c r="F447" s="3" t="s">
        <v>896</v>
      </c>
      <c r="G447" s="3" t="s">
        <v>69</v>
      </c>
      <c r="H447" s="3" t="s">
        <v>898</v>
      </c>
      <c r="I447" s="3" t="s">
        <v>899</v>
      </c>
      <c r="J447" s="3" t="s">
        <v>59</v>
      </c>
      <c r="K447" s="5"/>
      <c r="L447" s="5"/>
      <c r="M447" s="5"/>
      <c r="N447" s="5"/>
      <c r="O447" s="11"/>
      <c r="P447" s="11"/>
      <c r="Q447" s="11"/>
    </row>
    <row r="448" spans="1:17" x14ac:dyDescent="0.25">
      <c r="A448" s="8">
        <v>45723</v>
      </c>
      <c r="B448" s="3">
        <v>9368</v>
      </c>
      <c r="C448" s="3">
        <v>215323</v>
      </c>
      <c r="D448" s="3" t="s">
        <v>895</v>
      </c>
      <c r="E448" s="3">
        <v>14689</v>
      </c>
      <c r="F448" s="3" t="s">
        <v>900</v>
      </c>
      <c r="G448" s="3" t="s">
        <v>56</v>
      </c>
      <c r="H448" s="3" t="s">
        <v>901</v>
      </c>
      <c r="I448" s="3" t="s">
        <v>76</v>
      </c>
      <c r="J448" s="3" t="s">
        <v>59</v>
      </c>
      <c r="K448" s="6">
        <v>1368</v>
      </c>
      <c r="L448" s="6">
        <v>-4031.89</v>
      </c>
      <c r="M448" s="4">
        <v>1</v>
      </c>
      <c r="N448" s="4">
        <v>200</v>
      </c>
      <c r="O448" s="11"/>
      <c r="P448" s="11"/>
      <c r="Q448" s="11"/>
    </row>
    <row r="449" spans="1:17" x14ac:dyDescent="0.25">
      <c r="A449" s="8">
        <v>45727</v>
      </c>
      <c r="B449" s="3">
        <v>9433</v>
      </c>
      <c r="C449" s="3">
        <v>215323</v>
      </c>
      <c r="D449" s="3" t="s">
        <v>895</v>
      </c>
      <c r="E449" s="3">
        <v>23750</v>
      </c>
      <c r="F449" s="3" t="s">
        <v>902</v>
      </c>
      <c r="G449" s="3" t="s">
        <v>108</v>
      </c>
      <c r="H449" s="3" t="s">
        <v>903</v>
      </c>
      <c r="I449" s="3" t="s">
        <v>753</v>
      </c>
      <c r="J449" s="3" t="s">
        <v>86</v>
      </c>
      <c r="K449" s="4">
        <v>0</v>
      </c>
      <c r="L449" s="4">
        <v>0</v>
      </c>
      <c r="M449" s="4">
        <v>0</v>
      </c>
      <c r="N449" s="4">
        <v>0</v>
      </c>
      <c r="O449" s="11"/>
      <c r="P449" s="11"/>
      <c r="Q449" s="11"/>
    </row>
    <row r="450" spans="1:17" x14ac:dyDescent="0.25">
      <c r="A450" s="8">
        <v>45727</v>
      </c>
      <c r="B450" s="3">
        <v>9341</v>
      </c>
      <c r="C450" s="3">
        <v>215323</v>
      </c>
      <c r="D450" s="3" t="s">
        <v>895</v>
      </c>
      <c r="E450" s="3">
        <v>23589</v>
      </c>
      <c r="F450" s="3" t="s">
        <v>904</v>
      </c>
      <c r="G450" s="3" t="s">
        <v>108</v>
      </c>
      <c r="H450" s="3" t="s">
        <v>905</v>
      </c>
      <c r="I450" s="3" t="s">
        <v>906</v>
      </c>
      <c r="J450" s="3" t="s">
        <v>86</v>
      </c>
      <c r="K450" s="6">
        <v>4393.04</v>
      </c>
      <c r="L450" s="6">
        <v>6013.65</v>
      </c>
      <c r="M450" s="4">
        <v>1</v>
      </c>
      <c r="N450" s="6">
        <v>1082.46</v>
      </c>
      <c r="O450" s="11"/>
      <c r="P450" s="11"/>
      <c r="Q450" s="11"/>
    </row>
    <row r="451" spans="1:17" x14ac:dyDescent="0.25">
      <c r="A451" s="8">
        <v>45728</v>
      </c>
      <c r="B451" s="3">
        <v>9480</v>
      </c>
      <c r="C451" s="3">
        <v>215323</v>
      </c>
      <c r="D451" s="3" t="s">
        <v>895</v>
      </c>
      <c r="E451" s="3">
        <v>23823</v>
      </c>
      <c r="F451" s="3" t="s">
        <v>907</v>
      </c>
      <c r="G451" s="3" t="s">
        <v>56</v>
      </c>
      <c r="H451" s="3" t="s">
        <v>908</v>
      </c>
      <c r="I451" s="3" t="s">
        <v>210</v>
      </c>
      <c r="J451" s="3" t="s">
        <v>59</v>
      </c>
      <c r="K451" s="6">
        <v>4441.8599999999997</v>
      </c>
      <c r="L451" s="6">
        <v>7800</v>
      </c>
      <c r="M451" s="4">
        <v>1</v>
      </c>
      <c r="N451" s="6">
        <v>1404</v>
      </c>
      <c r="O451" s="11"/>
      <c r="P451" s="11"/>
      <c r="Q451" s="11"/>
    </row>
    <row r="452" spans="1:17" x14ac:dyDescent="0.25">
      <c r="A452" s="8">
        <v>45728</v>
      </c>
      <c r="B452" s="3">
        <v>9480</v>
      </c>
      <c r="C452" s="3">
        <v>215323</v>
      </c>
      <c r="D452" s="3" t="s">
        <v>895</v>
      </c>
      <c r="E452" s="3">
        <v>23823</v>
      </c>
      <c r="F452" s="3" t="s">
        <v>907</v>
      </c>
      <c r="G452" s="3" t="s">
        <v>56</v>
      </c>
      <c r="H452" s="3" t="s">
        <v>909</v>
      </c>
      <c r="I452" s="3" t="s">
        <v>910</v>
      </c>
      <c r="J452" s="3" t="s">
        <v>59</v>
      </c>
      <c r="K452" s="5"/>
      <c r="L452" s="5"/>
      <c r="M452" s="5"/>
      <c r="N452" s="5"/>
      <c r="O452" s="11"/>
      <c r="P452" s="11"/>
      <c r="Q452" s="11"/>
    </row>
    <row r="453" spans="1:17" x14ac:dyDescent="0.25">
      <c r="A453" s="8">
        <v>45729</v>
      </c>
      <c r="B453" s="3">
        <v>8545</v>
      </c>
      <c r="C453" s="3">
        <v>215323</v>
      </c>
      <c r="D453" s="3" t="s">
        <v>895</v>
      </c>
      <c r="E453" s="3">
        <v>272786</v>
      </c>
      <c r="F453" s="3" t="s">
        <v>911</v>
      </c>
      <c r="G453" s="3" t="s">
        <v>56</v>
      </c>
      <c r="H453" s="3" t="s">
        <v>912</v>
      </c>
      <c r="I453" s="3" t="s">
        <v>188</v>
      </c>
      <c r="J453" s="3" t="s">
        <v>59</v>
      </c>
      <c r="K453" s="6">
        <v>1963</v>
      </c>
      <c r="L453" s="6">
        <v>-1137</v>
      </c>
      <c r="M453" s="4">
        <v>1</v>
      </c>
      <c r="N453" s="4">
        <v>200</v>
      </c>
      <c r="O453" s="11"/>
      <c r="P453" s="11"/>
      <c r="Q453" s="11"/>
    </row>
    <row r="454" spans="1:17" x14ac:dyDescent="0.25">
      <c r="A454" s="8">
        <v>45734</v>
      </c>
      <c r="B454" s="3">
        <v>8916</v>
      </c>
      <c r="C454" s="3">
        <v>215323</v>
      </c>
      <c r="D454" s="3" t="s">
        <v>895</v>
      </c>
      <c r="E454" s="3">
        <v>23000</v>
      </c>
      <c r="F454" s="3" t="s">
        <v>851</v>
      </c>
      <c r="G454" s="3" t="s">
        <v>69</v>
      </c>
      <c r="H454" s="3" t="s">
        <v>852</v>
      </c>
      <c r="I454" s="3" t="s">
        <v>279</v>
      </c>
      <c r="J454" s="3" t="s">
        <v>59</v>
      </c>
      <c r="K454" s="4">
        <v>0</v>
      </c>
      <c r="L454" s="4">
        <v>0</v>
      </c>
      <c r="M454" s="4">
        <v>0</v>
      </c>
      <c r="N454" s="4">
        <v>0</v>
      </c>
      <c r="O454" s="11"/>
      <c r="P454" s="11"/>
      <c r="Q454" s="11"/>
    </row>
    <row r="455" spans="1:17" x14ac:dyDescent="0.25">
      <c r="A455" s="8">
        <v>45736</v>
      </c>
      <c r="B455" s="3">
        <v>9641</v>
      </c>
      <c r="C455" s="3">
        <v>215323</v>
      </c>
      <c r="D455" s="3" t="s">
        <v>895</v>
      </c>
      <c r="E455" s="3">
        <v>249183</v>
      </c>
      <c r="F455" s="3" t="s">
        <v>913</v>
      </c>
      <c r="G455" s="3" t="s">
        <v>56</v>
      </c>
      <c r="H455" s="3" t="s">
        <v>914</v>
      </c>
      <c r="I455" s="3" t="s">
        <v>71</v>
      </c>
      <c r="J455" s="3" t="s">
        <v>59</v>
      </c>
      <c r="K455" s="4">
        <v>523</v>
      </c>
      <c r="L455" s="6">
        <v>-2727</v>
      </c>
      <c r="M455" s="4">
        <v>1</v>
      </c>
      <c r="N455" s="4">
        <v>200</v>
      </c>
      <c r="O455" s="11"/>
      <c r="P455" s="11"/>
      <c r="Q455" s="11"/>
    </row>
    <row r="456" spans="1:17" x14ac:dyDescent="0.25">
      <c r="A456" s="8">
        <v>45736</v>
      </c>
      <c r="B456" s="3">
        <v>9641</v>
      </c>
      <c r="C456" s="3">
        <v>215323</v>
      </c>
      <c r="D456" s="3" t="s">
        <v>895</v>
      </c>
      <c r="E456" s="3">
        <v>249183</v>
      </c>
      <c r="F456" s="3" t="s">
        <v>913</v>
      </c>
      <c r="G456" s="3" t="s">
        <v>56</v>
      </c>
      <c r="H456" s="3" t="s">
        <v>915</v>
      </c>
      <c r="I456" s="3" t="s">
        <v>218</v>
      </c>
      <c r="J456" s="3" t="s">
        <v>59</v>
      </c>
      <c r="K456" s="5"/>
      <c r="L456" s="5"/>
      <c r="M456" s="5"/>
      <c r="N456" s="5"/>
      <c r="O456" s="11"/>
      <c r="P456" s="11"/>
      <c r="Q456" s="11"/>
    </row>
    <row r="457" spans="1:17" x14ac:dyDescent="0.25">
      <c r="A457" s="8">
        <v>45741</v>
      </c>
      <c r="B457" s="3" t="s">
        <v>863</v>
      </c>
      <c r="C457" s="3">
        <v>215323</v>
      </c>
      <c r="D457" s="3" t="s">
        <v>895</v>
      </c>
      <c r="E457" s="3">
        <v>23000</v>
      </c>
      <c r="F457" s="3" t="s">
        <v>851</v>
      </c>
      <c r="G457" s="3" t="s">
        <v>69</v>
      </c>
      <c r="H457" s="3" t="s">
        <v>852</v>
      </c>
      <c r="I457" s="3" t="s">
        <v>279</v>
      </c>
      <c r="J457" s="3" t="s">
        <v>59</v>
      </c>
      <c r="K457" s="6">
        <v>1682.41</v>
      </c>
      <c r="L457" s="6">
        <v>1287.5</v>
      </c>
      <c r="M457" s="4">
        <v>0.5</v>
      </c>
      <c r="N457" s="4">
        <v>231.75</v>
      </c>
      <c r="O457" s="11"/>
      <c r="P457" s="11"/>
      <c r="Q457" s="11"/>
    </row>
    <row r="458" spans="1:17" x14ac:dyDescent="0.25">
      <c r="A458" s="8">
        <v>45742</v>
      </c>
      <c r="B458" s="3">
        <v>9503</v>
      </c>
      <c r="C458" s="3">
        <v>215323</v>
      </c>
      <c r="D458" s="3" t="s">
        <v>895</v>
      </c>
      <c r="E458" s="3">
        <v>23883</v>
      </c>
      <c r="F458" s="3" t="s">
        <v>916</v>
      </c>
      <c r="G458" s="3" t="s">
        <v>564</v>
      </c>
      <c r="H458" s="3" t="s">
        <v>917</v>
      </c>
      <c r="I458" s="3" t="s">
        <v>918</v>
      </c>
      <c r="J458" s="3" t="s">
        <v>86</v>
      </c>
      <c r="K458" s="4">
        <v>0</v>
      </c>
      <c r="L458" s="6">
        <v>-1962.7</v>
      </c>
      <c r="M458" s="4">
        <v>1</v>
      </c>
      <c r="N458" s="4">
        <v>200</v>
      </c>
      <c r="O458" s="11"/>
      <c r="P458" s="11"/>
      <c r="Q458" s="11"/>
    </row>
    <row r="459" spans="1:17" x14ac:dyDescent="0.25">
      <c r="A459" s="8">
        <v>45742</v>
      </c>
      <c r="B459" s="3">
        <v>9503</v>
      </c>
      <c r="C459" s="3">
        <v>215323</v>
      </c>
      <c r="D459" s="3" t="s">
        <v>895</v>
      </c>
      <c r="E459" s="3">
        <v>23883</v>
      </c>
      <c r="F459" s="3" t="s">
        <v>916</v>
      </c>
      <c r="G459" s="3" t="s">
        <v>564</v>
      </c>
      <c r="H459" s="3" t="s">
        <v>919</v>
      </c>
      <c r="I459" s="3" t="s">
        <v>920</v>
      </c>
      <c r="J459" s="3" t="s">
        <v>86</v>
      </c>
      <c r="K459" s="5"/>
      <c r="L459" s="5"/>
      <c r="M459" s="5"/>
      <c r="N459" s="5"/>
      <c r="O459" s="11"/>
      <c r="P459" s="11"/>
      <c r="Q459" s="11"/>
    </row>
    <row r="460" spans="1:17" x14ac:dyDescent="0.25">
      <c r="A460" s="8">
        <v>45742</v>
      </c>
      <c r="B460" s="3">
        <v>9670</v>
      </c>
      <c r="C460" s="3">
        <v>215323</v>
      </c>
      <c r="D460" s="3" t="s">
        <v>895</v>
      </c>
      <c r="E460" s="3">
        <v>258792</v>
      </c>
      <c r="F460" s="3" t="s">
        <v>921</v>
      </c>
      <c r="G460" s="3" t="s">
        <v>56</v>
      </c>
      <c r="H460" s="3" t="s">
        <v>922</v>
      </c>
      <c r="I460" s="3" t="s">
        <v>71</v>
      </c>
      <c r="J460" s="3" t="s">
        <v>59</v>
      </c>
      <c r="K460" s="4">
        <v>0</v>
      </c>
      <c r="L460" s="6">
        <v>1280.3599999999999</v>
      </c>
      <c r="M460" s="4">
        <v>1</v>
      </c>
      <c r="N460" s="4">
        <v>230.46</v>
      </c>
      <c r="O460" s="11"/>
      <c r="P460" s="11"/>
      <c r="Q460" s="11"/>
    </row>
    <row r="461" spans="1:17" x14ac:dyDescent="0.25">
      <c r="A461" s="8">
        <v>45742</v>
      </c>
      <c r="B461" s="3">
        <v>9670</v>
      </c>
      <c r="C461" s="3">
        <v>215323</v>
      </c>
      <c r="D461" s="3" t="s">
        <v>895</v>
      </c>
      <c r="E461" s="3">
        <v>258792</v>
      </c>
      <c r="F461" s="3" t="s">
        <v>921</v>
      </c>
      <c r="G461" s="3" t="s">
        <v>56</v>
      </c>
      <c r="H461" s="3" t="s">
        <v>923</v>
      </c>
      <c r="I461" s="3" t="s">
        <v>218</v>
      </c>
      <c r="J461" s="3" t="s">
        <v>59</v>
      </c>
      <c r="K461" s="5"/>
      <c r="L461" s="5"/>
      <c r="M461" s="5"/>
      <c r="N461" s="5"/>
      <c r="O461" s="11"/>
      <c r="P461" s="11"/>
      <c r="Q461" s="11"/>
    </row>
    <row r="462" spans="1:17" x14ac:dyDescent="0.25">
      <c r="A462" s="8">
        <v>45742</v>
      </c>
      <c r="B462" s="3">
        <v>9672</v>
      </c>
      <c r="C462" s="3">
        <v>215323</v>
      </c>
      <c r="D462" s="3" t="s">
        <v>895</v>
      </c>
      <c r="E462" s="3">
        <v>277243</v>
      </c>
      <c r="F462" s="3" t="s">
        <v>924</v>
      </c>
      <c r="G462" s="3" t="s">
        <v>83</v>
      </c>
      <c r="H462" s="12" t="s">
        <v>925</v>
      </c>
      <c r="I462" s="3" t="s">
        <v>926</v>
      </c>
      <c r="J462" s="3" t="s">
        <v>86</v>
      </c>
      <c r="K462" s="4">
        <v>0</v>
      </c>
      <c r="L462" s="4">
        <v>750</v>
      </c>
      <c r="M462" s="4">
        <v>1</v>
      </c>
      <c r="N462" s="4">
        <v>200</v>
      </c>
      <c r="O462" s="11"/>
      <c r="P462" s="11"/>
      <c r="Q462" s="11"/>
    </row>
    <row r="463" spans="1:17" x14ac:dyDescent="0.25">
      <c r="A463" s="8">
        <v>45743</v>
      </c>
      <c r="B463" s="3">
        <v>9714</v>
      </c>
      <c r="C463" s="3">
        <v>215323</v>
      </c>
      <c r="D463" s="3" t="s">
        <v>895</v>
      </c>
      <c r="E463" s="3">
        <v>20845</v>
      </c>
      <c r="F463" s="3" t="s">
        <v>927</v>
      </c>
      <c r="G463" s="3" t="s">
        <v>69</v>
      </c>
      <c r="H463" s="3" t="s">
        <v>928</v>
      </c>
      <c r="I463" s="3" t="s">
        <v>71</v>
      </c>
      <c r="J463" s="3" t="s">
        <v>59</v>
      </c>
      <c r="K463" s="6">
        <v>5272.9</v>
      </c>
      <c r="L463" s="6">
        <v>2360</v>
      </c>
      <c r="M463" s="4">
        <v>1</v>
      </c>
      <c r="N463" s="4">
        <v>424.8</v>
      </c>
      <c r="O463" s="11"/>
      <c r="P463" s="11"/>
      <c r="Q463" s="11"/>
    </row>
    <row r="464" spans="1:17" x14ac:dyDescent="0.25">
      <c r="A464" s="8">
        <v>45747</v>
      </c>
      <c r="B464" s="3">
        <v>9927</v>
      </c>
      <c r="C464" s="3">
        <v>215323</v>
      </c>
      <c r="D464" s="3" t="s">
        <v>895</v>
      </c>
      <c r="E464" s="3">
        <v>248897</v>
      </c>
      <c r="F464" s="3" t="s">
        <v>929</v>
      </c>
      <c r="G464" s="3" t="s">
        <v>69</v>
      </c>
      <c r="H464" s="3" t="s">
        <v>930</v>
      </c>
      <c r="I464" s="3" t="s">
        <v>188</v>
      </c>
      <c r="J464" s="3" t="s">
        <v>59</v>
      </c>
      <c r="K464" s="6">
        <v>6517.75</v>
      </c>
      <c r="L464" s="6">
        <v>-3206</v>
      </c>
      <c r="M464" s="4">
        <v>1</v>
      </c>
      <c r="N464" s="4">
        <v>200</v>
      </c>
      <c r="O464" s="11"/>
      <c r="P464" s="11"/>
      <c r="Q464" s="11"/>
    </row>
    <row r="465" spans="1:17" x14ac:dyDescent="0.25">
      <c r="A465" s="8">
        <v>45747</v>
      </c>
      <c r="B465" s="3">
        <v>9927</v>
      </c>
      <c r="C465" s="3">
        <v>215323</v>
      </c>
      <c r="D465" s="3" t="s">
        <v>895</v>
      </c>
      <c r="E465" s="3">
        <v>248897</v>
      </c>
      <c r="F465" s="3" t="s">
        <v>929</v>
      </c>
      <c r="G465" s="3" t="s">
        <v>69</v>
      </c>
      <c r="H465" s="3" t="s">
        <v>931</v>
      </c>
      <c r="I465" s="3" t="s">
        <v>932</v>
      </c>
      <c r="J465" s="3" t="s">
        <v>59</v>
      </c>
      <c r="K465" s="5"/>
      <c r="L465" s="5"/>
      <c r="M465" s="5"/>
      <c r="N465" s="5"/>
      <c r="O465" s="11"/>
      <c r="P465" s="11"/>
      <c r="Q465" s="11"/>
    </row>
    <row r="466" spans="1:17" x14ac:dyDescent="0.25">
      <c r="A466" s="8">
        <v>45747</v>
      </c>
      <c r="B466" s="3">
        <v>9943</v>
      </c>
      <c r="C466" s="3">
        <v>215323</v>
      </c>
      <c r="D466" s="3" t="s">
        <v>895</v>
      </c>
      <c r="E466" s="3">
        <v>24490</v>
      </c>
      <c r="F466" s="3" t="s">
        <v>933</v>
      </c>
      <c r="G466" s="3" t="s">
        <v>69</v>
      </c>
      <c r="H466" s="3">
        <v>5245807</v>
      </c>
      <c r="I466" s="3" t="s">
        <v>519</v>
      </c>
      <c r="J466" s="3" t="s">
        <v>59</v>
      </c>
      <c r="K466" s="6">
        <v>3250.1</v>
      </c>
      <c r="L466" s="6">
        <v>-2969</v>
      </c>
      <c r="M466" s="4">
        <v>1</v>
      </c>
      <c r="N466" s="4">
        <v>200</v>
      </c>
      <c r="O466" s="11"/>
      <c r="P466" s="11"/>
      <c r="Q466" s="11"/>
    </row>
    <row r="467" spans="1:17" x14ac:dyDescent="0.25">
      <c r="A467" s="8">
        <v>45747</v>
      </c>
      <c r="B467" s="3">
        <v>9789</v>
      </c>
      <c r="C467" s="3">
        <v>215323</v>
      </c>
      <c r="D467" s="3" t="s">
        <v>895</v>
      </c>
      <c r="E467" s="3">
        <v>24306</v>
      </c>
      <c r="F467" s="3" t="s">
        <v>934</v>
      </c>
      <c r="G467" s="3" t="s">
        <v>56</v>
      </c>
      <c r="H467" s="3" t="s">
        <v>935</v>
      </c>
      <c r="I467" s="3" t="s">
        <v>101</v>
      </c>
      <c r="J467" s="3" t="s">
        <v>59</v>
      </c>
      <c r="K467" s="6">
        <v>2181.6999999999998</v>
      </c>
      <c r="L467" s="6">
        <v>-2225</v>
      </c>
      <c r="M467" s="4">
        <v>1</v>
      </c>
      <c r="N467" s="4">
        <v>200</v>
      </c>
      <c r="O467" s="11"/>
      <c r="P467" s="11"/>
      <c r="Q467" s="11"/>
    </row>
    <row r="468" spans="1:17" x14ac:dyDescent="0.25">
      <c r="A468" s="8">
        <v>45747</v>
      </c>
      <c r="B468" s="3">
        <v>9679</v>
      </c>
      <c r="C468" s="3">
        <v>215323</v>
      </c>
      <c r="D468" s="3" t="s">
        <v>895</v>
      </c>
      <c r="E468" s="3">
        <v>24186</v>
      </c>
      <c r="F468" s="3" t="s">
        <v>936</v>
      </c>
      <c r="G468" s="3" t="s">
        <v>56</v>
      </c>
      <c r="H468" s="3" t="s">
        <v>937</v>
      </c>
      <c r="I468" s="3" t="s">
        <v>248</v>
      </c>
      <c r="J468" s="3" t="s">
        <v>59</v>
      </c>
      <c r="K468" s="4">
        <v>0</v>
      </c>
      <c r="L468" s="6">
        <v>-8285.4500000000007</v>
      </c>
      <c r="M468" s="4">
        <v>1</v>
      </c>
      <c r="N468" s="4">
        <v>200</v>
      </c>
      <c r="O468" s="11"/>
      <c r="P468" s="11"/>
      <c r="Q468" s="11"/>
    </row>
    <row r="469" spans="1:17" x14ac:dyDescent="0.25">
      <c r="A469" s="8">
        <v>45747</v>
      </c>
      <c r="B469" s="3">
        <v>9975</v>
      </c>
      <c r="C469" s="3">
        <v>215323</v>
      </c>
      <c r="D469" s="3" t="s">
        <v>895</v>
      </c>
      <c r="E469" s="3">
        <v>211254</v>
      </c>
      <c r="F469" s="3" t="s">
        <v>938</v>
      </c>
      <c r="G469" s="3" t="s">
        <v>56</v>
      </c>
      <c r="H469" s="3" t="s">
        <v>939</v>
      </c>
      <c r="I469" s="3" t="s">
        <v>166</v>
      </c>
      <c r="J469" s="3" t="s">
        <v>59</v>
      </c>
      <c r="K469" s="4">
        <v>763</v>
      </c>
      <c r="L469" s="6">
        <v>-1091.31</v>
      </c>
      <c r="M469" s="4">
        <v>1</v>
      </c>
      <c r="N469" s="4">
        <v>200</v>
      </c>
      <c r="O469" s="11"/>
      <c r="P469" s="11"/>
      <c r="Q469" s="11"/>
    </row>
    <row r="470" spans="1:17" x14ac:dyDescent="0.25">
      <c r="A470" s="8">
        <v>45747</v>
      </c>
      <c r="B470" s="3" t="s">
        <v>940</v>
      </c>
      <c r="C470" s="3">
        <v>215323</v>
      </c>
      <c r="D470" s="3" t="s">
        <v>895</v>
      </c>
      <c r="E470" s="3">
        <v>23750</v>
      </c>
      <c r="F470" s="3" t="s">
        <v>902</v>
      </c>
      <c r="G470" s="3" t="s">
        <v>108</v>
      </c>
      <c r="H470" s="3" t="s">
        <v>903</v>
      </c>
      <c r="I470" s="3" t="s">
        <v>753</v>
      </c>
      <c r="J470" s="3" t="s">
        <v>86</v>
      </c>
      <c r="K470" s="6">
        <v>1742</v>
      </c>
      <c r="L470" s="6">
        <v>2520.85</v>
      </c>
      <c r="M470" s="4">
        <v>0.5</v>
      </c>
      <c r="N470" s="4">
        <v>453.76</v>
      </c>
      <c r="O470" s="11"/>
      <c r="P470" s="11"/>
      <c r="Q470" s="11"/>
    </row>
    <row r="471" spans="1:17" x14ac:dyDescent="0.25">
      <c r="A471" s="8">
        <v>45726</v>
      </c>
      <c r="B471" s="3">
        <v>9337</v>
      </c>
      <c r="C471" s="3">
        <v>217079</v>
      </c>
      <c r="D471" s="3" t="s">
        <v>941</v>
      </c>
      <c r="E471" s="3">
        <v>257900</v>
      </c>
      <c r="F471" s="3" t="s">
        <v>942</v>
      </c>
      <c r="G471" s="3" t="s">
        <v>69</v>
      </c>
      <c r="H471" s="3" t="s">
        <v>943</v>
      </c>
      <c r="I471" s="3" t="s">
        <v>248</v>
      </c>
      <c r="J471" s="3" t="s">
        <v>59</v>
      </c>
      <c r="K471" s="6">
        <v>1515.8</v>
      </c>
      <c r="L471" s="6">
        <v>-1846</v>
      </c>
      <c r="M471" s="4">
        <v>1</v>
      </c>
      <c r="N471" s="4">
        <v>200</v>
      </c>
      <c r="O471" s="11"/>
      <c r="P471" s="11"/>
      <c r="Q471" s="11"/>
    </row>
    <row r="472" spans="1:17" x14ac:dyDescent="0.25">
      <c r="A472" s="8">
        <v>45726</v>
      </c>
      <c r="B472" s="3">
        <v>9337</v>
      </c>
      <c r="C472" s="3">
        <v>217079</v>
      </c>
      <c r="D472" s="3" t="s">
        <v>941</v>
      </c>
      <c r="E472" s="3">
        <v>257900</v>
      </c>
      <c r="F472" s="3" t="s">
        <v>942</v>
      </c>
      <c r="G472" s="3" t="s">
        <v>69</v>
      </c>
      <c r="H472" s="3" t="s">
        <v>944</v>
      </c>
      <c r="I472" s="3" t="s">
        <v>945</v>
      </c>
      <c r="J472" s="3" t="s">
        <v>59</v>
      </c>
      <c r="K472" s="5"/>
      <c r="L472" s="5"/>
      <c r="M472" s="5"/>
      <c r="N472" s="5"/>
      <c r="O472" s="11"/>
      <c r="P472" s="11"/>
      <c r="Q472" s="11"/>
    </row>
    <row r="473" spans="1:17" x14ac:dyDescent="0.25">
      <c r="A473" s="8">
        <v>45728</v>
      </c>
      <c r="B473" s="3">
        <v>9404</v>
      </c>
      <c r="C473" s="3">
        <v>217079</v>
      </c>
      <c r="D473" s="3" t="s">
        <v>941</v>
      </c>
      <c r="E473" s="3">
        <v>23721</v>
      </c>
      <c r="F473" s="3" t="s">
        <v>946</v>
      </c>
      <c r="G473" s="3" t="s">
        <v>108</v>
      </c>
      <c r="H473" s="3" t="s">
        <v>947</v>
      </c>
      <c r="I473" s="3" t="s">
        <v>948</v>
      </c>
      <c r="J473" s="3" t="s">
        <v>86</v>
      </c>
      <c r="K473" s="6">
        <v>2398.7800000000002</v>
      </c>
      <c r="L473" s="6">
        <v>2347.3000000000002</v>
      </c>
      <c r="M473" s="4">
        <v>1</v>
      </c>
      <c r="N473" s="4">
        <v>422.51</v>
      </c>
      <c r="O473" s="11"/>
      <c r="P473" s="11"/>
      <c r="Q473" s="11"/>
    </row>
    <row r="474" spans="1:17" x14ac:dyDescent="0.25">
      <c r="A474" s="8">
        <v>45735</v>
      </c>
      <c r="B474" s="3">
        <v>9611</v>
      </c>
      <c r="C474" s="3">
        <v>217079</v>
      </c>
      <c r="D474" s="3" t="s">
        <v>941</v>
      </c>
      <c r="E474" s="3">
        <v>24041</v>
      </c>
      <c r="F474" s="3" t="s">
        <v>949</v>
      </c>
      <c r="G474" s="3" t="s">
        <v>56</v>
      </c>
      <c r="H474" s="3" t="s">
        <v>950</v>
      </c>
      <c r="I474" s="3" t="s">
        <v>210</v>
      </c>
      <c r="J474" s="3" t="s">
        <v>59</v>
      </c>
      <c r="K474" s="6">
        <v>2513.0700000000002</v>
      </c>
      <c r="L474" s="6">
        <v>-2565</v>
      </c>
      <c r="M474" s="4">
        <v>1</v>
      </c>
      <c r="N474" s="4">
        <v>200</v>
      </c>
      <c r="O474" s="11"/>
      <c r="P474" s="11"/>
      <c r="Q474" s="11"/>
    </row>
    <row r="475" spans="1:17" x14ac:dyDescent="0.25">
      <c r="A475" s="8">
        <v>45735</v>
      </c>
      <c r="B475" s="3">
        <v>9611</v>
      </c>
      <c r="C475" s="3">
        <v>217079</v>
      </c>
      <c r="D475" s="3" t="s">
        <v>941</v>
      </c>
      <c r="E475" s="3">
        <v>24041</v>
      </c>
      <c r="F475" s="3" t="s">
        <v>949</v>
      </c>
      <c r="G475" s="3" t="s">
        <v>56</v>
      </c>
      <c r="H475" s="3" t="s">
        <v>951</v>
      </c>
      <c r="I475" s="3" t="s">
        <v>952</v>
      </c>
      <c r="J475" s="3" t="s">
        <v>59</v>
      </c>
      <c r="K475" s="5"/>
      <c r="L475" s="5"/>
      <c r="M475" s="5"/>
      <c r="N475" s="5"/>
      <c r="O475" s="11"/>
      <c r="P475" s="11"/>
      <c r="Q475" s="11"/>
    </row>
    <row r="476" spans="1:17" x14ac:dyDescent="0.25">
      <c r="A476" s="8">
        <v>45736</v>
      </c>
      <c r="B476" s="3">
        <v>9570</v>
      </c>
      <c r="C476" s="3">
        <v>217079</v>
      </c>
      <c r="D476" s="3" t="s">
        <v>941</v>
      </c>
      <c r="E476" s="3">
        <v>225699</v>
      </c>
      <c r="F476" s="3" t="s">
        <v>953</v>
      </c>
      <c r="G476" s="3" t="s">
        <v>56</v>
      </c>
      <c r="H476" s="3" t="s">
        <v>954</v>
      </c>
      <c r="I476" s="3" t="s">
        <v>166</v>
      </c>
      <c r="J476" s="3" t="s">
        <v>59</v>
      </c>
      <c r="K476" s="6">
        <v>4204.16</v>
      </c>
      <c r="L476" s="6">
        <v>2391.75</v>
      </c>
      <c r="M476" s="4">
        <v>1</v>
      </c>
      <c r="N476" s="4">
        <v>430.52</v>
      </c>
      <c r="O476" s="11"/>
      <c r="P476" s="11"/>
      <c r="Q476" s="11"/>
    </row>
    <row r="477" spans="1:17" x14ac:dyDescent="0.25">
      <c r="A477" s="8">
        <v>45741</v>
      </c>
      <c r="B477" s="3">
        <v>9597</v>
      </c>
      <c r="C477" s="3">
        <v>217079</v>
      </c>
      <c r="D477" s="3" t="s">
        <v>941</v>
      </c>
      <c r="E477" s="3">
        <v>266642</v>
      </c>
      <c r="F477" s="3" t="s">
        <v>308</v>
      </c>
      <c r="G477" s="3" t="s">
        <v>56</v>
      </c>
      <c r="H477" s="3" t="s">
        <v>309</v>
      </c>
      <c r="I477" s="3" t="s">
        <v>210</v>
      </c>
      <c r="J477" s="3" t="s">
        <v>59</v>
      </c>
      <c r="K477" s="4">
        <v>0</v>
      </c>
      <c r="L477" s="4">
        <v>0</v>
      </c>
      <c r="M477" s="4">
        <v>0</v>
      </c>
      <c r="N477" s="4">
        <v>0</v>
      </c>
      <c r="O477" s="11"/>
      <c r="P477" s="11"/>
      <c r="Q477" s="11"/>
    </row>
    <row r="478" spans="1:17" x14ac:dyDescent="0.25">
      <c r="A478" s="8">
        <v>45741</v>
      </c>
      <c r="B478" s="3">
        <v>9597</v>
      </c>
      <c r="C478" s="3">
        <v>217079</v>
      </c>
      <c r="D478" s="3" t="s">
        <v>941</v>
      </c>
      <c r="E478" s="3">
        <v>266642</v>
      </c>
      <c r="F478" s="3" t="s">
        <v>308</v>
      </c>
      <c r="G478" s="3" t="s">
        <v>56</v>
      </c>
      <c r="H478" s="3" t="s">
        <v>310</v>
      </c>
      <c r="I478" s="3" t="s">
        <v>311</v>
      </c>
      <c r="J478" s="3" t="s">
        <v>59</v>
      </c>
      <c r="K478" s="5"/>
      <c r="L478" s="5"/>
      <c r="M478" s="5"/>
      <c r="N478" s="5"/>
      <c r="O478" s="11"/>
      <c r="P478" s="11"/>
      <c r="Q478" s="11"/>
    </row>
    <row r="479" spans="1:17" x14ac:dyDescent="0.25">
      <c r="A479" s="8">
        <v>45741</v>
      </c>
      <c r="B479" s="3" t="s">
        <v>312</v>
      </c>
      <c r="C479" s="3">
        <v>217079</v>
      </c>
      <c r="D479" s="3" t="s">
        <v>941</v>
      </c>
      <c r="E479" s="3">
        <v>266642</v>
      </c>
      <c r="F479" s="3" t="s">
        <v>308</v>
      </c>
      <c r="G479" s="3" t="s">
        <v>56</v>
      </c>
      <c r="H479" s="3" t="s">
        <v>309</v>
      </c>
      <c r="I479" s="3" t="s">
        <v>210</v>
      </c>
      <c r="J479" s="3" t="s">
        <v>59</v>
      </c>
      <c r="K479" s="6">
        <v>1785.9</v>
      </c>
      <c r="L479" s="6">
        <v>1470</v>
      </c>
      <c r="M479" s="4">
        <v>0.5</v>
      </c>
      <c r="N479" s="4">
        <v>264.60000000000002</v>
      </c>
      <c r="O479" s="11"/>
      <c r="P479" s="11"/>
      <c r="Q479" s="11"/>
    </row>
    <row r="480" spans="1:17" x14ac:dyDescent="0.25">
      <c r="A480" s="8">
        <v>45741</v>
      </c>
      <c r="B480" s="3" t="s">
        <v>312</v>
      </c>
      <c r="C480" s="3">
        <v>217079</v>
      </c>
      <c r="D480" s="3" t="s">
        <v>941</v>
      </c>
      <c r="E480" s="3">
        <v>266642</v>
      </c>
      <c r="F480" s="3" t="s">
        <v>308</v>
      </c>
      <c r="G480" s="3" t="s">
        <v>56</v>
      </c>
      <c r="H480" s="3" t="s">
        <v>310</v>
      </c>
      <c r="I480" s="3" t="s">
        <v>311</v>
      </c>
      <c r="J480" s="3" t="s">
        <v>59</v>
      </c>
      <c r="K480" s="5"/>
      <c r="L480" s="5"/>
      <c r="M480" s="5"/>
      <c r="N480" s="5"/>
      <c r="O480" s="11"/>
      <c r="P480" s="11"/>
      <c r="Q480" s="11"/>
    </row>
    <row r="481" spans="1:17" x14ac:dyDescent="0.25">
      <c r="A481" s="8">
        <v>45743</v>
      </c>
      <c r="B481" s="3">
        <v>9721</v>
      </c>
      <c r="C481" s="3">
        <v>217079</v>
      </c>
      <c r="D481" s="3" t="s">
        <v>941</v>
      </c>
      <c r="E481" s="3">
        <v>24244</v>
      </c>
      <c r="F481" s="3" t="s">
        <v>955</v>
      </c>
      <c r="G481" s="3" t="s">
        <v>56</v>
      </c>
      <c r="H481" s="3">
        <v>5232712</v>
      </c>
      <c r="I481" s="3" t="s">
        <v>64</v>
      </c>
      <c r="J481" s="3" t="s">
        <v>59</v>
      </c>
      <c r="K481" s="6">
        <v>1157.6300000000001</v>
      </c>
      <c r="L481" s="4">
        <v>-493</v>
      </c>
      <c r="M481" s="4">
        <v>1</v>
      </c>
      <c r="N481" s="4">
        <v>200</v>
      </c>
      <c r="O481" s="11"/>
      <c r="P481" s="11"/>
      <c r="Q481" s="11"/>
    </row>
    <row r="482" spans="1:17" x14ac:dyDescent="0.25">
      <c r="A482" s="8">
        <v>45744</v>
      </c>
      <c r="B482" s="3">
        <v>9756</v>
      </c>
      <c r="C482" s="3">
        <v>217079</v>
      </c>
      <c r="D482" s="3" t="s">
        <v>941</v>
      </c>
      <c r="E482" s="3">
        <v>226994</v>
      </c>
      <c r="F482" s="3" t="s">
        <v>674</v>
      </c>
      <c r="G482" s="3" t="s">
        <v>56</v>
      </c>
      <c r="H482" s="3" t="s">
        <v>675</v>
      </c>
      <c r="I482" s="3" t="s">
        <v>210</v>
      </c>
      <c r="J482" s="3" t="s">
        <v>59</v>
      </c>
      <c r="K482" s="6">
        <v>2158.9899999999998</v>
      </c>
      <c r="L482" s="4">
        <v>775</v>
      </c>
      <c r="M482" s="4">
        <v>0.5</v>
      </c>
      <c r="N482" s="4">
        <v>139.5</v>
      </c>
      <c r="O482" s="11"/>
      <c r="P482" s="11"/>
      <c r="Q482" s="11"/>
    </row>
    <row r="483" spans="1:17" x14ac:dyDescent="0.25">
      <c r="A483" s="8">
        <v>45744</v>
      </c>
      <c r="B483" s="3">
        <v>9756</v>
      </c>
      <c r="C483" s="3">
        <v>217079</v>
      </c>
      <c r="D483" s="3" t="s">
        <v>941</v>
      </c>
      <c r="E483" s="3">
        <v>226994</v>
      </c>
      <c r="F483" s="3" t="s">
        <v>674</v>
      </c>
      <c r="G483" s="3" t="s">
        <v>56</v>
      </c>
      <c r="H483" s="3" t="s">
        <v>676</v>
      </c>
      <c r="I483" s="3" t="s">
        <v>677</v>
      </c>
      <c r="J483" s="3" t="s">
        <v>59</v>
      </c>
      <c r="K483" s="5"/>
      <c r="L483" s="5"/>
      <c r="M483" s="5"/>
      <c r="N483" s="5"/>
      <c r="O483" s="11"/>
      <c r="P483" s="11"/>
      <c r="Q483" s="11"/>
    </row>
    <row r="484" spans="1:17" x14ac:dyDescent="0.25">
      <c r="A484" s="8">
        <v>45744</v>
      </c>
      <c r="B484" s="3">
        <v>9753</v>
      </c>
      <c r="C484" s="3">
        <v>217079</v>
      </c>
      <c r="D484" s="3" t="s">
        <v>941</v>
      </c>
      <c r="E484" s="3">
        <v>18444</v>
      </c>
      <c r="F484" s="3" t="s">
        <v>371</v>
      </c>
      <c r="G484" s="3" t="s">
        <v>56</v>
      </c>
      <c r="H484" s="3" t="s">
        <v>372</v>
      </c>
      <c r="I484" s="3" t="s">
        <v>188</v>
      </c>
      <c r="J484" s="3" t="s">
        <v>59</v>
      </c>
      <c r="K484" s="4">
        <v>587</v>
      </c>
      <c r="L484" s="6">
        <v>1125</v>
      </c>
      <c r="M484" s="4">
        <v>0.5</v>
      </c>
      <c r="N484" s="4">
        <v>202.5</v>
      </c>
      <c r="O484" s="11"/>
      <c r="P484" s="11"/>
      <c r="Q484" s="11"/>
    </row>
    <row r="485" spans="1:17" x14ac:dyDescent="0.25">
      <c r="A485" s="8">
        <v>45747</v>
      </c>
      <c r="B485" s="3">
        <v>9980</v>
      </c>
      <c r="C485" s="3">
        <v>217079</v>
      </c>
      <c r="D485" s="3" t="s">
        <v>941</v>
      </c>
      <c r="E485" s="3">
        <v>24536</v>
      </c>
      <c r="F485" s="3" t="s">
        <v>956</v>
      </c>
      <c r="G485" s="3" t="s">
        <v>69</v>
      </c>
      <c r="H485" s="3">
        <v>9006261</v>
      </c>
      <c r="I485" s="3" t="s">
        <v>188</v>
      </c>
      <c r="J485" s="3" t="s">
        <v>59</v>
      </c>
      <c r="K485" s="6">
        <v>3060.5</v>
      </c>
      <c r="L485" s="6">
        <v>-3309</v>
      </c>
      <c r="M485" s="4">
        <v>1</v>
      </c>
      <c r="N485" s="4">
        <v>200</v>
      </c>
      <c r="O485" s="11"/>
      <c r="P485" s="11"/>
      <c r="Q485" s="11"/>
    </row>
    <row r="486" spans="1:17" x14ac:dyDescent="0.25">
      <c r="A486" s="8">
        <v>45747</v>
      </c>
      <c r="B486" s="3">
        <v>9853</v>
      </c>
      <c r="C486" s="3">
        <v>217079</v>
      </c>
      <c r="D486" s="3" t="s">
        <v>941</v>
      </c>
      <c r="E486" s="3">
        <v>277687</v>
      </c>
      <c r="F486" s="3" t="s">
        <v>957</v>
      </c>
      <c r="G486" s="3" t="s">
        <v>56</v>
      </c>
      <c r="H486" s="3" t="s">
        <v>958</v>
      </c>
      <c r="I486" s="3" t="s">
        <v>106</v>
      </c>
      <c r="J486" s="3" t="s">
        <v>59</v>
      </c>
      <c r="K486" s="6">
        <v>2158.69</v>
      </c>
      <c r="L486" s="6">
        <v>-3084.05</v>
      </c>
      <c r="M486" s="4">
        <v>1</v>
      </c>
      <c r="N486" s="4">
        <v>200</v>
      </c>
      <c r="O486" s="11"/>
      <c r="P486" s="11"/>
      <c r="Q486" s="11"/>
    </row>
    <row r="487" spans="1:17" x14ac:dyDescent="0.25">
      <c r="A487" s="8">
        <v>45747</v>
      </c>
      <c r="B487" s="3">
        <v>9933</v>
      </c>
      <c r="C487" s="3">
        <v>217079</v>
      </c>
      <c r="D487" s="3" t="s">
        <v>941</v>
      </c>
      <c r="E487" s="3">
        <v>24482</v>
      </c>
      <c r="F487" s="3" t="s">
        <v>737</v>
      </c>
      <c r="G487" s="3" t="s">
        <v>56</v>
      </c>
      <c r="H487" s="3" t="s">
        <v>738</v>
      </c>
      <c r="I487" s="3" t="s">
        <v>188</v>
      </c>
      <c r="J487" s="3" t="s">
        <v>59</v>
      </c>
      <c r="K487" s="4">
        <v>0</v>
      </c>
      <c r="L487" s="4">
        <v>0</v>
      </c>
      <c r="M487" s="4">
        <v>0</v>
      </c>
      <c r="N487" s="4">
        <v>0</v>
      </c>
      <c r="O487" s="11"/>
      <c r="P487" s="11"/>
      <c r="Q487" s="11"/>
    </row>
    <row r="488" spans="1:17" x14ac:dyDescent="0.25">
      <c r="A488" s="8">
        <v>45747</v>
      </c>
      <c r="B488" s="3" t="s">
        <v>739</v>
      </c>
      <c r="C488" s="3">
        <v>217079</v>
      </c>
      <c r="D488" s="3" t="s">
        <v>941</v>
      </c>
      <c r="E488" s="3">
        <v>24482</v>
      </c>
      <c r="F488" s="3" t="s">
        <v>737</v>
      </c>
      <c r="G488" s="3" t="s">
        <v>56</v>
      </c>
      <c r="H488" s="3" t="s">
        <v>738</v>
      </c>
      <c r="I488" s="3" t="s">
        <v>188</v>
      </c>
      <c r="J488" s="3" t="s">
        <v>59</v>
      </c>
      <c r="K488" s="4">
        <v>992</v>
      </c>
      <c r="L488" s="6">
        <v>2192.5</v>
      </c>
      <c r="M488" s="4">
        <v>0.5</v>
      </c>
      <c r="N488" s="4">
        <v>394.65</v>
      </c>
      <c r="O488" s="11"/>
      <c r="P488" s="11"/>
      <c r="Q488" s="11"/>
    </row>
    <row r="489" spans="1:17" x14ac:dyDescent="0.25">
      <c r="A489" s="8">
        <v>45729</v>
      </c>
      <c r="B489" s="3">
        <v>9461</v>
      </c>
      <c r="C489" s="3">
        <v>242160</v>
      </c>
      <c r="D489" s="3" t="s">
        <v>34</v>
      </c>
      <c r="E489" s="3">
        <v>23807</v>
      </c>
      <c r="F489" s="3" t="s">
        <v>959</v>
      </c>
      <c r="G489" s="3" t="s">
        <v>125</v>
      </c>
      <c r="H489" s="3" t="s">
        <v>960</v>
      </c>
      <c r="I489" s="3" t="s">
        <v>961</v>
      </c>
      <c r="J489" s="3" t="s">
        <v>86</v>
      </c>
      <c r="K489" s="4">
        <v>500</v>
      </c>
      <c r="L489" s="4">
        <v>785.02</v>
      </c>
      <c r="M489" s="4">
        <v>1</v>
      </c>
      <c r="N489" s="4">
        <v>200</v>
      </c>
      <c r="O489" s="11"/>
      <c r="P489" s="11"/>
      <c r="Q489" s="11"/>
    </row>
    <row r="490" spans="1:17" x14ac:dyDescent="0.25">
      <c r="A490" s="8">
        <v>45735</v>
      </c>
      <c r="B490" s="3">
        <v>9619</v>
      </c>
      <c r="C490" s="3">
        <v>242160</v>
      </c>
      <c r="D490" s="3" t="s">
        <v>34</v>
      </c>
      <c r="E490" s="3">
        <v>24050</v>
      </c>
      <c r="F490" s="3" t="s">
        <v>962</v>
      </c>
      <c r="G490" s="3" t="s">
        <v>56</v>
      </c>
      <c r="H490" s="3" t="s">
        <v>963</v>
      </c>
      <c r="I490" s="3" t="s">
        <v>76</v>
      </c>
      <c r="J490" s="3" t="s">
        <v>59</v>
      </c>
      <c r="K490" s="4">
        <v>146</v>
      </c>
      <c r="L490" s="6">
        <v>-1413.97</v>
      </c>
      <c r="M490" s="4">
        <v>1</v>
      </c>
      <c r="N490" s="4">
        <v>200</v>
      </c>
      <c r="O490" s="11"/>
      <c r="P490" s="11"/>
      <c r="Q490" s="11"/>
    </row>
    <row r="491" spans="1:17" x14ac:dyDescent="0.25">
      <c r="A491" s="8">
        <v>45741</v>
      </c>
      <c r="B491" s="3">
        <v>9645</v>
      </c>
      <c r="C491" s="3">
        <v>242160</v>
      </c>
      <c r="D491" s="3" t="s">
        <v>34</v>
      </c>
      <c r="E491" s="3">
        <v>223234</v>
      </c>
      <c r="F491" s="3" t="s">
        <v>964</v>
      </c>
      <c r="G491" s="3" t="s">
        <v>108</v>
      </c>
      <c r="H491" s="12" t="s">
        <v>965</v>
      </c>
      <c r="I491" s="3" t="s">
        <v>966</v>
      </c>
      <c r="J491" s="3" t="s">
        <v>86</v>
      </c>
      <c r="K491" s="4">
        <v>724.14</v>
      </c>
      <c r="L491" s="4">
        <v>600</v>
      </c>
      <c r="M491" s="4">
        <v>1</v>
      </c>
      <c r="N491" s="4">
        <v>200</v>
      </c>
      <c r="O491" s="11"/>
      <c r="P491" s="11"/>
      <c r="Q491" s="11"/>
    </row>
    <row r="492" spans="1:17" x14ac:dyDescent="0.25">
      <c r="A492" s="8">
        <v>45742</v>
      </c>
      <c r="B492" s="3">
        <v>9688</v>
      </c>
      <c r="C492" s="3">
        <v>242160</v>
      </c>
      <c r="D492" s="3" t="s">
        <v>34</v>
      </c>
      <c r="E492" s="3">
        <v>211426</v>
      </c>
      <c r="F492" s="3" t="s">
        <v>967</v>
      </c>
      <c r="G492" s="3" t="s">
        <v>108</v>
      </c>
      <c r="H492" s="3" t="s">
        <v>968</v>
      </c>
      <c r="I492" s="3" t="s">
        <v>267</v>
      </c>
      <c r="J492" s="3" t="s">
        <v>86</v>
      </c>
      <c r="K492" s="6">
        <v>1224.81</v>
      </c>
      <c r="L492" s="6">
        <v>2057.2600000000002</v>
      </c>
      <c r="M492" s="4">
        <v>0.5</v>
      </c>
      <c r="N492" s="4">
        <v>370.31</v>
      </c>
      <c r="O492" s="11"/>
      <c r="P492" s="11"/>
      <c r="Q492" s="11"/>
    </row>
    <row r="493" spans="1:17" x14ac:dyDescent="0.25">
      <c r="A493" s="8">
        <v>45742</v>
      </c>
      <c r="B493" s="3">
        <v>9688</v>
      </c>
      <c r="C493" s="3">
        <v>242160</v>
      </c>
      <c r="D493" s="3" t="s">
        <v>34</v>
      </c>
      <c r="E493" s="3">
        <v>211426</v>
      </c>
      <c r="F493" s="3" t="s">
        <v>967</v>
      </c>
      <c r="G493" s="3" t="s">
        <v>108</v>
      </c>
      <c r="H493" s="3" t="s">
        <v>969</v>
      </c>
      <c r="I493" s="3" t="s">
        <v>970</v>
      </c>
      <c r="J493" s="3" t="s">
        <v>86</v>
      </c>
      <c r="K493" s="5"/>
      <c r="L493" s="5"/>
      <c r="M493" s="5"/>
      <c r="N493" s="5"/>
      <c r="O493" s="11"/>
      <c r="P493" s="11"/>
      <c r="Q493" s="11"/>
    </row>
    <row r="494" spans="1:17" x14ac:dyDescent="0.25">
      <c r="A494" s="8">
        <v>45747</v>
      </c>
      <c r="B494" s="3">
        <v>9828</v>
      </c>
      <c r="C494" s="3">
        <v>242160</v>
      </c>
      <c r="D494" s="3" t="s">
        <v>34</v>
      </c>
      <c r="E494" s="3">
        <v>273457</v>
      </c>
      <c r="F494" s="3" t="s">
        <v>971</v>
      </c>
      <c r="G494" s="3" t="s">
        <v>63</v>
      </c>
      <c r="H494" s="3" t="s">
        <v>972</v>
      </c>
      <c r="I494" s="3" t="s">
        <v>118</v>
      </c>
      <c r="J494" s="3" t="s">
        <v>59</v>
      </c>
      <c r="K494" s="4">
        <v>0</v>
      </c>
      <c r="L494" s="4">
        <v>0</v>
      </c>
      <c r="M494" s="4">
        <v>0</v>
      </c>
      <c r="N494" s="4">
        <v>0</v>
      </c>
      <c r="O494" s="11"/>
      <c r="P494" s="11"/>
      <c r="Q494" s="11"/>
    </row>
    <row r="495" spans="1:17" x14ac:dyDescent="0.25">
      <c r="A495" s="8">
        <v>45747</v>
      </c>
      <c r="B495" s="3" t="s">
        <v>973</v>
      </c>
      <c r="C495" s="3">
        <v>242160</v>
      </c>
      <c r="D495" s="3" t="s">
        <v>34</v>
      </c>
      <c r="E495" s="3">
        <v>273457</v>
      </c>
      <c r="F495" s="3" t="s">
        <v>971</v>
      </c>
      <c r="G495" s="3" t="s">
        <v>63</v>
      </c>
      <c r="H495" s="3" t="s">
        <v>972</v>
      </c>
      <c r="I495" s="3" t="s">
        <v>118</v>
      </c>
      <c r="J495" s="3" t="s">
        <v>59</v>
      </c>
      <c r="K495" s="4">
        <v>864.27</v>
      </c>
      <c r="L495" s="6">
        <v>-1124</v>
      </c>
      <c r="M495" s="4">
        <v>1</v>
      </c>
      <c r="N495" s="4">
        <v>200</v>
      </c>
      <c r="O495" s="11"/>
      <c r="P495" s="11"/>
      <c r="Q495" s="11"/>
    </row>
    <row r="496" spans="1:17" x14ac:dyDescent="0.25">
      <c r="A496" s="8">
        <v>45747</v>
      </c>
      <c r="B496" s="3">
        <v>9840</v>
      </c>
      <c r="C496" s="3">
        <v>242160</v>
      </c>
      <c r="D496" s="3" t="s">
        <v>34</v>
      </c>
      <c r="E496" s="3">
        <v>24374</v>
      </c>
      <c r="F496" s="3" t="s">
        <v>974</v>
      </c>
      <c r="G496" s="3" t="s">
        <v>63</v>
      </c>
      <c r="H496" s="3" t="s">
        <v>975</v>
      </c>
      <c r="I496" s="3" t="s">
        <v>94</v>
      </c>
      <c r="J496" s="3" t="s">
        <v>59</v>
      </c>
      <c r="K496" s="4">
        <v>0</v>
      </c>
      <c r="L496" s="4">
        <v>0</v>
      </c>
      <c r="M496" s="4">
        <v>0</v>
      </c>
      <c r="N496" s="4">
        <v>0</v>
      </c>
      <c r="O496" s="11"/>
      <c r="P496" s="11"/>
      <c r="Q496" s="11"/>
    </row>
    <row r="497" spans="1:17" x14ac:dyDescent="0.25">
      <c r="A497" s="8">
        <v>45747</v>
      </c>
      <c r="B497" s="3">
        <v>9840</v>
      </c>
      <c r="C497" s="3">
        <v>242160</v>
      </c>
      <c r="D497" s="3" t="s">
        <v>34</v>
      </c>
      <c r="E497" s="3">
        <v>24374</v>
      </c>
      <c r="F497" s="3" t="s">
        <v>974</v>
      </c>
      <c r="G497" s="3" t="s">
        <v>63</v>
      </c>
      <c r="H497" s="3" t="s">
        <v>976</v>
      </c>
      <c r="I497" s="3" t="s">
        <v>977</v>
      </c>
      <c r="J497" s="3" t="s">
        <v>59</v>
      </c>
      <c r="K497" s="5"/>
      <c r="L497" s="5"/>
      <c r="M497" s="5"/>
      <c r="N497" s="5"/>
      <c r="O497" s="11"/>
      <c r="P497" s="11"/>
      <c r="Q497" s="11"/>
    </row>
    <row r="498" spans="1:17" x14ac:dyDescent="0.25">
      <c r="A498" s="8">
        <v>45747</v>
      </c>
      <c r="B498" s="3">
        <v>9948</v>
      </c>
      <c r="C498" s="3">
        <v>242160</v>
      </c>
      <c r="D498" s="3" t="s">
        <v>34</v>
      </c>
      <c r="E498" s="3">
        <v>24493</v>
      </c>
      <c r="F498" s="3" t="s">
        <v>978</v>
      </c>
      <c r="G498" s="3" t="s">
        <v>63</v>
      </c>
      <c r="H498" s="3" t="s">
        <v>979</v>
      </c>
      <c r="I498" s="3" t="s">
        <v>146</v>
      </c>
      <c r="J498" s="3" t="s">
        <v>59</v>
      </c>
      <c r="K498" s="6">
        <v>2646.55</v>
      </c>
      <c r="L498" s="4">
        <v>756.6</v>
      </c>
      <c r="M498" s="4">
        <v>1</v>
      </c>
      <c r="N498" s="4">
        <v>200</v>
      </c>
      <c r="O498" s="11"/>
      <c r="P498" s="11"/>
      <c r="Q498" s="11"/>
    </row>
    <row r="499" spans="1:17" x14ac:dyDescent="0.25">
      <c r="A499" s="8">
        <v>45747</v>
      </c>
      <c r="B499" s="3" t="s">
        <v>980</v>
      </c>
      <c r="C499" s="3">
        <v>242160</v>
      </c>
      <c r="D499" s="3" t="s">
        <v>34</v>
      </c>
      <c r="E499" s="3">
        <v>24374</v>
      </c>
      <c r="F499" s="3" t="s">
        <v>974</v>
      </c>
      <c r="G499" s="3" t="s">
        <v>63</v>
      </c>
      <c r="H499" s="3" t="s">
        <v>975</v>
      </c>
      <c r="I499" s="3" t="s">
        <v>94</v>
      </c>
      <c r="J499" s="3" t="s">
        <v>59</v>
      </c>
      <c r="K499" s="4">
        <v>655.93</v>
      </c>
      <c r="L499" s="6">
        <v>-1288.44</v>
      </c>
      <c r="M499" s="4">
        <v>0.5</v>
      </c>
      <c r="N499" s="4">
        <v>100</v>
      </c>
      <c r="O499" s="11"/>
      <c r="P499" s="11"/>
      <c r="Q499" s="11"/>
    </row>
    <row r="500" spans="1:17" x14ac:dyDescent="0.25">
      <c r="A500" s="8">
        <v>45747</v>
      </c>
      <c r="B500" s="3" t="s">
        <v>980</v>
      </c>
      <c r="C500" s="3">
        <v>242160</v>
      </c>
      <c r="D500" s="3" t="s">
        <v>34</v>
      </c>
      <c r="E500" s="3">
        <v>24374</v>
      </c>
      <c r="F500" s="3" t="s">
        <v>974</v>
      </c>
      <c r="G500" s="3" t="s">
        <v>63</v>
      </c>
      <c r="H500" s="3" t="s">
        <v>976</v>
      </c>
      <c r="I500" s="3" t="s">
        <v>977</v>
      </c>
      <c r="J500" s="3" t="s">
        <v>59</v>
      </c>
      <c r="K500" s="5"/>
      <c r="L500" s="5"/>
      <c r="M500" s="5"/>
      <c r="N500" s="5"/>
      <c r="O500" s="11"/>
      <c r="P500" s="11"/>
      <c r="Q500" s="11"/>
    </row>
    <row r="501" spans="1:17" x14ac:dyDescent="0.25">
      <c r="A501" s="8">
        <v>45747</v>
      </c>
      <c r="B501" s="3">
        <v>9551</v>
      </c>
      <c r="C501" s="3">
        <v>242160</v>
      </c>
      <c r="D501" s="3" t="s">
        <v>34</v>
      </c>
      <c r="E501" s="3">
        <v>23974</v>
      </c>
      <c r="F501" s="3" t="s">
        <v>981</v>
      </c>
      <c r="G501" s="3" t="s">
        <v>108</v>
      </c>
      <c r="H501" s="3" t="s">
        <v>797</v>
      </c>
      <c r="I501" s="3" t="s">
        <v>798</v>
      </c>
      <c r="J501" s="3" t="s">
        <v>86</v>
      </c>
      <c r="K501" s="4">
        <v>755.72</v>
      </c>
      <c r="L501" s="6">
        <v>1306.77</v>
      </c>
      <c r="M501" s="4">
        <v>1</v>
      </c>
      <c r="N501" s="4">
        <v>235.22</v>
      </c>
      <c r="O501" s="11"/>
      <c r="P501" s="11"/>
      <c r="Q501" s="11"/>
    </row>
    <row r="502" spans="1:17" x14ac:dyDescent="0.25">
      <c r="A502" s="8">
        <v>45747</v>
      </c>
      <c r="B502" s="3">
        <v>9577</v>
      </c>
      <c r="C502" s="3">
        <v>242160</v>
      </c>
      <c r="D502" s="3" t="s">
        <v>34</v>
      </c>
      <c r="E502" s="3">
        <v>24008</v>
      </c>
      <c r="F502" s="3" t="s">
        <v>982</v>
      </c>
      <c r="G502" s="3" t="s">
        <v>108</v>
      </c>
      <c r="H502" s="3" t="s">
        <v>983</v>
      </c>
      <c r="I502" s="3" t="s">
        <v>224</v>
      </c>
      <c r="J502" s="3" t="s">
        <v>86</v>
      </c>
      <c r="K502" s="6">
        <v>1872.28</v>
      </c>
      <c r="L502" s="6">
        <v>-1562.8</v>
      </c>
      <c r="M502" s="4">
        <v>1</v>
      </c>
      <c r="N502" s="4">
        <v>200</v>
      </c>
      <c r="O502" s="11"/>
      <c r="P502" s="11"/>
      <c r="Q502" s="11"/>
    </row>
    <row r="503" spans="1:17" x14ac:dyDescent="0.25">
      <c r="A503" s="8">
        <v>45727</v>
      </c>
      <c r="B503" s="3">
        <v>9388</v>
      </c>
      <c r="C503" s="3">
        <v>245770</v>
      </c>
      <c r="D503" s="3" t="s">
        <v>984</v>
      </c>
      <c r="E503" s="3">
        <v>23687</v>
      </c>
      <c r="F503" s="3" t="s">
        <v>985</v>
      </c>
      <c r="G503" s="3" t="s">
        <v>108</v>
      </c>
      <c r="H503" s="3" t="s">
        <v>986</v>
      </c>
      <c r="I503" s="3" t="s">
        <v>987</v>
      </c>
      <c r="J503" s="3" t="s">
        <v>86</v>
      </c>
      <c r="K503" s="6">
        <v>1708.42</v>
      </c>
      <c r="L503" s="4">
        <v>-815.38</v>
      </c>
      <c r="M503" s="4">
        <v>1</v>
      </c>
      <c r="N503" s="4">
        <v>200</v>
      </c>
      <c r="O503" s="11"/>
      <c r="P503" s="11"/>
      <c r="Q503" s="11"/>
    </row>
    <row r="504" spans="1:17" x14ac:dyDescent="0.25">
      <c r="A504" s="8">
        <v>45730</v>
      </c>
      <c r="B504" s="3">
        <v>9521</v>
      </c>
      <c r="C504" s="3">
        <v>245770</v>
      </c>
      <c r="D504" s="3" t="s">
        <v>984</v>
      </c>
      <c r="E504" s="3">
        <v>256091</v>
      </c>
      <c r="F504" s="3" t="s">
        <v>305</v>
      </c>
      <c r="G504" s="3" t="s">
        <v>56</v>
      </c>
      <c r="H504" s="3" t="s">
        <v>306</v>
      </c>
      <c r="I504" s="3" t="s">
        <v>166</v>
      </c>
      <c r="J504" s="3" t="s">
        <v>59</v>
      </c>
      <c r="K504" s="4">
        <v>393</v>
      </c>
      <c r="L504" s="4">
        <v>-849</v>
      </c>
      <c r="M504" s="4">
        <v>0.5</v>
      </c>
      <c r="N504" s="4">
        <v>100</v>
      </c>
      <c r="O504" s="11"/>
      <c r="P504" s="11"/>
      <c r="Q504" s="11"/>
    </row>
    <row r="505" spans="1:17" x14ac:dyDescent="0.25">
      <c r="A505" s="8">
        <v>45730</v>
      </c>
      <c r="B505" s="3">
        <v>9521</v>
      </c>
      <c r="C505" s="3">
        <v>245770</v>
      </c>
      <c r="D505" s="3" t="s">
        <v>984</v>
      </c>
      <c r="E505" s="3">
        <v>256091</v>
      </c>
      <c r="F505" s="3" t="s">
        <v>305</v>
      </c>
      <c r="G505" s="3" t="s">
        <v>56</v>
      </c>
      <c r="H505" s="3" t="s">
        <v>307</v>
      </c>
      <c r="I505" s="3" t="s">
        <v>276</v>
      </c>
      <c r="J505" s="3" t="s">
        <v>59</v>
      </c>
      <c r="K505" s="5"/>
      <c r="L505" s="5"/>
      <c r="M505" s="5"/>
      <c r="N505" s="5"/>
      <c r="O505" s="11"/>
      <c r="P505" s="11"/>
      <c r="Q505" s="11"/>
    </row>
    <row r="506" spans="1:17" x14ac:dyDescent="0.25">
      <c r="A506" s="8">
        <v>45734</v>
      </c>
      <c r="B506" s="3">
        <v>9572</v>
      </c>
      <c r="C506" s="3">
        <v>245770</v>
      </c>
      <c r="D506" s="3" t="s">
        <v>984</v>
      </c>
      <c r="E506" s="3">
        <v>292271</v>
      </c>
      <c r="F506" s="3" t="s">
        <v>988</v>
      </c>
      <c r="G506" s="3" t="s">
        <v>56</v>
      </c>
      <c r="H506" s="3" t="s">
        <v>989</v>
      </c>
      <c r="I506" s="3" t="s">
        <v>990</v>
      </c>
      <c r="J506" s="3" t="s">
        <v>59</v>
      </c>
      <c r="K506" s="6">
        <v>1395.82</v>
      </c>
      <c r="L506" s="6">
        <v>2126.48</v>
      </c>
      <c r="M506" s="4">
        <v>1</v>
      </c>
      <c r="N506" s="4">
        <v>382.77</v>
      </c>
      <c r="O506" s="11"/>
      <c r="P506" s="11"/>
      <c r="Q506" s="11"/>
    </row>
    <row r="507" spans="1:17" x14ac:dyDescent="0.25">
      <c r="A507" s="8">
        <v>45734</v>
      </c>
      <c r="B507" s="3">
        <v>9572</v>
      </c>
      <c r="C507" s="3">
        <v>245770</v>
      </c>
      <c r="D507" s="3" t="s">
        <v>984</v>
      </c>
      <c r="E507" s="3">
        <v>292271</v>
      </c>
      <c r="F507" s="3" t="s">
        <v>988</v>
      </c>
      <c r="G507" s="3" t="s">
        <v>56</v>
      </c>
      <c r="H507" s="3" t="s">
        <v>991</v>
      </c>
      <c r="I507" s="3" t="s">
        <v>992</v>
      </c>
      <c r="J507" s="3" t="s">
        <v>59</v>
      </c>
      <c r="K507" s="5"/>
      <c r="L507" s="5"/>
      <c r="M507" s="5"/>
      <c r="N507" s="5"/>
      <c r="O507" s="11"/>
      <c r="P507" s="11"/>
      <c r="Q507" s="11"/>
    </row>
    <row r="508" spans="1:17" x14ac:dyDescent="0.25">
      <c r="A508" s="8">
        <v>45736</v>
      </c>
      <c r="B508" s="3">
        <v>9590</v>
      </c>
      <c r="C508" s="3">
        <v>245770</v>
      </c>
      <c r="D508" s="3" t="s">
        <v>984</v>
      </c>
      <c r="E508" s="3">
        <v>293217</v>
      </c>
      <c r="F508" s="3" t="s">
        <v>993</v>
      </c>
      <c r="G508" s="3" t="s">
        <v>56</v>
      </c>
      <c r="H508" s="3" t="s">
        <v>994</v>
      </c>
      <c r="I508" s="3" t="s">
        <v>89</v>
      </c>
      <c r="J508" s="3" t="s">
        <v>59</v>
      </c>
      <c r="K508" s="6">
        <v>2592.3000000000002</v>
      </c>
      <c r="L508" s="6">
        <v>-5307.09</v>
      </c>
      <c r="M508" s="4">
        <v>1</v>
      </c>
      <c r="N508" s="4">
        <v>200</v>
      </c>
      <c r="O508" s="11"/>
      <c r="P508" s="11"/>
      <c r="Q508" s="11"/>
    </row>
    <row r="509" spans="1:17" x14ac:dyDescent="0.25">
      <c r="A509" s="8">
        <v>45736</v>
      </c>
      <c r="B509" s="3">
        <v>9590</v>
      </c>
      <c r="C509" s="3">
        <v>245770</v>
      </c>
      <c r="D509" s="3" t="s">
        <v>984</v>
      </c>
      <c r="E509" s="3">
        <v>293217</v>
      </c>
      <c r="F509" s="3" t="s">
        <v>993</v>
      </c>
      <c r="G509" s="3" t="s">
        <v>56</v>
      </c>
      <c r="H509" s="3" t="s">
        <v>995</v>
      </c>
      <c r="I509" s="3" t="s">
        <v>333</v>
      </c>
      <c r="J509" s="3" t="s">
        <v>59</v>
      </c>
      <c r="K509" s="5"/>
      <c r="L509" s="5"/>
      <c r="M509" s="5"/>
      <c r="N509" s="5"/>
      <c r="O509" s="11"/>
      <c r="P509" s="11"/>
      <c r="Q509" s="11"/>
    </row>
    <row r="510" spans="1:17" x14ac:dyDescent="0.25">
      <c r="A510" s="8">
        <v>45736</v>
      </c>
      <c r="B510" s="3">
        <v>9624</v>
      </c>
      <c r="C510" s="3">
        <v>245770</v>
      </c>
      <c r="D510" s="3" t="s">
        <v>984</v>
      </c>
      <c r="E510" s="3">
        <v>273737</v>
      </c>
      <c r="F510" s="3" t="s">
        <v>996</v>
      </c>
      <c r="G510" s="3" t="s">
        <v>83</v>
      </c>
      <c r="H510" s="12" t="s">
        <v>997</v>
      </c>
      <c r="I510" s="3" t="s">
        <v>998</v>
      </c>
      <c r="J510" s="3" t="s">
        <v>86</v>
      </c>
      <c r="K510" s="6">
        <v>1850</v>
      </c>
      <c r="L510" s="4">
        <v>750</v>
      </c>
      <c r="M510" s="4">
        <v>1</v>
      </c>
      <c r="N510" s="4">
        <v>200</v>
      </c>
      <c r="O510" s="11"/>
      <c r="P510" s="11"/>
      <c r="Q510" s="11"/>
    </row>
    <row r="511" spans="1:17" x14ac:dyDescent="0.25">
      <c r="A511" s="8">
        <v>45742</v>
      </c>
      <c r="B511" s="3">
        <v>9652</v>
      </c>
      <c r="C511" s="3">
        <v>245770</v>
      </c>
      <c r="D511" s="3" t="s">
        <v>984</v>
      </c>
      <c r="E511" s="3">
        <v>24122</v>
      </c>
      <c r="F511" s="3" t="s">
        <v>999</v>
      </c>
      <c r="G511" s="3" t="s">
        <v>56</v>
      </c>
      <c r="H511" s="3" t="s">
        <v>1000</v>
      </c>
      <c r="I511" s="3" t="s">
        <v>67</v>
      </c>
      <c r="J511" s="3" t="s">
        <v>59</v>
      </c>
      <c r="K511" s="6">
        <v>1762</v>
      </c>
      <c r="L511" s="6">
        <v>4875</v>
      </c>
      <c r="M511" s="4">
        <v>1</v>
      </c>
      <c r="N511" s="4">
        <v>877.5</v>
      </c>
      <c r="O511" s="11"/>
      <c r="P511" s="11"/>
      <c r="Q511" s="11"/>
    </row>
    <row r="512" spans="1:17" x14ac:dyDescent="0.25">
      <c r="A512" s="8">
        <v>45742</v>
      </c>
      <c r="B512" s="3">
        <v>9652</v>
      </c>
      <c r="C512" s="3">
        <v>245770</v>
      </c>
      <c r="D512" s="3" t="s">
        <v>984</v>
      </c>
      <c r="E512" s="3">
        <v>24122</v>
      </c>
      <c r="F512" s="3" t="s">
        <v>999</v>
      </c>
      <c r="G512" s="3" t="s">
        <v>56</v>
      </c>
      <c r="H512" s="3" t="s">
        <v>1001</v>
      </c>
      <c r="I512" s="3" t="s">
        <v>1002</v>
      </c>
      <c r="J512" s="3" t="s">
        <v>59</v>
      </c>
      <c r="K512" s="5"/>
      <c r="L512" s="5"/>
      <c r="M512" s="5"/>
      <c r="N512" s="5"/>
      <c r="O512" s="11"/>
      <c r="P512" s="11"/>
      <c r="Q512" s="11"/>
    </row>
    <row r="513" spans="1:17" x14ac:dyDescent="0.25">
      <c r="A513" s="8">
        <v>45743</v>
      </c>
      <c r="B513" s="3">
        <v>9505</v>
      </c>
      <c r="C513" s="3">
        <v>245770</v>
      </c>
      <c r="D513" s="3" t="s">
        <v>984</v>
      </c>
      <c r="E513" s="3">
        <v>23888</v>
      </c>
      <c r="F513" s="3" t="s">
        <v>1003</v>
      </c>
      <c r="G513" s="3" t="s">
        <v>56</v>
      </c>
      <c r="H513" s="3" t="s">
        <v>1004</v>
      </c>
      <c r="I513" s="3" t="s">
        <v>67</v>
      </c>
      <c r="J513" s="3" t="s">
        <v>59</v>
      </c>
      <c r="K513" s="6">
        <v>2482</v>
      </c>
      <c r="L513" s="6">
        <v>6748</v>
      </c>
      <c r="M513" s="4">
        <v>1</v>
      </c>
      <c r="N513" s="6">
        <v>1214.6400000000001</v>
      </c>
      <c r="O513" s="11"/>
      <c r="P513" s="11"/>
      <c r="Q513" s="11"/>
    </row>
    <row r="514" spans="1:17" x14ac:dyDescent="0.25">
      <c r="A514" s="8">
        <v>45743</v>
      </c>
      <c r="B514" s="3">
        <v>9701</v>
      </c>
      <c r="C514" s="3">
        <v>245770</v>
      </c>
      <c r="D514" s="3" t="s">
        <v>984</v>
      </c>
      <c r="E514" s="3">
        <v>24221</v>
      </c>
      <c r="F514" s="3" t="s">
        <v>1005</v>
      </c>
      <c r="G514" s="3" t="s">
        <v>56</v>
      </c>
      <c r="H514" s="3" t="s">
        <v>1006</v>
      </c>
      <c r="I514" s="3" t="s">
        <v>210</v>
      </c>
      <c r="J514" s="3" t="s">
        <v>59</v>
      </c>
      <c r="K514" s="6">
        <v>1772.29</v>
      </c>
      <c r="L514" s="6">
        <v>3560</v>
      </c>
      <c r="M514" s="4">
        <v>1</v>
      </c>
      <c r="N514" s="4">
        <v>640.79999999999995</v>
      </c>
      <c r="O514" s="11"/>
      <c r="P514" s="11"/>
      <c r="Q514" s="11"/>
    </row>
    <row r="515" spans="1:17" x14ac:dyDescent="0.25">
      <c r="A515" s="8">
        <v>45747</v>
      </c>
      <c r="B515" s="3">
        <v>9916</v>
      </c>
      <c r="C515" s="3">
        <v>245770</v>
      </c>
      <c r="D515" s="3" t="s">
        <v>984</v>
      </c>
      <c r="E515" s="3">
        <v>258081</v>
      </c>
      <c r="F515" s="3" t="s">
        <v>1007</v>
      </c>
      <c r="G515" s="3" t="s">
        <v>69</v>
      </c>
      <c r="H515" s="3" t="s">
        <v>1008</v>
      </c>
      <c r="I515" s="3" t="s">
        <v>642</v>
      </c>
      <c r="J515" s="3" t="s">
        <v>59</v>
      </c>
      <c r="K515" s="6">
        <v>1803.06</v>
      </c>
      <c r="L515" s="6">
        <v>2297.48</v>
      </c>
      <c r="M515" s="4">
        <v>1</v>
      </c>
      <c r="N515" s="4">
        <v>413.55</v>
      </c>
      <c r="O515" s="11"/>
      <c r="P515" s="11"/>
      <c r="Q515" s="11"/>
    </row>
    <row r="516" spans="1:17" x14ac:dyDescent="0.25">
      <c r="A516" s="8">
        <v>45747</v>
      </c>
      <c r="B516" s="3">
        <v>9916</v>
      </c>
      <c r="C516" s="3">
        <v>245770</v>
      </c>
      <c r="D516" s="3" t="s">
        <v>984</v>
      </c>
      <c r="E516" s="3">
        <v>258081</v>
      </c>
      <c r="F516" s="3" t="s">
        <v>1007</v>
      </c>
      <c r="G516" s="3" t="s">
        <v>69</v>
      </c>
      <c r="H516" s="3" t="s">
        <v>1009</v>
      </c>
      <c r="I516" s="3" t="s">
        <v>1010</v>
      </c>
      <c r="J516" s="3" t="s">
        <v>59</v>
      </c>
      <c r="K516" s="5"/>
      <c r="L516" s="5"/>
      <c r="M516" s="5"/>
      <c r="N516" s="5"/>
      <c r="O516" s="11"/>
      <c r="P516" s="11"/>
      <c r="Q516" s="11"/>
    </row>
    <row r="517" spans="1:17" x14ac:dyDescent="0.25">
      <c r="A517" s="8">
        <v>45747</v>
      </c>
      <c r="B517" s="3">
        <v>9952</v>
      </c>
      <c r="C517" s="3">
        <v>245770</v>
      </c>
      <c r="D517" s="3" t="s">
        <v>984</v>
      </c>
      <c r="E517" s="3">
        <v>24497</v>
      </c>
      <c r="F517" s="3" t="s">
        <v>1011</v>
      </c>
      <c r="G517" s="3" t="s">
        <v>69</v>
      </c>
      <c r="H517" s="3" t="s">
        <v>1012</v>
      </c>
      <c r="I517" s="3" t="s">
        <v>481</v>
      </c>
      <c r="J517" s="3" t="s">
        <v>59</v>
      </c>
      <c r="K517" s="6">
        <v>3060.45</v>
      </c>
      <c r="L517" s="6">
        <v>2344</v>
      </c>
      <c r="M517" s="4">
        <v>1</v>
      </c>
      <c r="N517" s="4">
        <v>421.92</v>
      </c>
      <c r="O517" s="11"/>
      <c r="P517" s="11"/>
      <c r="Q517" s="11"/>
    </row>
    <row r="518" spans="1:17" x14ac:dyDescent="0.25">
      <c r="A518" s="8">
        <v>45747</v>
      </c>
      <c r="B518" s="3">
        <v>9952</v>
      </c>
      <c r="C518" s="3">
        <v>245770</v>
      </c>
      <c r="D518" s="3" t="s">
        <v>984</v>
      </c>
      <c r="E518" s="3">
        <v>24497</v>
      </c>
      <c r="F518" s="3" t="s">
        <v>1011</v>
      </c>
      <c r="G518" s="3" t="s">
        <v>69</v>
      </c>
      <c r="H518" s="3" t="s">
        <v>1013</v>
      </c>
      <c r="I518" s="3" t="s">
        <v>478</v>
      </c>
      <c r="J518" s="3" t="s">
        <v>59</v>
      </c>
      <c r="K518" s="5"/>
      <c r="L518" s="5"/>
      <c r="M518" s="5"/>
      <c r="N518" s="5"/>
      <c r="O518" s="11"/>
      <c r="P518" s="11"/>
      <c r="Q518" s="11"/>
    </row>
    <row r="519" spans="1:17" x14ac:dyDescent="0.25">
      <c r="A519" s="8">
        <v>45747</v>
      </c>
      <c r="B519" s="3">
        <v>8042</v>
      </c>
      <c r="C519" s="3">
        <v>245770</v>
      </c>
      <c r="D519" s="3" t="s">
        <v>984</v>
      </c>
      <c r="E519" s="3">
        <v>220512</v>
      </c>
      <c r="F519" s="3" t="s">
        <v>1014</v>
      </c>
      <c r="G519" s="3" t="s">
        <v>56</v>
      </c>
      <c r="H519" s="3" t="s">
        <v>1015</v>
      </c>
      <c r="I519" s="3" t="s">
        <v>1016</v>
      </c>
      <c r="J519" s="3" t="s">
        <v>59</v>
      </c>
      <c r="K519" s="6">
        <v>3010.3</v>
      </c>
      <c r="L519" s="6">
        <v>2781</v>
      </c>
      <c r="M519" s="4">
        <v>1</v>
      </c>
      <c r="N519" s="4">
        <v>500.58</v>
      </c>
      <c r="O519" s="11"/>
      <c r="P519" s="11"/>
      <c r="Q519" s="11"/>
    </row>
    <row r="520" spans="1:17" x14ac:dyDescent="0.25">
      <c r="A520" s="8">
        <v>45747</v>
      </c>
      <c r="B520" s="3">
        <v>9990</v>
      </c>
      <c r="C520" s="3">
        <v>245770</v>
      </c>
      <c r="D520" s="3" t="s">
        <v>984</v>
      </c>
      <c r="E520" s="3">
        <v>275157</v>
      </c>
      <c r="F520" s="3" t="s">
        <v>1017</v>
      </c>
      <c r="G520" s="3" t="s">
        <v>56</v>
      </c>
      <c r="H520" s="3" t="s">
        <v>1018</v>
      </c>
      <c r="I520" s="3" t="s">
        <v>210</v>
      </c>
      <c r="J520" s="3" t="s">
        <v>59</v>
      </c>
      <c r="K520" s="6">
        <v>4054.05</v>
      </c>
      <c r="L520" s="6">
        <v>3862.04</v>
      </c>
      <c r="M520" s="4">
        <v>1</v>
      </c>
      <c r="N520" s="4">
        <v>695.17</v>
      </c>
      <c r="O520" s="11"/>
      <c r="P520" s="11"/>
      <c r="Q520" s="11"/>
    </row>
    <row r="521" spans="1:17" x14ac:dyDescent="0.25">
      <c r="A521" s="8">
        <v>45747</v>
      </c>
      <c r="B521" s="3">
        <v>9990</v>
      </c>
      <c r="C521" s="3">
        <v>245770</v>
      </c>
      <c r="D521" s="3" t="s">
        <v>984</v>
      </c>
      <c r="E521" s="3">
        <v>275157</v>
      </c>
      <c r="F521" s="3" t="s">
        <v>1017</v>
      </c>
      <c r="G521" s="3" t="s">
        <v>56</v>
      </c>
      <c r="H521" s="3" t="s">
        <v>1019</v>
      </c>
      <c r="I521" s="3" t="s">
        <v>182</v>
      </c>
      <c r="J521" s="3" t="s">
        <v>59</v>
      </c>
      <c r="K521" s="5"/>
      <c r="L521" s="5"/>
      <c r="M521" s="5"/>
      <c r="N521" s="5"/>
      <c r="O521" s="11"/>
      <c r="P521" s="11"/>
      <c r="Q521" s="11"/>
    </row>
    <row r="522" spans="1:17" x14ac:dyDescent="0.25">
      <c r="A522" s="8">
        <v>45747</v>
      </c>
      <c r="B522" s="3">
        <v>9703</v>
      </c>
      <c r="C522" s="3">
        <v>245770</v>
      </c>
      <c r="D522" s="3" t="s">
        <v>984</v>
      </c>
      <c r="E522" s="3">
        <v>24226</v>
      </c>
      <c r="F522" s="3" t="s">
        <v>1020</v>
      </c>
      <c r="G522" s="3" t="s">
        <v>56</v>
      </c>
      <c r="H522" s="3" t="s">
        <v>1021</v>
      </c>
      <c r="I522" s="3" t="s">
        <v>71</v>
      </c>
      <c r="J522" s="3" t="s">
        <v>59</v>
      </c>
      <c r="K522" s="4">
        <v>672</v>
      </c>
      <c r="L522" s="6">
        <v>-2313.64</v>
      </c>
      <c r="M522" s="4">
        <v>1</v>
      </c>
      <c r="N522" s="4">
        <v>200</v>
      </c>
      <c r="O522" s="11"/>
      <c r="P522" s="11"/>
      <c r="Q522" s="11"/>
    </row>
    <row r="523" spans="1:17" x14ac:dyDescent="0.25">
      <c r="A523" s="8">
        <v>45736</v>
      </c>
      <c r="B523" s="3">
        <v>9606</v>
      </c>
      <c r="C523" s="3">
        <v>259020</v>
      </c>
      <c r="D523" s="3" t="s">
        <v>1022</v>
      </c>
      <c r="E523" s="3">
        <v>24038</v>
      </c>
      <c r="F523" s="3" t="s">
        <v>1023</v>
      </c>
      <c r="G523" s="3" t="s">
        <v>56</v>
      </c>
      <c r="H523" s="3">
        <v>5155278</v>
      </c>
      <c r="I523" s="3" t="s">
        <v>804</v>
      </c>
      <c r="J523" s="3" t="s">
        <v>59</v>
      </c>
      <c r="K523" s="4">
        <v>419</v>
      </c>
      <c r="L523" s="6">
        <v>-1600</v>
      </c>
      <c r="M523" s="4">
        <v>1</v>
      </c>
      <c r="N523" s="4">
        <v>200</v>
      </c>
      <c r="O523" s="11"/>
      <c r="P523" s="11"/>
      <c r="Q523" s="11"/>
    </row>
    <row r="524" spans="1:17" x14ac:dyDescent="0.25">
      <c r="A524" s="8">
        <v>45726</v>
      </c>
      <c r="B524" s="3">
        <v>9362</v>
      </c>
      <c r="C524" s="3">
        <v>259520</v>
      </c>
      <c r="D524" s="3" t="s">
        <v>36</v>
      </c>
      <c r="E524" s="3">
        <v>23646</v>
      </c>
      <c r="F524" s="3" t="s">
        <v>1024</v>
      </c>
      <c r="G524" s="3" t="s">
        <v>69</v>
      </c>
      <c r="H524" s="3" t="s">
        <v>1025</v>
      </c>
      <c r="I524" s="3" t="s">
        <v>378</v>
      </c>
      <c r="J524" s="3" t="s">
        <v>59</v>
      </c>
      <c r="K524" s="6">
        <v>10419.280000000001</v>
      </c>
      <c r="L524" s="6">
        <v>17849</v>
      </c>
      <c r="M524" s="4">
        <v>1</v>
      </c>
      <c r="N524" s="6">
        <v>3212.82</v>
      </c>
      <c r="O524" s="11"/>
      <c r="P524" s="11"/>
      <c r="Q524" s="11"/>
    </row>
    <row r="525" spans="1:17" x14ac:dyDescent="0.25">
      <c r="A525" s="8">
        <v>45726</v>
      </c>
      <c r="B525" s="3">
        <v>9339</v>
      </c>
      <c r="C525" s="3">
        <v>259520</v>
      </c>
      <c r="D525" s="3" t="s">
        <v>36</v>
      </c>
      <c r="E525" s="3">
        <v>11756</v>
      </c>
      <c r="F525" s="3" t="s">
        <v>1026</v>
      </c>
      <c r="G525" s="3" t="s">
        <v>56</v>
      </c>
      <c r="H525" s="3" t="s">
        <v>1027</v>
      </c>
      <c r="I525" s="3" t="s">
        <v>1028</v>
      </c>
      <c r="J525" s="3" t="s">
        <v>59</v>
      </c>
      <c r="K525" s="6">
        <v>1516.17</v>
      </c>
      <c r="L525" s="6">
        <v>-5595</v>
      </c>
      <c r="M525" s="4">
        <v>1</v>
      </c>
      <c r="N525" s="4">
        <v>200</v>
      </c>
      <c r="O525" s="11"/>
      <c r="P525" s="11"/>
      <c r="Q525" s="11"/>
    </row>
    <row r="526" spans="1:17" x14ac:dyDescent="0.25">
      <c r="A526" s="8">
        <v>45726</v>
      </c>
      <c r="B526" s="3">
        <v>9339</v>
      </c>
      <c r="C526" s="3">
        <v>259520</v>
      </c>
      <c r="D526" s="3" t="s">
        <v>36</v>
      </c>
      <c r="E526" s="3">
        <v>11756</v>
      </c>
      <c r="F526" s="3" t="s">
        <v>1026</v>
      </c>
      <c r="G526" s="3" t="s">
        <v>56</v>
      </c>
      <c r="H526" s="3" t="s">
        <v>905</v>
      </c>
      <c r="I526" s="3" t="s">
        <v>906</v>
      </c>
      <c r="J526" s="3" t="s">
        <v>59</v>
      </c>
      <c r="K526" s="5"/>
      <c r="L526" s="5"/>
      <c r="M526" s="5"/>
      <c r="N526" s="5"/>
      <c r="O526" s="11"/>
      <c r="P526" s="11"/>
      <c r="Q526" s="11"/>
    </row>
    <row r="527" spans="1:17" x14ac:dyDescent="0.25">
      <c r="A527" s="8">
        <v>45727</v>
      </c>
      <c r="B527" s="3">
        <v>9463</v>
      </c>
      <c r="C527" s="3">
        <v>259520</v>
      </c>
      <c r="D527" s="3" t="s">
        <v>36</v>
      </c>
      <c r="E527" s="3">
        <v>291206</v>
      </c>
      <c r="F527" s="3" t="s">
        <v>1029</v>
      </c>
      <c r="G527" s="3" t="s">
        <v>69</v>
      </c>
      <c r="H527" s="3">
        <v>5218326</v>
      </c>
      <c r="I527" s="3" t="s">
        <v>519</v>
      </c>
      <c r="J527" s="3" t="s">
        <v>59</v>
      </c>
      <c r="K527" s="6">
        <v>1562.05</v>
      </c>
      <c r="L527" s="4">
        <v>-905</v>
      </c>
      <c r="M527" s="4">
        <v>1</v>
      </c>
      <c r="N527" s="4">
        <v>200</v>
      </c>
      <c r="O527" s="11"/>
      <c r="P527" s="11"/>
      <c r="Q527" s="11"/>
    </row>
    <row r="528" spans="1:17" x14ac:dyDescent="0.25">
      <c r="A528" s="8">
        <v>45729</v>
      </c>
      <c r="B528" s="3">
        <v>9372</v>
      </c>
      <c r="C528" s="3">
        <v>259520</v>
      </c>
      <c r="D528" s="3" t="s">
        <v>36</v>
      </c>
      <c r="E528" s="3">
        <v>23649</v>
      </c>
      <c r="F528" s="3" t="s">
        <v>1030</v>
      </c>
      <c r="G528" s="3" t="s">
        <v>56</v>
      </c>
      <c r="H528" s="3" t="s">
        <v>1031</v>
      </c>
      <c r="I528" s="3" t="s">
        <v>253</v>
      </c>
      <c r="J528" s="3" t="s">
        <v>59</v>
      </c>
      <c r="K528" s="6">
        <v>1001</v>
      </c>
      <c r="L528" s="6">
        <v>-3891.01</v>
      </c>
      <c r="M528" s="4">
        <v>1</v>
      </c>
      <c r="N528" s="4">
        <v>200</v>
      </c>
      <c r="O528" s="11"/>
      <c r="P528" s="11"/>
      <c r="Q528" s="11"/>
    </row>
    <row r="529" spans="1:17" x14ac:dyDescent="0.25">
      <c r="A529" s="8">
        <v>45729</v>
      </c>
      <c r="B529" s="3">
        <v>9372</v>
      </c>
      <c r="C529" s="3">
        <v>259520</v>
      </c>
      <c r="D529" s="3" t="s">
        <v>36</v>
      </c>
      <c r="E529" s="3">
        <v>23649</v>
      </c>
      <c r="F529" s="3" t="s">
        <v>1030</v>
      </c>
      <c r="G529" s="3" t="s">
        <v>56</v>
      </c>
      <c r="H529" s="3" t="s">
        <v>1032</v>
      </c>
      <c r="I529" s="3" t="s">
        <v>1033</v>
      </c>
      <c r="J529" s="3" t="s">
        <v>59</v>
      </c>
      <c r="K529" s="5"/>
      <c r="L529" s="5"/>
      <c r="M529" s="5"/>
      <c r="N529" s="5"/>
      <c r="O529" s="11"/>
      <c r="P529" s="11"/>
      <c r="Q529" s="11"/>
    </row>
    <row r="530" spans="1:17" x14ac:dyDescent="0.25">
      <c r="A530" s="8">
        <v>45730</v>
      </c>
      <c r="B530" s="3">
        <v>9478</v>
      </c>
      <c r="C530" s="3">
        <v>259520</v>
      </c>
      <c r="D530" s="3" t="s">
        <v>36</v>
      </c>
      <c r="E530" s="3">
        <v>263636</v>
      </c>
      <c r="F530" s="3" t="s">
        <v>1034</v>
      </c>
      <c r="G530" s="3" t="s">
        <v>56</v>
      </c>
      <c r="H530" s="3" t="s">
        <v>1035</v>
      </c>
      <c r="I530" s="3" t="s">
        <v>210</v>
      </c>
      <c r="J530" s="3" t="s">
        <v>59</v>
      </c>
      <c r="K530" s="6">
        <v>1762.58</v>
      </c>
      <c r="L530" s="6">
        <v>-5675</v>
      </c>
      <c r="M530" s="4">
        <v>1</v>
      </c>
      <c r="N530" s="4">
        <v>200</v>
      </c>
      <c r="O530" s="11"/>
      <c r="P530" s="11"/>
      <c r="Q530" s="11"/>
    </row>
    <row r="531" spans="1:17" x14ac:dyDescent="0.25">
      <c r="A531" s="8">
        <v>45733</v>
      </c>
      <c r="B531" s="3">
        <v>9536</v>
      </c>
      <c r="C531" s="3">
        <v>259520</v>
      </c>
      <c r="D531" s="3" t="s">
        <v>36</v>
      </c>
      <c r="E531" s="3">
        <v>23970</v>
      </c>
      <c r="F531" s="3" t="s">
        <v>1036</v>
      </c>
      <c r="G531" s="3" t="s">
        <v>69</v>
      </c>
      <c r="H531" s="3" t="s">
        <v>1037</v>
      </c>
      <c r="I531" s="3" t="s">
        <v>327</v>
      </c>
      <c r="J531" s="3" t="s">
        <v>59</v>
      </c>
      <c r="K531" s="4">
        <v>0</v>
      </c>
      <c r="L531" s="6">
        <v>4393</v>
      </c>
      <c r="M531" s="4">
        <v>1</v>
      </c>
      <c r="N531" s="4">
        <v>790.74</v>
      </c>
      <c r="O531" s="11"/>
      <c r="P531" s="11"/>
      <c r="Q531" s="11"/>
    </row>
    <row r="532" spans="1:17" x14ac:dyDescent="0.25">
      <c r="A532" s="8">
        <v>45733</v>
      </c>
      <c r="B532" s="3">
        <v>9536</v>
      </c>
      <c r="C532" s="3">
        <v>259520</v>
      </c>
      <c r="D532" s="3" t="s">
        <v>36</v>
      </c>
      <c r="E532" s="3">
        <v>23970</v>
      </c>
      <c r="F532" s="3" t="s">
        <v>1036</v>
      </c>
      <c r="G532" s="3" t="s">
        <v>69</v>
      </c>
      <c r="H532" s="3" t="s">
        <v>1038</v>
      </c>
      <c r="I532" s="3" t="s">
        <v>1039</v>
      </c>
      <c r="J532" s="3" t="s">
        <v>59</v>
      </c>
      <c r="K532" s="5"/>
      <c r="L532" s="5"/>
      <c r="M532" s="5"/>
      <c r="N532" s="5"/>
      <c r="O532" s="11"/>
      <c r="P532" s="11"/>
      <c r="Q532" s="11"/>
    </row>
    <row r="533" spans="1:17" x14ac:dyDescent="0.25">
      <c r="A533" s="8">
        <v>45736</v>
      </c>
      <c r="B533" s="3">
        <v>9639</v>
      </c>
      <c r="C533" s="3">
        <v>259520</v>
      </c>
      <c r="D533" s="3" t="s">
        <v>36</v>
      </c>
      <c r="E533" s="3">
        <v>275602</v>
      </c>
      <c r="F533" s="3" t="s">
        <v>1040</v>
      </c>
      <c r="G533" s="3" t="s">
        <v>56</v>
      </c>
      <c r="H533" s="3" t="s">
        <v>1041</v>
      </c>
      <c r="I533" s="3" t="s">
        <v>166</v>
      </c>
      <c r="J533" s="3" t="s">
        <v>59</v>
      </c>
      <c r="K533" s="4">
        <v>271</v>
      </c>
      <c r="L533" s="6">
        <v>-2729.05</v>
      </c>
      <c r="M533" s="4">
        <v>1</v>
      </c>
      <c r="N533" s="4">
        <v>200</v>
      </c>
      <c r="O533" s="11"/>
      <c r="P533" s="11"/>
      <c r="Q533" s="11"/>
    </row>
    <row r="534" spans="1:17" x14ac:dyDescent="0.25">
      <c r="A534" s="8">
        <v>45736</v>
      </c>
      <c r="B534" s="3">
        <v>9639</v>
      </c>
      <c r="C534" s="3">
        <v>259520</v>
      </c>
      <c r="D534" s="3" t="s">
        <v>36</v>
      </c>
      <c r="E534" s="3">
        <v>275602</v>
      </c>
      <c r="F534" s="3" t="s">
        <v>1040</v>
      </c>
      <c r="G534" s="3" t="s">
        <v>56</v>
      </c>
      <c r="H534" s="3" t="s">
        <v>1042</v>
      </c>
      <c r="I534" s="3" t="s">
        <v>1043</v>
      </c>
      <c r="J534" s="3" t="s">
        <v>59</v>
      </c>
      <c r="K534" s="5"/>
      <c r="L534" s="5"/>
      <c r="M534" s="5"/>
      <c r="N534" s="5"/>
      <c r="O534" s="11"/>
      <c r="P534" s="11"/>
      <c r="Q534" s="11"/>
    </row>
    <row r="535" spans="1:17" x14ac:dyDescent="0.25">
      <c r="A535" s="8">
        <v>45742</v>
      </c>
      <c r="B535" s="3">
        <v>9609</v>
      </c>
      <c r="C535" s="3">
        <v>259520</v>
      </c>
      <c r="D535" s="3" t="s">
        <v>36</v>
      </c>
      <c r="E535" s="3">
        <v>276781</v>
      </c>
      <c r="F535" s="3" t="s">
        <v>1044</v>
      </c>
      <c r="G535" s="3" t="s">
        <v>56</v>
      </c>
      <c r="H535" s="3" t="s">
        <v>1045</v>
      </c>
      <c r="I535" s="3" t="s">
        <v>1046</v>
      </c>
      <c r="J535" s="3" t="s">
        <v>59</v>
      </c>
      <c r="K535" s="4">
        <v>0</v>
      </c>
      <c r="L535" s="4">
        <v>0</v>
      </c>
      <c r="M535" s="4">
        <v>0</v>
      </c>
      <c r="N535" s="4">
        <v>0</v>
      </c>
      <c r="O535" s="11"/>
      <c r="P535" s="11"/>
      <c r="Q535" s="11"/>
    </row>
    <row r="536" spans="1:17" x14ac:dyDescent="0.25">
      <c r="A536" s="8">
        <v>45742</v>
      </c>
      <c r="B536" s="3">
        <v>9609</v>
      </c>
      <c r="C536" s="3">
        <v>259520</v>
      </c>
      <c r="D536" s="3" t="s">
        <v>36</v>
      </c>
      <c r="E536" s="3">
        <v>276781</v>
      </c>
      <c r="F536" s="3" t="s">
        <v>1044</v>
      </c>
      <c r="G536" s="3" t="s">
        <v>56</v>
      </c>
      <c r="H536" s="3" t="s">
        <v>1047</v>
      </c>
      <c r="I536" s="3" t="s">
        <v>1048</v>
      </c>
      <c r="J536" s="3" t="s">
        <v>59</v>
      </c>
      <c r="K536" s="5"/>
      <c r="L536" s="5"/>
      <c r="M536" s="5"/>
      <c r="N536" s="5"/>
      <c r="O536" s="11"/>
      <c r="P536" s="11"/>
      <c r="Q536" s="11"/>
    </row>
    <row r="537" spans="1:17" x14ac:dyDescent="0.25">
      <c r="A537" s="8">
        <v>45742</v>
      </c>
      <c r="B537" s="3" t="s">
        <v>1049</v>
      </c>
      <c r="C537" s="3">
        <v>259520</v>
      </c>
      <c r="D537" s="3" t="s">
        <v>36</v>
      </c>
      <c r="E537" s="3">
        <v>276781</v>
      </c>
      <c r="F537" s="3" t="s">
        <v>1044</v>
      </c>
      <c r="G537" s="3" t="s">
        <v>56</v>
      </c>
      <c r="H537" s="3" t="s">
        <v>1045</v>
      </c>
      <c r="I537" s="3" t="s">
        <v>1046</v>
      </c>
      <c r="J537" s="3" t="s">
        <v>59</v>
      </c>
      <c r="K537" s="6">
        <v>2584.21</v>
      </c>
      <c r="L537" s="6">
        <v>-6530</v>
      </c>
      <c r="M537" s="4">
        <v>1</v>
      </c>
      <c r="N537" s="4">
        <v>200</v>
      </c>
      <c r="O537" s="11"/>
      <c r="P537" s="11"/>
      <c r="Q537" s="11"/>
    </row>
    <row r="538" spans="1:17" x14ac:dyDescent="0.25">
      <c r="A538" s="8">
        <v>45742</v>
      </c>
      <c r="B538" s="3" t="s">
        <v>1049</v>
      </c>
      <c r="C538" s="3">
        <v>259520</v>
      </c>
      <c r="D538" s="3" t="s">
        <v>36</v>
      </c>
      <c r="E538" s="3">
        <v>276781</v>
      </c>
      <c r="F538" s="3" t="s">
        <v>1044</v>
      </c>
      <c r="G538" s="3" t="s">
        <v>56</v>
      </c>
      <c r="H538" s="3" t="s">
        <v>1047</v>
      </c>
      <c r="I538" s="3" t="s">
        <v>1048</v>
      </c>
      <c r="J538" s="3" t="s">
        <v>59</v>
      </c>
      <c r="K538" s="5"/>
      <c r="L538" s="5"/>
      <c r="M538" s="5"/>
      <c r="N538" s="5"/>
      <c r="O538" s="11"/>
      <c r="P538" s="11"/>
      <c r="Q538" s="11"/>
    </row>
    <row r="539" spans="1:17" x14ac:dyDescent="0.25">
      <c r="A539" s="8">
        <v>45743</v>
      </c>
      <c r="B539" s="3">
        <v>9612</v>
      </c>
      <c r="C539" s="3">
        <v>259520</v>
      </c>
      <c r="D539" s="3" t="s">
        <v>36</v>
      </c>
      <c r="E539" s="3">
        <v>24042</v>
      </c>
      <c r="F539" s="3" t="s">
        <v>1050</v>
      </c>
      <c r="G539" s="3" t="s">
        <v>56</v>
      </c>
      <c r="H539" s="3" t="s">
        <v>1051</v>
      </c>
      <c r="I539" s="3" t="s">
        <v>270</v>
      </c>
      <c r="J539" s="3" t="s">
        <v>59</v>
      </c>
      <c r="K539" s="4">
        <v>0</v>
      </c>
      <c r="L539" s="4">
        <v>0</v>
      </c>
      <c r="M539" s="4">
        <v>0</v>
      </c>
      <c r="N539" s="4">
        <v>0</v>
      </c>
      <c r="O539" s="11"/>
      <c r="P539" s="11"/>
      <c r="Q539" s="11"/>
    </row>
    <row r="540" spans="1:17" x14ac:dyDescent="0.25">
      <c r="A540" s="8">
        <v>45743</v>
      </c>
      <c r="B540" s="3">
        <v>9705</v>
      </c>
      <c r="C540" s="3">
        <v>259520</v>
      </c>
      <c r="D540" s="3" t="s">
        <v>36</v>
      </c>
      <c r="E540" s="3">
        <v>266067</v>
      </c>
      <c r="F540" s="3" t="s">
        <v>1052</v>
      </c>
      <c r="G540" s="3" t="s">
        <v>56</v>
      </c>
      <c r="H540" s="3" t="s">
        <v>1053</v>
      </c>
      <c r="I540" s="3" t="s">
        <v>71</v>
      </c>
      <c r="J540" s="3" t="s">
        <v>59</v>
      </c>
      <c r="K540" s="4">
        <v>557</v>
      </c>
      <c r="L540" s="6">
        <v>2269</v>
      </c>
      <c r="M540" s="4">
        <v>1</v>
      </c>
      <c r="N540" s="4">
        <v>408.42</v>
      </c>
      <c r="O540" s="11"/>
      <c r="P540" s="11"/>
      <c r="Q540" s="11"/>
    </row>
    <row r="541" spans="1:17" x14ac:dyDescent="0.25">
      <c r="A541" s="8">
        <v>45743</v>
      </c>
      <c r="B541" s="3">
        <v>9705</v>
      </c>
      <c r="C541" s="3">
        <v>259520</v>
      </c>
      <c r="D541" s="3" t="s">
        <v>36</v>
      </c>
      <c r="E541" s="3">
        <v>266067</v>
      </c>
      <c r="F541" s="3" t="s">
        <v>1052</v>
      </c>
      <c r="G541" s="3" t="s">
        <v>56</v>
      </c>
      <c r="H541" s="3" t="s">
        <v>1054</v>
      </c>
      <c r="I541" s="3" t="s">
        <v>1055</v>
      </c>
      <c r="J541" s="3" t="s">
        <v>59</v>
      </c>
      <c r="K541" s="5"/>
      <c r="L541" s="5"/>
      <c r="M541" s="5"/>
      <c r="N541" s="5"/>
      <c r="O541" s="11"/>
      <c r="P541" s="11"/>
      <c r="Q541" s="11"/>
    </row>
    <row r="542" spans="1:17" x14ac:dyDescent="0.25">
      <c r="A542" s="8">
        <v>45743</v>
      </c>
      <c r="B542" s="3">
        <v>9642</v>
      </c>
      <c r="C542" s="3">
        <v>259520</v>
      </c>
      <c r="D542" s="3" t="s">
        <v>36</v>
      </c>
      <c r="E542" s="3">
        <v>24096</v>
      </c>
      <c r="F542" s="3" t="s">
        <v>1056</v>
      </c>
      <c r="G542" s="3" t="s">
        <v>108</v>
      </c>
      <c r="H542" s="3" t="s">
        <v>808</v>
      </c>
      <c r="I542" s="3" t="s">
        <v>809</v>
      </c>
      <c r="J542" s="3" t="s">
        <v>86</v>
      </c>
      <c r="K542" s="6">
        <v>3248.73</v>
      </c>
      <c r="L542" s="4">
        <v>-346.07</v>
      </c>
      <c r="M542" s="4">
        <v>1</v>
      </c>
      <c r="N542" s="4">
        <v>200</v>
      </c>
      <c r="O542" s="11"/>
      <c r="P542" s="11"/>
      <c r="Q542" s="11"/>
    </row>
    <row r="543" spans="1:17" x14ac:dyDescent="0.25">
      <c r="A543" s="8">
        <v>45743</v>
      </c>
      <c r="B543" s="3">
        <v>9719</v>
      </c>
      <c r="C543" s="3">
        <v>259520</v>
      </c>
      <c r="D543" s="3" t="s">
        <v>36</v>
      </c>
      <c r="E543" s="3">
        <v>24241</v>
      </c>
      <c r="F543" s="3" t="s">
        <v>1057</v>
      </c>
      <c r="G543" s="3" t="s">
        <v>108</v>
      </c>
      <c r="H543" s="3" t="s">
        <v>1058</v>
      </c>
      <c r="I543" s="3" t="s">
        <v>932</v>
      </c>
      <c r="J543" s="3" t="s">
        <v>86</v>
      </c>
      <c r="K543" s="6">
        <v>2088.35</v>
      </c>
      <c r="L543" s="4">
        <v>85.45</v>
      </c>
      <c r="M543" s="4">
        <v>1</v>
      </c>
      <c r="N543" s="4">
        <v>200</v>
      </c>
      <c r="O543" s="11"/>
      <c r="P543" s="11"/>
      <c r="Q543" s="11"/>
    </row>
    <row r="544" spans="1:17" x14ac:dyDescent="0.25">
      <c r="A544" s="8">
        <v>45747</v>
      </c>
      <c r="B544" s="3" t="s">
        <v>1059</v>
      </c>
      <c r="C544" s="3">
        <v>259520</v>
      </c>
      <c r="D544" s="3" t="s">
        <v>36</v>
      </c>
      <c r="E544" s="3">
        <v>279071</v>
      </c>
      <c r="F544" s="3" t="s">
        <v>1060</v>
      </c>
      <c r="G544" s="3" t="s">
        <v>63</v>
      </c>
      <c r="H544" s="3" t="s">
        <v>1061</v>
      </c>
      <c r="I544" s="3" t="s">
        <v>118</v>
      </c>
      <c r="J544" s="3" t="s">
        <v>59</v>
      </c>
      <c r="K544" s="4">
        <v>726.46</v>
      </c>
      <c r="L544" s="6">
        <v>-1077.1400000000001</v>
      </c>
      <c r="M544" s="4">
        <v>1</v>
      </c>
      <c r="N544" s="4">
        <v>200</v>
      </c>
      <c r="O544" s="11"/>
      <c r="P544" s="11"/>
      <c r="Q544" s="11"/>
    </row>
    <row r="545" spans="1:17" x14ac:dyDescent="0.25">
      <c r="A545" s="8">
        <v>45747</v>
      </c>
      <c r="B545" s="3">
        <v>9780</v>
      </c>
      <c r="C545" s="3">
        <v>259520</v>
      </c>
      <c r="D545" s="3" t="s">
        <v>36</v>
      </c>
      <c r="E545" s="3">
        <v>279071</v>
      </c>
      <c r="F545" s="3" t="s">
        <v>1060</v>
      </c>
      <c r="G545" s="3" t="s">
        <v>56</v>
      </c>
      <c r="H545" s="3" t="s">
        <v>1061</v>
      </c>
      <c r="I545" s="3" t="s">
        <v>118</v>
      </c>
      <c r="J545" s="3" t="s">
        <v>59</v>
      </c>
      <c r="K545" s="4">
        <v>0</v>
      </c>
      <c r="L545" s="4">
        <v>0</v>
      </c>
      <c r="M545" s="4">
        <v>0</v>
      </c>
      <c r="N545" s="4">
        <v>0</v>
      </c>
      <c r="O545" s="11"/>
      <c r="P545" s="11"/>
      <c r="Q545" s="11"/>
    </row>
    <row r="546" spans="1:17" x14ac:dyDescent="0.25">
      <c r="A546" s="8">
        <v>45747</v>
      </c>
      <c r="B546" s="3" t="s">
        <v>1062</v>
      </c>
      <c r="C546" s="3">
        <v>259520</v>
      </c>
      <c r="D546" s="3" t="s">
        <v>36</v>
      </c>
      <c r="E546" s="3">
        <v>279071</v>
      </c>
      <c r="F546" s="3" t="s">
        <v>1060</v>
      </c>
      <c r="G546" s="3" t="s">
        <v>56</v>
      </c>
      <c r="H546" s="3" t="s">
        <v>1061</v>
      </c>
      <c r="I546" s="3" t="s">
        <v>118</v>
      </c>
      <c r="J546" s="3" t="s">
        <v>59</v>
      </c>
      <c r="K546" s="4">
        <v>0</v>
      </c>
      <c r="L546" s="4">
        <v>0</v>
      </c>
      <c r="M546" s="4">
        <v>0</v>
      </c>
      <c r="N546" s="4">
        <v>0</v>
      </c>
      <c r="O546" s="11"/>
      <c r="P546" s="11"/>
      <c r="Q546" s="11"/>
    </row>
    <row r="547" spans="1:17" x14ac:dyDescent="0.25">
      <c r="A547" s="8">
        <v>45747</v>
      </c>
      <c r="B547" s="3">
        <v>7840</v>
      </c>
      <c r="C547" s="3">
        <v>259520</v>
      </c>
      <c r="D547" s="3" t="s">
        <v>36</v>
      </c>
      <c r="E547" s="3">
        <v>263505</v>
      </c>
      <c r="F547" s="3" t="s">
        <v>1063</v>
      </c>
      <c r="G547" s="3" t="s">
        <v>56</v>
      </c>
      <c r="H547" s="3" t="s">
        <v>1064</v>
      </c>
      <c r="I547" s="3" t="s">
        <v>248</v>
      </c>
      <c r="J547" s="3" t="s">
        <v>59</v>
      </c>
      <c r="K547" s="6">
        <v>2542.4299999999998</v>
      </c>
      <c r="L547" s="6">
        <v>5709.71</v>
      </c>
      <c r="M547" s="4">
        <v>1</v>
      </c>
      <c r="N547" s="6">
        <v>1027.75</v>
      </c>
      <c r="O547" s="11"/>
      <c r="P547" s="11"/>
      <c r="Q547" s="11"/>
    </row>
    <row r="548" spans="1:17" x14ac:dyDescent="0.25">
      <c r="A548" s="8">
        <v>45747</v>
      </c>
      <c r="B548" s="3">
        <v>9826</v>
      </c>
      <c r="C548" s="3">
        <v>259520</v>
      </c>
      <c r="D548" s="3" t="s">
        <v>36</v>
      </c>
      <c r="E548" s="3">
        <v>24348</v>
      </c>
      <c r="F548" s="3" t="s">
        <v>1065</v>
      </c>
      <c r="G548" s="3" t="s">
        <v>56</v>
      </c>
      <c r="H548" s="3" t="s">
        <v>1066</v>
      </c>
      <c r="I548" s="3" t="s">
        <v>270</v>
      </c>
      <c r="J548" s="3" t="s">
        <v>59</v>
      </c>
      <c r="K548" s="4">
        <v>0</v>
      </c>
      <c r="L548" s="4">
        <v>0</v>
      </c>
      <c r="M548" s="4">
        <v>0</v>
      </c>
      <c r="N548" s="4">
        <v>0</v>
      </c>
      <c r="O548" s="11"/>
      <c r="P548" s="11"/>
      <c r="Q548" s="11"/>
    </row>
    <row r="549" spans="1:17" x14ac:dyDescent="0.25">
      <c r="A549" s="8">
        <v>45747</v>
      </c>
      <c r="B549" s="3">
        <v>9824</v>
      </c>
      <c r="C549" s="3">
        <v>259520</v>
      </c>
      <c r="D549" s="3" t="s">
        <v>36</v>
      </c>
      <c r="E549" s="3">
        <v>24346</v>
      </c>
      <c r="F549" s="3" t="s">
        <v>1067</v>
      </c>
      <c r="G549" s="3" t="s">
        <v>56</v>
      </c>
      <c r="H549" s="3" t="s">
        <v>1068</v>
      </c>
      <c r="I549" s="3" t="s">
        <v>166</v>
      </c>
      <c r="J549" s="3" t="s">
        <v>59</v>
      </c>
      <c r="K549" s="4">
        <v>183</v>
      </c>
      <c r="L549" s="6">
        <v>-4144</v>
      </c>
      <c r="M549" s="4">
        <v>1</v>
      </c>
      <c r="N549" s="4">
        <v>200</v>
      </c>
      <c r="O549" s="11"/>
      <c r="P549" s="11"/>
      <c r="Q549" s="11"/>
    </row>
    <row r="550" spans="1:17" x14ac:dyDescent="0.25">
      <c r="A550" s="8">
        <v>45747</v>
      </c>
      <c r="B550" s="3">
        <v>9922</v>
      </c>
      <c r="C550" s="3">
        <v>259520</v>
      </c>
      <c r="D550" s="3" t="s">
        <v>36</v>
      </c>
      <c r="E550" s="3">
        <v>24472</v>
      </c>
      <c r="F550" s="3" t="s">
        <v>1069</v>
      </c>
      <c r="G550" s="3" t="s">
        <v>56</v>
      </c>
      <c r="H550" s="3" t="s">
        <v>1070</v>
      </c>
      <c r="I550" s="3" t="s">
        <v>71</v>
      </c>
      <c r="J550" s="3" t="s">
        <v>59</v>
      </c>
      <c r="K550" s="4">
        <v>254</v>
      </c>
      <c r="L550" s="6">
        <v>-3089</v>
      </c>
      <c r="M550" s="4">
        <v>1</v>
      </c>
      <c r="N550" s="4">
        <v>200</v>
      </c>
      <c r="O550" s="11"/>
      <c r="P550" s="11"/>
      <c r="Q550" s="11"/>
    </row>
    <row r="551" spans="1:17" x14ac:dyDescent="0.25">
      <c r="A551" s="8">
        <v>45747</v>
      </c>
      <c r="B551" s="3">
        <v>9938</v>
      </c>
      <c r="C551" s="3">
        <v>259520</v>
      </c>
      <c r="D551" s="3" t="s">
        <v>36</v>
      </c>
      <c r="E551" s="3">
        <v>266035</v>
      </c>
      <c r="F551" s="3" t="s">
        <v>1071</v>
      </c>
      <c r="G551" s="3" t="s">
        <v>56</v>
      </c>
      <c r="H551" s="3">
        <v>9003649</v>
      </c>
      <c r="I551" s="3" t="s">
        <v>71</v>
      </c>
      <c r="J551" s="3" t="s">
        <v>59</v>
      </c>
      <c r="K551" s="4">
        <v>129</v>
      </c>
      <c r="L551" s="6">
        <v>-4189</v>
      </c>
      <c r="M551" s="4">
        <v>1</v>
      </c>
      <c r="N551" s="4">
        <v>200</v>
      </c>
      <c r="O551" s="11"/>
      <c r="P551" s="11"/>
      <c r="Q551" s="11"/>
    </row>
    <row r="552" spans="1:17" x14ac:dyDescent="0.25">
      <c r="A552" s="8">
        <v>45747</v>
      </c>
      <c r="B552" s="3">
        <v>9938</v>
      </c>
      <c r="C552" s="3">
        <v>259520</v>
      </c>
      <c r="D552" s="3" t="s">
        <v>36</v>
      </c>
      <c r="E552" s="3">
        <v>266035</v>
      </c>
      <c r="F552" s="3" t="s">
        <v>1071</v>
      </c>
      <c r="G552" s="3" t="s">
        <v>56</v>
      </c>
      <c r="H552" s="3" t="s">
        <v>1072</v>
      </c>
      <c r="I552" s="3" t="s">
        <v>218</v>
      </c>
      <c r="J552" s="3" t="s">
        <v>59</v>
      </c>
      <c r="K552" s="5"/>
      <c r="L552" s="5"/>
      <c r="M552" s="5"/>
      <c r="N552" s="5"/>
      <c r="O552" s="11"/>
      <c r="P552" s="11"/>
      <c r="Q552" s="11"/>
    </row>
    <row r="553" spans="1:17" x14ac:dyDescent="0.25">
      <c r="A553" s="8">
        <v>45747</v>
      </c>
      <c r="B553" s="3">
        <v>9979</v>
      </c>
      <c r="C553" s="3">
        <v>259520</v>
      </c>
      <c r="D553" s="3" t="s">
        <v>36</v>
      </c>
      <c r="E553" s="3">
        <v>259026</v>
      </c>
      <c r="F553" s="3" t="s">
        <v>1073</v>
      </c>
      <c r="G553" s="3" t="s">
        <v>56</v>
      </c>
      <c r="H553" s="3" t="s">
        <v>1074</v>
      </c>
      <c r="I553" s="3" t="s">
        <v>369</v>
      </c>
      <c r="J553" s="3" t="s">
        <v>59</v>
      </c>
      <c r="K553" s="6">
        <v>2128.67</v>
      </c>
      <c r="L553" s="6">
        <v>2396</v>
      </c>
      <c r="M553" s="4">
        <v>1</v>
      </c>
      <c r="N553" s="4">
        <v>431.28</v>
      </c>
      <c r="O553" s="11"/>
      <c r="P553" s="11"/>
      <c r="Q553" s="11"/>
    </row>
    <row r="554" spans="1:17" x14ac:dyDescent="0.25">
      <c r="A554" s="8">
        <v>45747</v>
      </c>
      <c r="B554" s="3">
        <v>9979</v>
      </c>
      <c r="C554" s="3">
        <v>259520</v>
      </c>
      <c r="D554" s="3" t="s">
        <v>36</v>
      </c>
      <c r="E554" s="3">
        <v>259026</v>
      </c>
      <c r="F554" s="3" t="s">
        <v>1073</v>
      </c>
      <c r="G554" s="3" t="s">
        <v>56</v>
      </c>
      <c r="H554" s="3" t="s">
        <v>1075</v>
      </c>
      <c r="I554" s="3" t="s">
        <v>1076</v>
      </c>
      <c r="J554" s="3" t="s">
        <v>59</v>
      </c>
      <c r="K554" s="5"/>
      <c r="L554" s="5"/>
      <c r="M554" s="5"/>
      <c r="N554" s="5"/>
      <c r="O554" s="11"/>
      <c r="P554" s="11"/>
      <c r="Q554" s="11"/>
    </row>
    <row r="555" spans="1:17" x14ac:dyDescent="0.25">
      <c r="A555" s="8">
        <v>45747</v>
      </c>
      <c r="B555" s="3" t="s">
        <v>1077</v>
      </c>
      <c r="C555" s="3">
        <v>259520</v>
      </c>
      <c r="D555" s="3" t="s">
        <v>36</v>
      </c>
      <c r="E555" s="3">
        <v>24042</v>
      </c>
      <c r="F555" s="3" t="s">
        <v>1050</v>
      </c>
      <c r="G555" s="3" t="s">
        <v>56</v>
      </c>
      <c r="H555" s="3" t="s">
        <v>1051</v>
      </c>
      <c r="I555" s="3" t="s">
        <v>270</v>
      </c>
      <c r="J555" s="3" t="s">
        <v>59</v>
      </c>
      <c r="K555" s="6">
        <v>1820.35</v>
      </c>
      <c r="L555" s="6">
        <v>5716.86</v>
      </c>
      <c r="M555" s="4">
        <v>1</v>
      </c>
      <c r="N555" s="6">
        <v>1029.03</v>
      </c>
      <c r="O555" s="11"/>
      <c r="P555" s="11"/>
      <c r="Q555" s="11"/>
    </row>
    <row r="556" spans="1:17" x14ac:dyDescent="0.25">
      <c r="A556" s="8">
        <v>45747</v>
      </c>
      <c r="B556" s="3" t="s">
        <v>1078</v>
      </c>
      <c r="C556" s="3">
        <v>259520</v>
      </c>
      <c r="D556" s="3" t="s">
        <v>36</v>
      </c>
      <c r="E556" s="3">
        <v>24348</v>
      </c>
      <c r="F556" s="3" t="s">
        <v>1065</v>
      </c>
      <c r="G556" s="3" t="s">
        <v>56</v>
      </c>
      <c r="H556" s="3" t="s">
        <v>1066</v>
      </c>
      <c r="I556" s="3" t="s">
        <v>270</v>
      </c>
      <c r="J556" s="3" t="s">
        <v>59</v>
      </c>
      <c r="K556" s="4">
        <v>976.9</v>
      </c>
      <c r="L556" s="6">
        <v>-1110.8</v>
      </c>
      <c r="M556" s="4">
        <v>1</v>
      </c>
      <c r="N556" s="4">
        <v>200</v>
      </c>
      <c r="O556" s="11"/>
      <c r="P556" s="11"/>
      <c r="Q556" s="11"/>
    </row>
    <row r="557" spans="1:17" x14ac:dyDescent="0.25">
      <c r="A557" s="8">
        <v>45747</v>
      </c>
      <c r="B557" s="3">
        <v>9666</v>
      </c>
      <c r="C557" s="3">
        <v>259520</v>
      </c>
      <c r="D557" s="3" t="s">
        <v>36</v>
      </c>
      <c r="E557" s="3">
        <v>24155</v>
      </c>
      <c r="F557" s="3" t="s">
        <v>1079</v>
      </c>
      <c r="G557" s="3" t="s">
        <v>108</v>
      </c>
      <c r="H557" s="3" t="s">
        <v>1080</v>
      </c>
      <c r="I557" s="3" t="s">
        <v>1081</v>
      </c>
      <c r="J557" s="3" t="s">
        <v>86</v>
      </c>
      <c r="K557" s="6">
        <v>8422.2199999999993</v>
      </c>
      <c r="L557" s="6">
        <v>10677.87</v>
      </c>
      <c r="M557" s="4">
        <v>1</v>
      </c>
      <c r="N557" s="6">
        <v>1922.02</v>
      </c>
      <c r="O557" s="11"/>
      <c r="P557" s="11"/>
      <c r="Q557" s="11"/>
    </row>
    <row r="558" spans="1:17" x14ac:dyDescent="0.25">
      <c r="A558" s="8">
        <v>45728</v>
      </c>
      <c r="B558" s="3">
        <v>9396</v>
      </c>
      <c r="C558" s="3">
        <v>261800</v>
      </c>
      <c r="D558" s="3" t="s">
        <v>1082</v>
      </c>
      <c r="E558" s="3">
        <v>23707</v>
      </c>
      <c r="F558" s="3" t="s">
        <v>1083</v>
      </c>
      <c r="G558" s="3" t="s">
        <v>564</v>
      </c>
      <c r="H558" s="3" t="s">
        <v>1084</v>
      </c>
      <c r="I558" s="3" t="s">
        <v>1085</v>
      </c>
      <c r="J558" s="3" t="s">
        <v>86</v>
      </c>
      <c r="K558" s="6">
        <v>2828.52</v>
      </c>
      <c r="L558" s="6">
        <v>-3254.47</v>
      </c>
      <c r="M558" s="4">
        <v>1</v>
      </c>
      <c r="N558" s="4">
        <v>200</v>
      </c>
      <c r="O558" s="11"/>
      <c r="P558" s="11"/>
      <c r="Q558" s="11"/>
    </row>
    <row r="559" spans="1:17" x14ac:dyDescent="0.25">
      <c r="A559" s="8">
        <v>45729</v>
      </c>
      <c r="B559" s="3">
        <v>9321</v>
      </c>
      <c r="C559" s="3">
        <v>261800</v>
      </c>
      <c r="D559" s="3" t="s">
        <v>1082</v>
      </c>
      <c r="E559" s="3">
        <v>23569</v>
      </c>
      <c r="F559" s="3" t="s">
        <v>1086</v>
      </c>
      <c r="G559" s="3" t="s">
        <v>108</v>
      </c>
      <c r="H559" s="3" t="s">
        <v>1087</v>
      </c>
      <c r="I559" s="3" t="s">
        <v>1088</v>
      </c>
      <c r="J559" s="3" t="s">
        <v>86</v>
      </c>
      <c r="K559" s="6">
        <v>6424.27</v>
      </c>
      <c r="L559" s="6">
        <v>3508.28</v>
      </c>
      <c r="M559" s="4">
        <v>1</v>
      </c>
      <c r="N559" s="4">
        <v>631.49</v>
      </c>
      <c r="O559" s="11"/>
      <c r="P559" s="11"/>
      <c r="Q559" s="11"/>
    </row>
    <row r="560" spans="1:17" x14ac:dyDescent="0.25">
      <c r="A560" s="8">
        <v>45747</v>
      </c>
      <c r="B560" s="3">
        <v>9761</v>
      </c>
      <c r="C560" s="3">
        <v>261800</v>
      </c>
      <c r="D560" s="3" t="s">
        <v>1082</v>
      </c>
      <c r="E560" s="3">
        <v>24276</v>
      </c>
      <c r="F560" s="3" t="s">
        <v>1089</v>
      </c>
      <c r="G560" s="3" t="s">
        <v>108</v>
      </c>
      <c r="H560" s="3" t="s">
        <v>1090</v>
      </c>
      <c r="I560" s="3" t="s">
        <v>218</v>
      </c>
      <c r="J560" s="3" t="s">
        <v>86</v>
      </c>
      <c r="K560" s="6">
        <v>3199.45</v>
      </c>
      <c r="L560" s="4">
        <v>-923.86</v>
      </c>
      <c r="M560" s="4">
        <v>1</v>
      </c>
      <c r="N560" s="4">
        <v>200</v>
      </c>
      <c r="O560" s="11"/>
      <c r="P560" s="11"/>
      <c r="Q560" s="11"/>
    </row>
    <row r="561" spans="1:17" x14ac:dyDescent="0.25">
      <c r="A561" s="8">
        <v>45747</v>
      </c>
      <c r="B561" s="3">
        <v>9991</v>
      </c>
      <c r="C561" s="3">
        <v>261800</v>
      </c>
      <c r="D561" s="3" t="s">
        <v>1082</v>
      </c>
      <c r="E561" s="3">
        <v>24542</v>
      </c>
      <c r="F561" s="3" t="s">
        <v>1091</v>
      </c>
      <c r="G561" s="3" t="s">
        <v>108</v>
      </c>
      <c r="H561" s="3" t="s">
        <v>1092</v>
      </c>
      <c r="I561" s="3" t="s">
        <v>161</v>
      </c>
      <c r="J561" s="3" t="s">
        <v>86</v>
      </c>
      <c r="K561" s="4">
        <v>575</v>
      </c>
      <c r="L561" s="6">
        <v>1628.97</v>
      </c>
      <c r="M561" s="4">
        <v>0.5</v>
      </c>
      <c r="N561" s="4">
        <v>293.22000000000003</v>
      </c>
      <c r="O561" s="11"/>
      <c r="P561" s="11"/>
      <c r="Q561" s="11"/>
    </row>
    <row r="562" spans="1:17" x14ac:dyDescent="0.25">
      <c r="A562" s="8">
        <v>45747</v>
      </c>
      <c r="B562" s="3">
        <v>9833</v>
      </c>
      <c r="C562" s="3">
        <v>261800</v>
      </c>
      <c r="D562" s="3" t="s">
        <v>1082</v>
      </c>
      <c r="E562" s="3">
        <v>24363</v>
      </c>
      <c r="F562" s="3" t="s">
        <v>1093</v>
      </c>
      <c r="G562" s="3" t="s">
        <v>125</v>
      </c>
      <c r="H562" s="3" t="s">
        <v>407</v>
      </c>
      <c r="I562" s="3" t="s">
        <v>408</v>
      </c>
      <c r="J562" s="3" t="s">
        <v>86</v>
      </c>
      <c r="K562" s="4">
        <v>0</v>
      </c>
      <c r="L562" s="6">
        <v>1153.46</v>
      </c>
      <c r="M562" s="4">
        <v>1</v>
      </c>
      <c r="N562" s="4">
        <v>207.62</v>
      </c>
      <c r="O562" s="11"/>
      <c r="P562" s="11"/>
      <c r="Q562" s="11"/>
    </row>
    <row r="563" spans="1:17" x14ac:dyDescent="0.25">
      <c r="A563" s="8">
        <v>45747</v>
      </c>
      <c r="B563" s="3">
        <v>9833</v>
      </c>
      <c r="C563" s="3">
        <v>261800</v>
      </c>
      <c r="D563" s="3" t="s">
        <v>1082</v>
      </c>
      <c r="E563" s="3">
        <v>24363</v>
      </c>
      <c r="F563" s="3" t="s">
        <v>1093</v>
      </c>
      <c r="G563" s="3" t="s">
        <v>125</v>
      </c>
      <c r="H563" s="3" t="s">
        <v>1094</v>
      </c>
      <c r="I563" s="3" t="s">
        <v>1095</v>
      </c>
      <c r="J563" s="3" t="s">
        <v>86</v>
      </c>
      <c r="K563" s="5"/>
      <c r="L563" s="5"/>
      <c r="M563" s="5"/>
      <c r="N563" s="5"/>
      <c r="O563" s="11"/>
      <c r="P563" s="11"/>
      <c r="Q563" s="11"/>
    </row>
    <row r="564" spans="1:17" x14ac:dyDescent="0.25">
      <c r="A564" s="8">
        <v>45729</v>
      </c>
      <c r="B564" s="3">
        <v>9422</v>
      </c>
      <c r="C564" s="3">
        <v>267623</v>
      </c>
      <c r="D564" s="3" t="s">
        <v>38</v>
      </c>
      <c r="E564" s="3">
        <v>23734</v>
      </c>
      <c r="F564" s="3" t="s">
        <v>1096</v>
      </c>
      <c r="G564" s="3" t="s">
        <v>56</v>
      </c>
      <c r="H564" s="3">
        <v>5211059</v>
      </c>
      <c r="I564" s="3" t="s">
        <v>519</v>
      </c>
      <c r="J564" s="3" t="s">
        <v>59</v>
      </c>
      <c r="K564" s="4">
        <v>217.5</v>
      </c>
      <c r="L564" s="6">
        <v>-1537.08</v>
      </c>
      <c r="M564" s="4">
        <v>1</v>
      </c>
      <c r="N564" s="4">
        <v>200</v>
      </c>
      <c r="O564" s="11"/>
      <c r="P564" s="11"/>
      <c r="Q564" s="11"/>
    </row>
    <row r="565" spans="1:17" x14ac:dyDescent="0.25">
      <c r="A565" s="8">
        <v>45734</v>
      </c>
      <c r="B565" s="3">
        <v>9424</v>
      </c>
      <c r="C565" s="3">
        <v>267623</v>
      </c>
      <c r="D565" s="3" t="s">
        <v>38</v>
      </c>
      <c r="E565" s="3">
        <v>273221</v>
      </c>
      <c r="F565" s="3" t="s">
        <v>1097</v>
      </c>
      <c r="G565" s="3" t="s">
        <v>56</v>
      </c>
      <c r="H565" s="3" t="s">
        <v>1098</v>
      </c>
      <c r="I565" s="3" t="s">
        <v>71</v>
      </c>
      <c r="J565" s="3" t="s">
        <v>59</v>
      </c>
      <c r="K565" s="4">
        <v>490</v>
      </c>
      <c r="L565" s="6">
        <v>-4446.9799999999996</v>
      </c>
      <c r="M565" s="4">
        <v>1</v>
      </c>
      <c r="N565" s="4">
        <v>200</v>
      </c>
      <c r="O565" s="11"/>
      <c r="P565" s="11"/>
      <c r="Q565" s="11"/>
    </row>
    <row r="566" spans="1:17" x14ac:dyDescent="0.25">
      <c r="A566" s="8">
        <v>45734</v>
      </c>
      <c r="B566" s="3">
        <v>9424</v>
      </c>
      <c r="C566" s="3">
        <v>267623</v>
      </c>
      <c r="D566" s="3" t="s">
        <v>38</v>
      </c>
      <c r="E566" s="3">
        <v>273221</v>
      </c>
      <c r="F566" s="3" t="s">
        <v>1097</v>
      </c>
      <c r="G566" s="3" t="s">
        <v>56</v>
      </c>
      <c r="H566" s="3" t="s">
        <v>1090</v>
      </c>
      <c r="I566" s="3" t="s">
        <v>218</v>
      </c>
      <c r="J566" s="3" t="s">
        <v>59</v>
      </c>
      <c r="K566" s="5"/>
      <c r="L566" s="5"/>
      <c r="M566" s="5"/>
      <c r="N566" s="5"/>
      <c r="O566" s="11"/>
      <c r="P566" s="11"/>
      <c r="Q566" s="11"/>
    </row>
    <row r="567" spans="1:17" x14ac:dyDescent="0.25">
      <c r="A567" s="8">
        <v>45735</v>
      </c>
      <c r="B567" s="3">
        <v>9607</v>
      </c>
      <c r="C567" s="3">
        <v>267623</v>
      </c>
      <c r="D567" s="3" t="s">
        <v>38</v>
      </c>
      <c r="E567" s="3">
        <v>24039</v>
      </c>
      <c r="F567" s="3" t="s">
        <v>1099</v>
      </c>
      <c r="G567" s="3" t="s">
        <v>56</v>
      </c>
      <c r="H567" s="3" t="s">
        <v>1100</v>
      </c>
      <c r="I567" s="3" t="s">
        <v>101</v>
      </c>
      <c r="J567" s="3" t="s">
        <v>59</v>
      </c>
      <c r="K567" s="4">
        <v>0</v>
      </c>
      <c r="L567" s="4">
        <v>0</v>
      </c>
      <c r="M567" s="4">
        <v>0</v>
      </c>
      <c r="N567" s="4">
        <v>0</v>
      </c>
      <c r="O567" s="11"/>
      <c r="P567" s="11"/>
      <c r="Q567" s="11"/>
    </row>
    <row r="568" spans="1:17" x14ac:dyDescent="0.25">
      <c r="A568" s="8">
        <v>45735</v>
      </c>
      <c r="B568" s="3">
        <v>9607</v>
      </c>
      <c r="C568" s="3">
        <v>267623</v>
      </c>
      <c r="D568" s="3" t="s">
        <v>38</v>
      </c>
      <c r="E568" s="3">
        <v>24039</v>
      </c>
      <c r="F568" s="3" t="s">
        <v>1099</v>
      </c>
      <c r="G568" s="3" t="s">
        <v>56</v>
      </c>
      <c r="H568" s="3" t="s">
        <v>1101</v>
      </c>
      <c r="I568" s="3" t="s">
        <v>1102</v>
      </c>
      <c r="J568" s="3" t="s">
        <v>59</v>
      </c>
      <c r="K568" s="5"/>
      <c r="L568" s="5"/>
      <c r="M568" s="5"/>
      <c r="N568" s="5"/>
      <c r="O568" s="11"/>
      <c r="P568" s="11"/>
      <c r="Q568" s="11"/>
    </row>
    <row r="569" spans="1:17" x14ac:dyDescent="0.25">
      <c r="A569" s="8">
        <v>45735</v>
      </c>
      <c r="B569" s="3" t="s">
        <v>1103</v>
      </c>
      <c r="C569" s="3">
        <v>267623</v>
      </c>
      <c r="D569" s="3" t="s">
        <v>38</v>
      </c>
      <c r="E569" s="3">
        <v>24039</v>
      </c>
      <c r="F569" s="3" t="s">
        <v>1099</v>
      </c>
      <c r="G569" s="3" t="s">
        <v>56</v>
      </c>
      <c r="H569" s="3" t="s">
        <v>1100</v>
      </c>
      <c r="I569" s="3" t="s">
        <v>101</v>
      </c>
      <c r="J569" s="3" t="s">
        <v>59</v>
      </c>
      <c r="K569" s="6">
        <v>2616.21</v>
      </c>
      <c r="L569" s="4">
        <v>-990</v>
      </c>
      <c r="M569" s="4">
        <v>1</v>
      </c>
      <c r="N569" s="4">
        <v>200</v>
      </c>
      <c r="O569" s="11"/>
      <c r="P569" s="11"/>
      <c r="Q569" s="11"/>
    </row>
    <row r="570" spans="1:17" x14ac:dyDescent="0.25">
      <c r="A570" s="8">
        <v>45735</v>
      </c>
      <c r="B570" s="3" t="s">
        <v>1103</v>
      </c>
      <c r="C570" s="3">
        <v>267623</v>
      </c>
      <c r="D570" s="3" t="s">
        <v>38</v>
      </c>
      <c r="E570" s="3">
        <v>24039</v>
      </c>
      <c r="F570" s="3" t="s">
        <v>1099</v>
      </c>
      <c r="G570" s="3" t="s">
        <v>56</v>
      </c>
      <c r="H570" s="3" t="s">
        <v>1101</v>
      </c>
      <c r="I570" s="3" t="s">
        <v>1102</v>
      </c>
      <c r="J570" s="3" t="s">
        <v>59</v>
      </c>
      <c r="K570" s="5"/>
      <c r="L570" s="5"/>
      <c r="M570" s="5"/>
      <c r="N570" s="5"/>
      <c r="O570" s="11"/>
      <c r="P570" s="11"/>
      <c r="Q570" s="11"/>
    </row>
    <row r="571" spans="1:17" x14ac:dyDescent="0.25">
      <c r="A571" s="8">
        <v>45741</v>
      </c>
      <c r="B571" s="3">
        <v>9533</v>
      </c>
      <c r="C571" s="3">
        <v>267623</v>
      </c>
      <c r="D571" s="3" t="s">
        <v>38</v>
      </c>
      <c r="E571" s="3">
        <v>274898</v>
      </c>
      <c r="F571" s="3" t="s">
        <v>1104</v>
      </c>
      <c r="G571" s="3" t="s">
        <v>83</v>
      </c>
      <c r="H571" s="12" t="s">
        <v>1105</v>
      </c>
      <c r="I571" s="3" t="s">
        <v>572</v>
      </c>
      <c r="J571" s="3" t="s">
        <v>86</v>
      </c>
      <c r="K571" s="4">
        <v>0</v>
      </c>
      <c r="L571" s="4">
        <v>750</v>
      </c>
      <c r="M571" s="4">
        <v>1</v>
      </c>
      <c r="N571" s="4">
        <v>200</v>
      </c>
      <c r="O571" s="11"/>
      <c r="P571" s="11"/>
      <c r="Q571" s="11"/>
    </row>
    <row r="572" spans="1:17" x14ac:dyDescent="0.25">
      <c r="A572" s="8">
        <v>45743</v>
      </c>
      <c r="B572" s="3">
        <v>8453</v>
      </c>
      <c r="C572" s="3">
        <v>267623</v>
      </c>
      <c r="D572" s="3" t="s">
        <v>38</v>
      </c>
      <c r="E572" s="3">
        <v>202027</v>
      </c>
      <c r="F572" s="3" t="s">
        <v>1106</v>
      </c>
      <c r="G572" s="3" t="s">
        <v>56</v>
      </c>
      <c r="H572" s="3" t="s">
        <v>1107</v>
      </c>
      <c r="I572" s="3" t="s">
        <v>1108</v>
      </c>
      <c r="J572" s="3" t="s">
        <v>59</v>
      </c>
      <c r="K572" s="6">
        <v>2049.96</v>
      </c>
      <c r="L572" s="6">
        <v>-1247.17</v>
      </c>
      <c r="M572" s="4">
        <v>1</v>
      </c>
      <c r="N572" s="4">
        <v>200</v>
      </c>
      <c r="O572" s="11"/>
      <c r="P572" s="11"/>
      <c r="Q572" s="11"/>
    </row>
    <row r="573" spans="1:17" x14ac:dyDescent="0.25">
      <c r="A573" s="8">
        <v>45743</v>
      </c>
      <c r="B573" s="3">
        <v>8453</v>
      </c>
      <c r="C573" s="3">
        <v>267623</v>
      </c>
      <c r="D573" s="3" t="s">
        <v>38</v>
      </c>
      <c r="E573" s="3">
        <v>202027</v>
      </c>
      <c r="F573" s="3" t="s">
        <v>1106</v>
      </c>
      <c r="G573" s="3" t="s">
        <v>56</v>
      </c>
      <c r="H573" s="3" t="s">
        <v>1109</v>
      </c>
      <c r="I573" s="3" t="s">
        <v>948</v>
      </c>
      <c r="J573" s="3" t="s">
        <v>59</v>
      </c>
      <c r="K573" s="5"/>
      <c r="L573" s="5"/>
      <c r="M573" s="5"/>
      <c r="N573" s="5"/>
      <c r="O573" s="11"/>
      <c r="P573" s="11"/>
      <c r="Q573" s="11"/>
    </row>
    <row r="574" spans="1:17" x14ac:dyDescent="0.25">
      <c r="A574" s="8">
        <v>45747</v>
      </c>
      <c r="B574" s="3">
        <v>9917</v>
      </c>
      <c r="C574" s="3">
        <v>267623</v>
      </c>
      <c r="D574" s="3" t="s">
        <v>38</v>
      </c>
      <c r="E574" s="3">
        <v>24466</v>
      </c>
      <c r="F574" s="3" t="s">
        <v>1110</v>
      </c>
      <c r="G574" s="3" t="s">
        <v>69</v>
      </c>
      <c r="H574" s="3" t="s">
        <v>1111</v>
      </c>
      <c r="I574" s="3" t="s">
        <v>71</v>
      </c>
      <c r="J574" s="3" t="s">
        <v>59</v>
      </c>
      <c r="K574" s="6">
        <v>6318.45</v>
      </c>
      <c r="L574" s="6">
        <v>2819.28</v>
      </c>
      <c r="M574" s="4">
        <v>1</v>
      </c>
      <c r="N574" s="4">
        <v>507.47</v>
      </c>
      <c r="O574" s="11"/>
      <c r="P574" s="11"/>
      <c r="Q574" s="11"/>
    </row>
    <row r="575" spans="1:17" x14ac:dyDescent="0.25">
      <c r="A575" s="8">
        <v>45747</v>
      </c>
      <c r="B575" s="3">
        <v>9917</v>
      </c>
      <c r="C575" s="3">
        <v>267623</v>
      </c>
      <c r="D575" s="3" t="s">
        <v>38</v>
      </c>
      <c r="E575" s="3">
        <v>24466</v>
      </c>
      <c r="F575" s="3" t="s">
        <v>1110</v>
      </c>
      <c r="G575" s="3" t="s">
        <v>69</v>
      </c>
      <c r="H575" s="3" t="s">
        <v>1112</v>
      </c>
      <c r="I575" s="3" t="s">
        <v>1113</v>
      </c>
      <c r="J575" s="3" t="s">
        <v>59</v>
      </c>
      <c r="K575" s="5"/>
      <c r="L575" s="5"/>
      <c r="M575" s="5"/>
      <c r="N575" s="5"/>
      <c r="O575" s="11"/>
      <c r="P575" s="11"/>
      <c r="Q575" s="11"/>
    </row>
    <row r="576" spans="1:17" x14ac:dyDescent="0.25">
      <c r="A576" s="8">
        <v>45747</v>
      </c>
      <c r="B576" s="3">
        <v>9972</v>
      </c>
      <c r="C576" s="3">
        <v>267623</v>
      </c>
      <c r="D576" s="3" t="s">
        <v>38</v>
      </c>
      <c r="E576" s="3">
        <v>292531</v>
      </c>
      <c r="F576" s="3" t="s">
        <v>1114</v>
      </c>
      <c r="G576" s="3" t="s">
        <v>69</v>
      </c>
      <c r="H576" s="3">
        <v>5266006</v>
      </c>
      <c r="I576" s="3" t="s">
        <v>519</v>
      </c>
      <c r="J576" s="3" t="s">
        <v>59</v>
      </c>
      <c r="K576" s="6">
        <v>4522.5</v>
      </c>
      <c r="L576" s="6">
        <v>2251</v>
      </c>
      <c r="M576" s="4">
        <v>1</v>
      </c>
      <c r="N576" s="4">
        <v>405.18</v>
      </c>
      <c r="O576" s="11"/>
      <c r="P576" s="11"/>
      <c r="Q576" s="11"/>
    </row>
    <row r="577" spans="1:17" x14ac:dyDescent="0.25">
      <c r="A577" s="8">
        <v>45747</v>
      </c>
      <c r="B577" s="3">
        <v>9964</v>
      </c>
      <c r="C577" s="3">
        <v>267623</v>
      </c>
      <c r="D577" s="3" t="s">
        <v>38</v>
      </c>
      <c r="E577" s="3">
        <v>24519</v>
      </c>
      <c r="F577" s="3" t="s">
        <v>1115</v>
      </c>
      <c r="G577" s="3" t="s">
        <v>56</v>
      </c>
      <c r="H577" s="3" t="s">
        <v>1116</v>
      </c>
      <c r="I577" s="3" t="s">
        <v>369</v>
      </c>
      <c r="J577" s="3" t="s">
        <v>59</v>
      </c>
      <c r="K577" s="6">
        <v>1034.98</v>
      </c>
      <c r="L577" s="4">
        <v>364.18</v>
      </c>
      <c r="M577" s="4">
        <v>1</v>
      </c>
      <c r="N577" s="4">
        <v>200</v>
      </c>
      <c r="O577" s="11"/>
      <c r="P577" s="11"/>
      <c r="Q577" s="11"/>
    </row>
    <row r="578" spans="1:17" x14ac:dyDescent="0.25">
      <c r="A578" s="8">
        <v>45721</v>
      </c>
      <c r="B578" s="3">
        <v>9325</v>
      </c>
      <c r="C578" s="3">
        <v>271828</v>
      </c>
      <c r="D578" s="3" t="s">
        <v>39</v>
      </c>
      <c r="E578" s="3">
        <v>267026</v>
      </c>
      <c r="F578" s="3" t="s">
        <v>216</v>
      </c>
      <c r="G578" s="3" t="s">
        <v>108</v>
      </c>
      <c r="H578" s="3" t="s">
        <v>217</v>
      </c>
      <c r="I578" s="3" t="s">
        <v>218</v>
      </c>
      <c r="J578" s="3" t="s">
        <v>86</v>
      </c>
      <c r="K578" s="6">
        <v>4659.16</v>
      </c>
      <c r="L578" s="4">
        <v>-597.78</v>
      </c>
      <c r="M578" s="4">
        <v>0.5</v>
      </c>
      <c r="N578" s="4">
        <v>100</v>
      </c>
      <c r="O578" s="11"/>
      <c r="P578" s="11"/>
      <c r="Q578" s="11"/>
    </row>
    <row r="579" spans="1:17" x14ac:dyDescent="0.25">
      <c r="A579" s="8">
        <v>45727</v>
      </c>
      <c r="B579" s="3">
        <v>9433</v>
      </c>
      <c r="C579" s="3">
        <v>271828</v>
      </c>
      <c r="D579" s="3" t="s">
        <v>39</v>
      </c>
      <c r="E579" s="3">
        <v>23750</v>
      </c>
      <c r="F579" s="3" t="s">
        <v>902</v>
      </c>
      <c r="G579" s="3" t="s">
        <v>108</v>
      </c>
      <c r="H579" s="3" t="s">
        <v>903</v>
      </c>
      <c r="I579" s="3" t="s">
        <v>753</v>
      </c>
      <c r="J579" s="3" t="s">
        <v>86</v>
      </c>
      <c r="K579" s="4">
        <v>0</v>
      </c>
      <c r="L579" s="4">
        <v>0</v>
      </c>
      <c r="M579" s="4">
        <v>0</v>
      </c>
      <c r="N579" s="4">
        <v>0</v>
      </c>
      <c r="O579" s="11"/>
      <c r="P579" s="11"/>
      <c r="Q579" s="11"/>
    </row>
    <row r="580" spans="1:17" x14ac:dyDescent="0.25">
      <c r="A580" s="8">
        <v>45729</v>
      </c>
      <c r="B580" s="3">
        <v>9360</v>
      </c>
      <c r="C580" s="3">
        <v>271828</v>
      </c>
      <c r="D580" s="3" t="s">
        <v>39</v>
      </c>
      <c r="E580" s="3">
        <v>23633</v>
      </c>
      <c r="F580" s="3" t="s">
        <v>1117</v>
      </c>
      <c r="G580" s="3" t="s">
        <v>83</v>
      </c>
      <c r="H580" s="12" t="s">
        <v>1118</v>
      </c>
      <c r="I580" s="3" t="s">
        <v>1119</v>
      </c>
      <c r="J580" s="3" t="s">
        <v>86</v>
      </c>
      <c r="K580" s="6">
        <v>5011.76</v>
      </c>
      <c r="L580" s="4">
        <v>750</v>
      </c>
      <c r="M580" s="4">
        <v>1</v>
      </c>
      <c r="N580" s="4">
        <v>200</v>
      </c>
      <c r="O580" s="11"/>
      <c r="P580" s="11"/>
      <c r="Q580" s="11"/>
    </row>
    <row r="581" spans="1:17" x14ac:dyDescent="0.25">
      <c r="A581" s="8">
        <v>45730</v>
      </c>
      <c r="B581" s="3">
        <v>9509</v>
      </c>
      <c r="C581" s="3">
        <v>271828</v>
      </c>
      <c r="D581" s="3" t="s">
        <v>39</v>
      </c>
      <c r="E581" s="3">
        <v>23900</v>
      </c>
      <c r="F581" s="3" t="s">
        <v>549</v>
      </c>
      <c r="G581" s="3" t="s">
        <v>550</v>
      </c>
      <c r="H581" s="12" t="s">
        <v>551</v>
      </c>
      <c r="I581" s="3" t="s">
        <v>552</v>
      </c>
      <c r="J581" s="3" t="s">
        <v>86</v>
      </c>
      <c r="K581" s="4">
        <v>0</v>
      </c>
      <c r="L581" s="4">
        <v>0</v>
      </c>
      <c r="M581" s="4">
        <v>0</v>
      </c>
      <c r="N581" s="4">
        <v>0</v>
      </c>
      <c r="O581" s="11"/>
      <c r="P581" s="11"/>
      <c r="Q581" s="11"/>
    </row>
    <row r="582" spans="1:17" x14ac:dyDescent="0.25">
      <c r="A582" s="8">
        <v>45730</v>
      </c>
      <c r="B582" s="3">
        <v>9444</v>
      </c>
      <c r="C582" s="3">
        <v>271828</v>
      </c>
      <c r="D582" s="3" t="s">
        <v>39</v>
      </c>
      <c r="E582" s="3">
        <v>21981</v>
      </c>
      <c r="F582" s="3" t="s">
        <v>343</v>
      </c>
      <c r="G582" s="3" t="s">
        <v>69</v>
      </c>
      <c r="H582" s="3" t="s">
        <v>344</v>
      </c>
      <c r="I582" s="3" t="s">
        <v>345</v>
      </c>
      <c r="J582" s="3" t="s">
        <v>59</v>
      </c>
      <c r="K582" s="4">
        <v>0</v>
      </c>
      <c r="L582" s="6">
        <v>6356.62</v>
      </c>
      <c r="M582" s="4">
        <v>0.5</v>
      </c>
      <c r="N582" s="6">
        <v>1144.19</v>
      </c>
      <c r="O582" s="11"/>
      <c r="P582" s="11"/>
      <c r="Q582" s="11"/>
    </row>
    <row r="583" spans="1:17" x14ac:dyDescent="0.25">
      <c r="A583" s="8">
        <v>45730</v>
      </c>
      <c r="B583" s="3">
        <v>9444</v>
      </c>
      <c r="C583" s="3">
        <v>271828</v>
      </c>
      <c r="D583" s="3" t="s">
        <v>39</v>
      </c>
      <c r="E583" s="3">
        <v>21981</v>
      </c>
      <c r="F583" s="3" t="s">
        <v>343</v>
      </c>
      <c r="G583" s="3" t="s">
        <v>69</v>
      </c>
      <c r="H583" s="3" t="s">
        <v>346</v>
      </c>
      <c r="I583" s="3" t="s">
        <v>347</v>
      </c>
      <c r="J583" s="3" t="s">
        <v>59</v>
      </c>
      <c r="K583" s="5"/>
      <c r="L583" s="5"/>
      <c r="M583" s="5"/>
      <c r="N583" s="5"/>
      <c r="O583" s="11"/>
      <c r="P583" s="11"/>
      <c r="Q583" s="11"/>
    </row>
    <row r="584" spans="1:17" x14ac:dyDescent="0.25">
      <c r="A584" s="8">
        <v>45730</v>
      </c>
      <c r="B584" s="3">
        <v>9492</v>
      </c>
      <c r="C584" s="3">
        <v>271828</v>
      </c>
      <c r="D584" s="3" t="s">
        <v>39</v>
      </c>
      <c r="E584" s="3">
        <v>23838</v>
      </c>
      <c r="F584" s="3" t="s">
        <v>1120</v>
      </c>
      <c r="G584" s="3" t="s">
        <v>56</v>
      </c>
      <c r="H584" s="3" t="s">
        <v>1121</v>
      </c>
      <c r="I584" s="3" t="s">
        <v>248</v>
      </c>
      <c r="J584" s="3" t="s">
        <v>59</v>
      </c>
      <c r="K584" s="4">
        <v>262</v>
      </c>
      <c r="L584" s="6">
        <v>-2339.79</v>
      </c>
      <c r="M584" s="4">
        <v>1</v>
      </c>
      <c r="N584" s="4">
        <v>200</v>
      </c>
      <c r="O584" s="11"/>
      <c r="P584" s="11"/>
      <c r="Q584" s="11"/>
    </row>
    <row r="585" spans="1:17" x14ac:dyDescent="0.25">
      <c r="A585" s="8">
        <v>45733</v>
      </c>
      <c r="B585" s="3">
        <v>9476</v>
      </c>
      <c r="C585" s="3">
        <v>271828</v>
      </c>
      <c r="D585" s="3" t="s">
        <v>39</v>
      </c>
      <c r="E585" s="3">
        <v>23820</v>
      </c>
      <c r="F585" s="3" t="s">
        <v>1122</v>
      </c>
      <c r="G585" s="3" t="s">
        <v>108</v>
      </c>
      <c r="H585" s="3" t="s">
        <v>1123</v>
      </c>
      <c r="I585" s="3" t="s">
        <v>599</v>
      </c>
      <c r="J585" s="3" t="s">
        <v>86</v>
      </c>
      <c r="K585" s="6">
        <v>9994.66</v>
      </c>
      <c r="L585" s="4">
        <v>259.18</v>
      </c>
      <c r="M585" s="4">
        <v>1</v>
      </c>
      <c r="N585" s="4">
        <v>200</v>
      </c>
      <c r="O585" s="11"/>
      <c r="P585" s="11"/>
      <c r="Q585" s="11"/>
    </row>
    <row r="586" spans="1:17" x14ac:dyDescent="0.25">
      <c r="A586" s="8">
        <v>45733</v>
      </c>
      <c r="B586" s="3">
        <v>9476</v>
      </c>
      <c r="C586" s="3">
        <v>271828</v>
      </c>
      <c r="D586" s="3" t="s">
        <v>39</v>
      </c>
      <c r="E586" s="3">
        <v>23820</v>
      </c>
      <c r="F586" s="3" t="s">
        <v>1122</v>
      </c>
      <c r="G586" s="3" t="s">
        <v>108</v>
      </c>
      <c r="H586" s="3" t="s">
        <v>1124</v>
      </c>
      <c r="I586" s="3" t="s">
        <v>1125</v>
      </c>
      <c r="J586" s="3" t="s">
        <v>86</v>
      </c>
      <c r="K586" s="5"/>
      <c r="L586" s="5"/>
      <c r="M586" s="5"/>
      <c r="N586" s="5"/>
      <c r="O586" s="11"/>
      <c r="P586" s="11"/>
      <c r="Q586" s="11"/>
    </row>
    <row r="587" spans="1:17" x14ac:dyDescent="0.25">
      <c r="A587" s="8">
        <v>45741</v>
      </c>
      <c r="B587" s="3">
        <v>9567</v>
      </c>
      <c r="C587" s="3">
        <v>271828</v>
      </c>
      <c r="D587" s="3" t="s">
        <v>39</v>
      </c>
      <c r="E587" s="3">
        <v>23998</v>
      </c>
      <c r="F587" s="3" t="s">
        <v>590</v>
      </c>
      <c r="G587" s="3" t="s">
        <v>108</v>
      </c>
      <c r="H587" s="3" t="s">
        <v>591</v>
      </c>
      <c r="I587" s="3" t="s">
        <v>572</v>
      </c>
      <c r="J587" s="3" t="s">
        <v>86</v>
      </c>
      <c r="K587" s="6">
        <v>1553.22</v>
      </c>
      <c r="L587" s="4">
        <v>-42.28</v>
      </c>
      <c r="M587" s="4">
        <v>0.5</v>
      </c>
      <c r="N587" s="4">
        <v>100</v>
      </c>
      <c r="O587" s="11"/>
      <c r="P587" s="11"/>
      <c r="Q587" s="11"/>
    </row>
    <row r="588" spans="1:17" x14ac:dyDescent="0.25">
      <c r="A588" s="8">
        <v>45741</v>
      </c>
      <c r="B588" s="3">
        <v>9567</v>
      </c>
      <c r="C588" s="3">
        <v>271828</v>
      </c>
      <c r="D588" s="3" t="s">
        <v>39</v>
      </c>
      <c r="E588" s="3">
        <v>23998</v>
      </c>
      <c r="F588" s="3" t="s">
        <v>590</v>
      </c>
      <c r="G588" s="3" t="s">
        <v>108</v>
      </c>
      <c r="H588" s="3" t="s">
        <v>592</v>
      </c>
      <c r="I588" s="3" t="s">
        <v>593</v>
      </c>
      <c r="J588" s="3" t="s">
        <v>86</v>
      </c>
      <c r="K588" s="5"/>
      <c r="L588" s="5"/>
      <c r="M588" s="5"/>
      <c r="N588" s="5"/>
      <c r="O588" s="11"/>
      <c r="P588" s="11"/>
      <c r="Q588" s="11"/>
    </row>
    <row r="589" spans="1:17" x14ac:dyDescent="0.25">
      <c r="A589" s="8">
        <v>45742</v>
      </c>
      <c r="B589" s="3">
        <v>9671</v>
      </c>
      <c r="C589" s="3">
        <v>271828</v>
      </c>
      <c r="D589" s="3" t="s">
        <v>39</v>
      </c>
      <c r="E589" s="3">
        <v>24169</v>
      </c>
      <c r="F589" s="3" t="s">
        <v>1126</v>
      </c>
      <c r="G589" s="3" t="s">
        <v>125</v>
      </c>
      <c r="H589" s="3" t="s">
        <v>1127</v>
      </c>
      <c r="I589" s="3" t="s">
        <v>1128</v>
      </c>
      <c r="J589" s="3" t="s">
        <v>86</v>
      </c>
      <c r="K589" s="6">
        <v>4867.28</v>
      </c>
      <c r="L589" s="6">
        <v>-3155.47</v>
      </c>
      <c r="M589" s="4">
        <v>1</v>
      </c>
      <c r="N589" s="4">
        <v>200</v>
      </c>
      <c r="O589" s="11"/>
      <c r="P589" s="11"/>
      <c r="Q589" s="11"/>
    </row>
    <row r="590" spans="1:17" x14ac:dyDescent="0.25">
      <c r="A590" s="8">
        <v>45743</v>
      </c>
      <c r="B590" s="3">
        <v>9707</v>
      </c>
      <c r="C590" s="3">
        <v>271828</v>
      </c>
      <c r="D590" s="3" t="s">
        <v>39</v>
      </c>
      <c r="E590" s="3">
        <v>279960</v>
      </c>
      <c r="F590" s="3" t="s">
        <v>1129</v>
      </c>
      <c r="G590" s="3" t="s">
        <v>83</v>
      </c>
      <c r="H590" s="12" t="s">
        <v>1130</v>
      </c>
      <c r="I590" s="3" t="s">
        <v>1131</v>
      </c>
      <c r="J590" s="3" t="s">
        <v>86</v>
      </c>
      <c r="K590" s="4">
        <v>0</v>
      </c>
      <c r="L590" s="4">
        <v>750</v>
      </c>
      <c r="M590" s="4">
        <v>1</v>
      </c>
      <c r="N590" s="4">
        <v>200</v>
      </c>
      <c r="O590" s="11"/>
      <c r="P590" s="11"/>
      <c r="Q590" s="11"/>
    </row>
    <row r="591" spans="1:17" x14ac:dyDescent="0.25">
      <c r="A591" s="8">
        <v>45744</v>
      </c>
      <c r="B591" s="3">
        <v>9678</v>
      </c>
      <c r="C591" s="3">
        <v>271828</v>
      </c>
      <c r="D591" s="3" t="s">
        <v>39</v>
      </c>
      <c r="E591" s="3">
        <v>278398</v>
      </c>
      <c r="F591" s="3" t="s">
        <v>1132</v>
      </c>
      <c r="G591" s="3" t="s">
        <v>56</v>
      </c>
      <c r="H591" s="3" t="s">
        <v>1133</v>
      </c>
      <c r="I591" s="3" t="s">
        <v>173</v>
      </c>
      <c r="J591" s="3" t="s">
        <v>59</v>
      </c>
      <c r="K591" s="6">
        <v>3549.42</v>
      </c>
      <c r="L591" s="6">
        <v>1100</v>
      </c>
      <c r="M591" s="4">
        <v>1</v>
      </c>
      <c r="N591" s="4">
        <v>200</v>
      </c>
      <c r="O591" s="11"/>
      <c r="P591" s="11"/>
      <c r="Q591" s="11"/>
    </row>
    <row r="592" spans="1:17" x14ac:dyDescent="0.25">
      <c r="A592" s="8">
        <v>45744</v>
      </c>
      <c r="B592" s="3">
        <v>9678</v>
      </c>
      <c r="C592" s="3">
        <v>271828</v>
      </c>
      <c r="D592" s="3" t="s">
        <v>39</v>
      </c>
      <c r="E592" s="3">
        <v>278398</v>
      </c>
      <c r="F592" s="3" t="s">
        <v>1132</v>
      </c>
      <c r="G592" s="3" t="s">
        <v>56</v>
      </c>
      <c r="H592" s="3" t="s">
        <v>1134</v>
      </c>
      <c r="I592" s="3" t="s">
        <v>677</v>
      </c>
      <c r="J592" s="3" t="s">
        <v>59</v>
      </c>
      <c r="K592" s="5"/>
      <c r="L592" s="5"/>
      <c r="M592" s="5"/>
      <c r="N592" s="5"/>
      <c r="O592" s="11"/>
      <c r="P592" s="11"/>
      <c r="Q592" s="11"/>
    </row>
    <row r="593" spans="1:17" x14ac:dyDescent="0.25">
      <c r="A593" s="8">
        <v>45744</v>
      </c>
      <c r="B593" s="3">
        <v>9631</v>
      </c>
      <c r="C593" s="3">
        <v>271828</v>
      </c>
      <c r="D593" s="3" t="s">
        <v>39</v>
      </c>
      <c r="E593" s="3">
        <v>24087</v>
      </c>
      <c r="F593" s="3" t="s">
        <v>1135</v>
      </c>
      <c r="G593" s="3" t="s">
        <v>108</v>
      </c>
      <c r="H593" s="3" t="s">
        <v>1136</v>
      </c>
      <c r="I593" s="3" t="s">
        <v>1137</v>
      </c>
      <c r="J593" s="3" t="s">
        <v>86</v>
      </c>
      <c r="K593" s="6">
        <v>1590.85</v>
      </c>
      <c r="L593" s="4">
        <v>-28.53</v>
      </c>
      <c r="M593" s="4">
        <v>0.5</v>
      </c>
      <c r="N593" s="4">
        <v>100</v>
      </c>
      <c r="O593" s="11"/>
      <c r="P593" s="11"/>
      <c r="Q593" s="11"/>
    </row>
    <row r="594" spans="1:17" x14ac:dyDescent="0.25">
      <c r="A594" s="8">
        <v>45747</v>
      </c>
      <c r="B594" s="3">
        <v>9745</v>
      </c>
      <c r="C594" s="3">
        <v>271828</v>
      </c>
      <c r="D594" s="3" t="s">
        <v>39</v>
      </c>
      <c r="E594" s="3">
        <v>24263</v>
      </c>
      <c r="F594" s="3" t="s">
        <v>1138</v>
      </c>
      <c r="G594" s="3" t="s">
        <v>69</v>
      </c>
      <c r="H594" s="3" t="s">
        <v>1139</v>
      </c>
      <c r="I594" s="3" t="s">
        <v>667</v>
      </c>
      <c r="J594" s="3" t="s">
        <v>59</v>
      </c>
      <c r="K594" s="6">
        <v>3804.92</v>
      </c>
      <c r="L594" s="6">
        <v>2420</v>
      </c>
      <c r="M594" s="4">
        <v>1</v>
      </c>
      <c r="N594" s="4">
        <v>435.6</v>
      </c>
      <c r="O594" s="11"/>
      <c r="P594" s="11"/>
      <c r="Q594" s="11"/>
    </row>
    <row r="595" spans="1:17" x14ac:dyDescent="0.25">
      <c r="A595" s="8">
        <v>45747</v>
      </c>
      <c r="B595" s="3">
        <v>9865</v>
      </c>
      <c r="C595" s="3">
        <v>271828</v>
      </c>
      <c r="D595" s="3" t="s">
        <v>39</v>
      </c>
      <c r="E595" s="3">
        <v>24408</v>
      </c>
      <c r="F595" s="3" t="s">
        <v>1140</v>
      </c>
      <c r="G595" s="3" t="s">
        <v>108</v>
      </c>
      <c r="H595" s="3" t="s">
        <v>362</v>
      </c>
      <c r="I595" s="3" t="s">
        <v>347</v>
      </c>
      <c r="J595" s="3" t="s">
        <v>86</v>
      </c>
      <c r="K595" s="6">
        <v>6091.88</v>
      </c>
      <c r="L595" s="6">
        <v>-2922.14</v>
      </c>
      <c r="M595" s="4">
        <v>1</v>
      </c>
      <c r="N595" s="4">
        <v>200</v>
      </c>
      <c r="O595" s="11"/>
      <c r="P595" s="11"/>
      <c r="Q595" s="11"/>
    </row>
    <row r="596" spans="1:17" x14ac:dyDescent="0.25">
      <c r="A596" s="8">
        <v>45747</v>
      </c>
      <c r="B596" s="3">
        <v>9865</v>
      </c>
      <c r="C596" s="3">
        <v>271828</v>
      </c>
      <c r="D596" s="3" t="s">
        <v>39</v>
      </c>
      <c r="E596" s="3">
        <v>24408</v>
      </c>
      <c r="F596" s="3" t="s">
        <v>1140</v>
      </c>
      <c r="G596" s="3" t="s">
        <v>108</v>
      </c>
      <c r="H596" s="3" t="s">
        <v>1141</v>
      </c>
      <c r="I596" s="3" t="s">
        <v>1142</v>
      </c>
      <c r="J596" s="3" t="s">
        <v>86</v>
      </c>
      <c r="K596" s="5"/>
      <c r="L596" s="5"/>
      <c r="M596" s="5"/>
      <c r="N596" s="5"/>
      <c r="O596" s="11"/>
      <c r="P596" s="11"/>
      <c r="Q596" s="11"/>
    </row>
    <row r="597" spans="1:17" x14ac:dyDescent="0.25">
      <c r="A597" s="8">
        <v>45747</v>
      </c>
      <c r="B597" s="3" t="s">
        <v>940</v>
      </c>
      <c r="C597" s="3">
        <v>271828</v>
      </c>
      <c r="D597" s="3" t="s">
        <v>39</v>
      </c>
      <c r="E597" s="3">
        <v>23750</v>
      </c>
      <c r="F597" s="3" t="s">
        <v>902</v>
      </c>
      <c r="G597" s="3" t="s">
        <v>108</v>
      </c>
      <c r="H597" s="3" t="s">
        <v>903</v>
      </c>
      <c r="I597" s="3" t="s">
        <v>753</v>
      </c>
      <c r="J597" s="3" t="s">
        <v>86</v>
      </c>
      <c r="K597" s="6">
        <v>1742</v>
      </c>
      <c r="L597" s="6">
        <v>2520.85</v>
      </c>
      <c r="M597" s="4">
        <v>0.5</v>
      </c>
      <c r="N597" s="4">
        <v>453.76</v>
      </c>
      <c r="O597" s="11"/>
      <c r="P597" s="11"/>
      <c r="Q597" s="11"/>
    </row>
    <row r="598" spans="1:17" x14ac:dyDescent="0.25">
      <c r="A598" s="8">
        <v>45747</v>
      </c>
      <c r="B598" s="3">
        <v>9991</v>
      </c>
      <c r="C598" s="3">
        <v>271828</v>
      </c>
      <c r="D598" s="3" t="s">
        <v>39</v>
      </c>
      <c r="E598" s="3">
        <v>24542</v>
      </c>
      <c r="F598" s="3" t="s">
        <v>1091</v>
      </c>
      <c r="G598" s="3" t="s">
        <v>108</v>
      </c>
      <c r="H598" s="3" t="s">
        <v>1092</v>
      </c>
      <c r="I598" s="3" t="s">
        <v>161</v>
      </c>
      <c r="J598" s="3" t="s">
        <v>86</v>
      </c>
      <c r="K598" s="4">
        <v>575</v>
      </c>
      <c r="L598" s="6">
        <v>1628.97</v>
      </c>
      <c r="M598" s="4">
        <v>0.5</v>
      </c>
      <c r="N598" s="4">
        <v>293.22000000000003</v>
      </c>
      <c r="O598" s="11"/>
      <c r="P598" s="11"/>
      <c r="Q598" s="11"/>
    </row>
    <row r="599" spans="1:17" x14ac:dyDescent="0.25">
      <c r="A599" s="8">
        <v>45747</v>
      </c>
      <c r="B599" s="3">
        <v>9741</v>
      </c>
      <c r="C599" s="3">
        <v>271828</v>
      </c>
      <c r="D599" s="3" t="s">
        <v>39</v>
      </c>
      <c r="E599" s="3">
        <v>24261</v>
      </c>
      <c r="F599" s="3" t="s">
        <v>1143</v>
      </c>
      <c r="G599" s="3" t="s">
        <v>108</v>
      </c>
      <c r="H599" s="3" t="s">
        <v>1144</v>
      </c>
      <c r="I599" s="3" t="s">
        <v>1145</v>
      </c>
      <c r="J599" s="3" t="s">
        <v>86</v>
      </c>
      <c r="K599" s="6">
        <v>3451.48</v>
      </c>
      <c r="L599" s="6">
        <v>-9384.66</v>
      </c>
      <c r="M599" s="4">
        <v>1</v>
      </c>
      <c r="N599" s="4">
        <v>200</v>
      </c>
      <c r="O599" s="11"/>
      <c r="P599" s="11"/>
      <c r="Q599" s="11"/>
    </row>
    <row r="600" spans="1:17" x14ac:dyDescent="0.25">
      <c r="A600" s="8">
        <v>45747</v>
      </c>
      <c r="B600" s="3">
        <v>9792</v>
      </c>
      <c r="C600" s="3">
        <v>271828</v>
      </c>
      <c r="D600" s="3" t="s">
        <v>39</v>
      </c>
      <c r="E600" s="3">
        <v>24317</v>
      </c>
      <c r="F600" s="3" t="s">
        <v>1146</v>
      </c>
      <c r="G600" s="3" t="s">
        <v>125</v>
      </c>
      <c r="H600" s="3" t="s">
        <v>1147</v>
      </c>
      <c r="I600" s="3" t="s">
        <v>1148</v>
      </c>
      <c r="J600" s="3" t="s">
        <v>86</v>
      </c>
      <c r="K600" s="4">
        <v>0</v>
      </c>
      <c r="L600" s="6">
        <v>1450</v>
      </c>
      <c r="M600" s="4">
        <v>1</v>
      </c>
      <c r="N600" s="4">
        <v>261</v>
      </c>
      <c r="O600" s="11"/>
      <c r="P600" s="11"/>
      <c r="Q600" s="11"/>
    </row>
    <row r="601" spans="1:17" x14ac:dyDescent="0.25">
      <c r="A601" s="8">
        <v>45747</v>
      </c>
      <c r="B601" s="3">
        <v>9896</v>
      </c>
      <c r="C601" s="3">
        <v>271828</v>
      </c>
      <c r="D601" s="3" t="s">
        <v>39</v>
      </c>
      <c r="E601" s="3">
        <v>24440</v>
      </c>
      <c r="F601" s="3" t="s">
        <v>1149</v>
      </c>
      <c r="G601" s="3" t="s">
        <v>125</v>
      </c>
      <c r="H601" s="3" t="s">
        <v>1150</v>
      </c>
      <c r="I601" s="3" t="s">
        <v>1151</v>
      </c>
      <c r="J601" s="3" t="s">
        <v>86</v>
      </c>
      <c r="K601" s="6">
        <v>4684</v>
      </c>
      <c r="L601" s="6">
        <v>2325</v>
      </c>
      <c r="M601" s="4">
        <v>1</v>
      </c>
      <c r="N601" s="4">
        <v>418.5</v>
      </c>
      <c r="O601" s="11"/>
      <c r="P601" s="11"/>
      <c r="Q601" s="11"/>
    </row>
    <row r="602" spans="1:17" x14ac:dyDescent="0.25">
      <c r="A602" s="8">
        <v>45747</v>
      </c>
      <c r="B602" s="3">
        <v>9896</v>
      </c>
      <c r="C602" s="3">
        <v>271828</v>
      </c>
      <c r="D602" s="3" t="s">
        <v>39</v>
      </c>
      <c r="E602" s="3">
        <v>24440</v>
      </c>
      <c r="F602" s="3" t="s">
        <v>1149</v>
      </c>
      <c r="G602" s="3" t="s">
        <v>125</v>
      </c>
      <c r="H602" s="3" t="s">
        <v>1152</v>
      </c>
      <c r="I602" s="3" t="s">
        <v>1153</v>
      </c>
      <c r="J602" s="3" t="s">
        <v>86</v>
      </c>
      <c r="K602" s="5"/>
      <c r="L602" s="5"/>
      <c r="M602" s="5"/>
      <c r="N602" s="5"/>
      <c r="O602" s="11"/>
      <c r="P602" s="11"/>
      <c r="Q602" s="11"/>
    </row>
    <row r="603" spans="1:17" x14ac:dyDescent="0.25">
      <c r="A603" s="8">
        <v>45722</v>
      </c>
      <c r="B603" s="3">
        <v>9338</v>
      </c>
      <c r="C603" s="3">
        <v>277065</v>
      </c>
      <c r="D603" s="3" t="s">
        <v>40</v>
      </c>
      <c r="E603" s="3">
        <v>23588</v>
      </c>
      <c r="F603" s="3" t="s">
        <v>1154</v>
      </c>
      <c r="G603" s="3" t="s">
        <v>108</v>
      </c>
      <c r="H603" s="10" t="s">
        <v>1155</v>
      </c>
      <c r="I603" s="3" t="s">
        <v>449</v>
      </c>
      <c r="J603" s="3" t="s">
        <v>86</v>
      </c>
      <c r="K603" s="4">
        <v>370</v>
      </c>
      <c r="L603" s="6">
        <v>-1312.6</v>
      </c>
      <c r="M603" s="4">
        <v>1</v>
      </c>
      <c r="N603" s="4">
        <v>200</v>
      </c>
      <c r="O603" s="11"/>
      <c r="P603" s="11"/>
      <c r="Q603" s="11"/>
    </row>
    <row r="604" spans="1:17" x14ac:dyDescent="0.25">
      <c r="A604" s="8">
        <v>45728</v>
      </c>
      <c r="B604" s="3">
        <v>9487</v>
      </c>
      <c r="C604" s="3">
        <v>277065</v>
      </c>
      <c r="D604" s="3" t="s">
        <v>40</v>
      </c>
      <c r="E604" s="3">
        <v>23833</v>
      </c>
      <c r="F604" s="3" t="s">
        <v>1156</v>
      </c>
      <c r="G604" s="3" t="s">
        <v>108</v>
      </c>
      <c r="H604" s="3" t="s">
        <v>1157</v>
      </c>
      <c r="I604" s="3" t="s">
        <v>1158</v>
      </c>
      <c r="J604" s="3" t="s">
        <v>86</v>
      </c>
      <c r="K604" s="6">
        <v>5526.16</v>
      </c>
      <c r="L604" s="6">
        <v>3062.67</v>
      </c>
      <c r="M604" s="4">
        <v>1</v>
      </c>
      <c r="N604" s="4">
        <v>551.28</v>
      </c>
      <c r="O604" s="11"/>
      <c r="P604" s="11"/>
      <c r="Q604" s="11"/>
    </row>
    <row r="605" spans="1:17" x14ac:dyDescent="0.25">
      <c r="A605" s="8">
        <v>45728</v>
      </c>
      <c r="B605" s="3">
        <v>9487</v>
      </c>
      <c r="C605" s="3">
        <v>277065</v>
      </c>
      <c r="D605" s="3" t="s">
        <v>40</v>
      </c>
      <c r="E605" s="3">
        <v>23833</v>
      </c>
      <c r="F605" s="3" t="s">
        <v>1156</v>
      </c>
      <c r="G605" s="3" t="s">
        <v>108</v>
      </c>
      <c r="H605" s="3" t="s">
        <v>1159</v>
      </c>
      <c r="I605" s="3" t="s">
        <v>1160</v>
      </c>
      <c r="J605" s="3" t="s">
        <v>86</v>
      </c>
      <c r="K605" s="5"/>
      <c r="L605" s="5"/>
      <c r="M605" s="5"/>
      <c r="N605" s="5"/>
      <c r="O605" s="11"/>
      <c r="P605" s="11"/>
      <c r="Q605" s="11"/>
    </row>
    <row r="606" spans="1:17" x14ac:dyDescent="0.25">
      <c r="A606" s="8">
        <v>45730</v>
      </c>
      <c r="B606" s="3">
        <v>9518</v>
      </c>
      <c r="C606" s="3">
        <v>277065</v>
      </c>
      <c r="D606" s="3" t="s">
        <v>40</v>
      </c>
      <c r="E606" s="3">
        <v>283417</v>
      </c>
      <c r="F606" s="3" t="s">
        <v>486</v>
      </c>
      <c r="G606" s="3" t="s">
        <v>69</v>
      </c>
      <c r="H606" s="3" t="s">
        <v>487</v>
      </c>
      <c r="I606" s="3" t="s">
        <v>58</v>
      </c>
      <c r="J606" s="3" t="s">
        <v>59</v>
      </c>
      <c r="K606" s="6">
        <v>3603.02</v>
      </c>
      <c r="L606" s="6">
        <v>-2426</v>
      </c>
      <c r="M606" s="4">
        <v>0.5</v>
      </c>
      <c r="N606" s="4">
        <v>100</v>
      </c>
      <c r="O606" s="11"/>
      <c r="P606" s="11"/>
      <c r="Q606" s="11"/>
    </row>
    <row r="607" spans="1:17" x14ac:dyDescent="0.25">
      <c r="A607" s="8">
        <v>45730</v>
      </c>
      <c r="B607" s="3">
        <v>9518</v>
      </c>
      <c r="C607" s="3">
        <v>277065</v>
      </c>
      <c r="D607" s="3" t="s">
        <v>40</v>
      </c>
      <c r="E607" s="3">
        <v>283417</v>
      </c>
      <c r="F607" s="3" t="s">
        <v>486</v>
      </c>
      <c r="G607" s="3" t="s">
        <v>69</v>
      </c>
      <c r="H607" s="3" t="s">
        <v>488</v>
      </c>
      <c r="I607" s="3" t="s">
        <v>478</v>
      </c>
      <c r="J607" s="3" t="s">
        <v>59</v>
      </c>
      <c r="K607" s="5"/>
      <c r="L607" s="5"/>
      <c r="M607" s="5"/>
      <c r="N607" s="5"/>
      <c r="O607" s="11"/>
      <c r="P607" s="11"/>
      <c r="Q607" s="11"/>
    </row>
    <row r="608" spans="1:17" x14ac:dyDescent="0.25">
      <c r="A608" s="8">
        <v>45734</v>
      </c>
      <c r="B608" s="3">
        <v>9395</v>
      </c>
      <c r="C608" s="3">
        <v>277065</v>
      </c>
      <c r="D608" s="3" t="s">
        <v>40</v>
      </c>
      <c r="E608" s="3">
        <v>23700</v>
      </c>
      <c r="F608" s="3" t="s">
        <v>1161</v>
      </c>
      <c r="G608" s="3" t="s">
        <v>108</v>
      </c>
      <c r="H608" s="3" t="s">
        <v>1162</v>
      </c>
      <c r="I608" s="3" t="s">
        <v>834</v>
      </c>
      <c r="J608" s="3" t="s">
        <v>86</v>
      </c>
      <c r="K608" s="6">
        <v>2738.05</v>
      </c>
      <c r="L608" s="4">
        <v>211.95</v>
      </c>
      <c r="M608" s="4">
        <v>1</v>
      </c>
      <c r="N608" s="4">
        <v>200</v>
      </c>
      <c r="O608" s="11"/>
      <c r="P608" s="11"/>
      <c r="Q608" s="11"/>
    </row>
    <row r="609" spans="1:17" x14ac:dyDescent="0.25">
      <c r="A609" s="8">
        <v>45734</v>
      </c>
      <c r="B609" s="3">
        <v>9395</v>
      </c>
      <c r="C609" s="3">
        <v>277065</v>
      </c>
      <c r="D609" s="3" t="s">
        <v>40</v>
      </c>
      <c r="E609" s="3">
        <v>23700</v>
      </c>
      <c r="F609" s="3" t="s">
        <v>1161</v>
      </c>
      <c r="G609" s="3" t="s">
        <v>108</v>
      </c>
      <c r="H609" s="3" t="s">
        <v>1163</v>
      </c>
      <c r="I609" s="3" t="s">
        <v>1164</v>
      </c>
      <c r="J609" s="3" t="s">
        <v>86</v>
      </c>
      <c r="K609" s="5"/>
      <c r="L609" s="5"/>
      <c r="M609" s="5"/>
      <c r="N609" s="5"/>
      <c r="O609" s="11"/>
      <c r="P609" s="11"/>
      <c r="Q609" s="11"/>
    </row>
    <row r="610" spans="1:17" x14ac:dyDescent="0.25">
      <c r="A610" s="8">
        <v>45736</v>
      </c>
      <c r="B610" s="3">
        <v>9640</v>
      </c>
      <c r="C610" s="3">
        <v>277065</v>
      </c>
      <c r="D610" s="3" t="s">
        <v>40</v>
      </c>
      <c r="E610" s="3">
        <v>22089</v>
      </c>
      <c r="F610" s="3" t="s">
        <v>1165</v>
      </c>
      <c r="G610" s="3" t="s">
        <v>125</v>
      </c>
      <c r="H610" s="3" t="s">
        <v>128</v>
      </c>
      <c r="I610" s="3" t="s">
        <v>129</v>
      </c>
      <c r="J610" s="3" t="s">
        <v>86</v>
      </c>
      <c r="K610" s="6">
        <v>4430.45</v>
      </c>
      <c r="L610" s="6">
        <v>-1736.56</v>
      </c>
      <c r="M610" s="4">
        <v>1</v>
      </c>
      <c r="N610" s="4">
        <v>200</v>
      </c>
      <c r="O610" s="11"/>
      <c r="P610" s="11"/>
      <c r="Q610" s="11"/>
    </row>
    <row r="611" spans="1:17" x14ac:dyDescent="0.25">
      <c r="A611" s="8">
        <v>45736</v>
      </c>
      <c r="B611" s="3">
        <v>9640</v>
      </c>
      <c r="C611" s="3">
        <v>277065</v>
      </c>
      <c r="D611" s="3" t="s">
        <v>40</v>
      </c>
      <c r="E611" s="3">
        <v>22089</v>
      </c>
      <c r="F611" s="3" t="s">
        <v>1165</v>
      </c>
      <c r="G611" s="3" t="s">
        <v>125</v>
      </c>
      <c r="H611" s="3" t="s">
        <v>1166</v>
      </c>
      <c r="I611" s="3" t="s">
        <v>1167</v>
      </c>
      <c r="J611" s="3" t="s">
        <v>86</v>
      </c>
      <c r="K611" s="5"/>
      <c r="L611" s="5"/>
      <c r="M611" s="5"/>
      <c r="N611" s="5"/>
      <c r="O611" s="11"/>
      <c r="P611" s="11"/>
      <c r="Q611" s="11"/>
    </row>
    <row r="612" spans="1:17" x14ac:dyDescent="0.25">
      <c r="A612" s="8">
        <v>45742</v>
      </c>
      <c r="B612" s="3">
        <v>9688</v>
      </c>
      <c r="C612" s="3">
        <v>277065</v>
      </c>
      <c r="D612" s="3" t="s">
        <v>40</v>
      </c>
      <c r="E612" s="3">
        <v>211426</v>
      </c>
      <c r="F612" s="3" t="s">
        <v>967</v>
      </c>
      <c r="G612" s="3" t="s">
        <v>108</v>
      </c>
      <c r="H612" s="3" t="s">
        <v>968</v>
      </c>
      <c r="I612" s="3" t="s">
        <v>267</v>
      </c>
      <c r="J612" s="3" t="s">
        <v>86</v>
      </c>
      <c r="K612" s="6">
        <v>1224.81</v>
      </c>
      <c r="L612" s="6">
        <v>2057.2600000000002</v>
      </c>
      <c r="M612" s="4">
        <v>0.5</v>
      </c>
      <c r="N612" s="4">
        <v>370.31</v>
      </c>
      <c r="O612" s="11"/>
      <c r="P612" s="11"/>
      <c r="Q612" s="11"/>
    </row>
    <row r="613" spans="1:17" x14ac:dyDescent="0.25">
      <c r="A613" s="8">
        <v>45742</v>
      </c>
      <c r="B613" s="3">
        <v>9688</v>
      </c>
      <c r="C613" s="3">
        <v>277065</v>
      </c>
      <c r="D613" s="3" t="s">
        <v>40</v>
      </c>
      <c r="E613" s="3">
        <v>211426</v>
      </c>
      <c r="F613" s="3" t="s">
        <v>967</v>
      </c>
      <c r="G613" s="3" t="s">
        <v>108</v>
      </c>
      <c r="H613" s="3" t="s">
        <v>969</v>
      </c>
      <c r="I613" s="3" t="s">
        <v>970</v>
      </c>
      <c r="J613" s="3" t="s">
        <v>86</v>
      </c>
      <c r="K613" s="5"/>
      <c r="L613" s="5"/>
      <c r="M613" s="5"/>
      <c r="N613" s="5"/>
      <c r="O613" s="11"/>
      <c r="P613" s="11"/>
      <c r="Q613" s="11"/>
    </row>
    <row r="614" spans="1:17" x14ac:dyDescent="0.25">
      <c r="A614" s="8">
        <v>45743</v>
      </c>
      <c r="B614" s="3">
        <v>9698</v>
      </c>
      <c r="C614" s="3">
        <v>277065</v>
      </c>
      <c r="D614" s="3" t="s">
        <v>40</v>
      </c>
      <c r="E614" s="3">
        <v>14282</v>
      </c>
      <c r="F614" s="3" t="s">
        <v>1168</v>
      </c>
      <c r="G614" s="3" t="s">
        <v>108</v>
      </c>
      <c r="H614" s="3" t="s">
        <v>1169</v>
      </c>
      <c r="I614" s="3" t="s">
        <v>1170</v>
      </c>
      <c r="J614" s="3" t="s">
        <v>86</v>
      </c>
      <c r="K614" s="6">
        <v>8378.86</v>
      </c>
      <c r="L614" s="6">
        <v>4214.72</v>
      </c>
      <c r="M614" s="4">
        <v>1</v>
      </c>
      <c r="N614" s="4">
        <v>758.65</v>
      </c>
      <c r="O614" s="11"/>
      <c r="P614" s="11"/>
      <c r="Q614" s="11"/>
    </row>
    <row r="615" spans="1:17" x14ac:dyDescent="0.25">
      <c r="A615" s="8">
        <v>45743</v>
      </c>
      <c r="B615" s="3">
        <v>9698</v>
      </c>
      <c r="C615" s="3">
        <v>277065</v>
      </c>
      <c r="D615" s="3" t="s">
        <v>40</v>
      </c>
      <c r="E615" s="3">
        <v>14282</v>
      </c>
      <c r="F615" s="3" t="s">
        <v>1168</v>
      </c>
      <c r="G615" s="3" t="s">
        <v>108</v>
      </c>
      <c r="H615" s="3" t="s">
        <v>1171</v>
      </c>
      <c r="I615" s="3" t="s">
        <v>1172</v>
      </c>
      <c r="J615" s="3" t="s">
        <v>86</v>
      </c>
      <c r="K615" s="5"/>
      <c r="L615" s="5"/>
      <c r="M615" s="5"/>
      <c r="N615" s="5"/>
      <c r="O615" s="11"/>
      <c r="P615" s="11"/>
      <c r="Q615" s="11"/>
    </row>
    <row r="616" spans="1:17" x14ac:dyDescent="0.25">
      <c r="A616" s="8">
        <v>45744</v>
      </c>
      <c r="B616" s="3">
        <v>9631</v>
      </c>
      <c r="C616" s="3">
        <v>277065</v>
      </c>
      <c r="D616" s="3" t="s">
        <v>40</v>
      </c>
      <c r="E616" s="3">
        <v>24087</v>
      </c>
      <c r="F616" s="3" t="s">
        <v>1135</v>
      </c>
      <c r="G616" s="3" t="s">
        <v>108</v>
      </c>
      <c r="H616" s="3" t="s">
        <v>1136</v>
      </c>
      <c r="I616" s="3" t="s">
        <v>1137</v>
      </c>
      <c r="J616" s="3" t="s">
        <v>86</v>
      </c>
      <c r="K616" s="6">
        <v>1590.85</v>
      </c>
      <c r="L616" s="4">
        <v>-28.53</v>
      </c>
      <c r="M616" s="4">
        <v>0.5</v>
      </c>
      <c r="N616" s="4">
        <v>100</v>
      </c>
      <c r="O616" s="11"/>
      <c r="P616" s="11"/>
      <c r="Q616" s="11"/>
    </row>
    <row r="617" spans="1:17" x14ac:dyDescent="0.25">
      <c r="A617" s="8">
        <v>45744</v>
      </c>
      <c r="B617" s="3">
        <v>9760</v>
      </c>
      <c r="C617" s="3">
        <v>277065</v>
      </c>
      <c r="D617" s="3" t="s">
        <v>40</v>
      </c>
      <c r="E617" s="3">
        <v>24274</v>
      </c>
      <c r="F617" s="3" t="s">
        <v>1173</v>
      </c>
      <c r="G617" s="3" t="s">
        <v>108</v>
      </c>
      <c r="H617" s="3" t="s">
        <v>1174</v>
      </c>
      <c r="I617" s="3" t="s">
        <v>1175</v>
      </c>
      <c r="J617" s="3" t="s">
        <v>86</v>
      </c>
      <c r="K617" s="4">
        <v>1</v>
      </c>
      <c r="L617" s="6">
        <v>-6907.26</v>
      </c>
      <c r="M617" s="4">
        <v>1</v>
      </c>
      <c r="N617" s="4">
        <v>200</v>
      </c>
      <c r="O617" s="11"/>
      <c r="P617" s="11"/>
      <c r="Q617" s="11"/>
    </row>
    <row r="618" spans="1:17" x14ac:dyDescent="0.25">
      <c r="A618" s="8">
        <v>45744</v>
      </c>
      <c r="B618" s="3">
        <v>9751</v>
      </c>
      <c r="C618" s="3">
        <v>277065</v>
      </c>
      <c r="D618" s="3" t="s">
        <v>40</v>
      </c>
      <c r="E618" s="3">
        <v>24267</v>
      </c>
      <c r="F618" s="3" t="s">
        <v>1176</v>
      </c>
      <c r="G618" s="3" t="s">
        <v>125</v>
      </c>
      <c r="H618" s="3" t="s">
        <v>1177</v>
      </c>
      <c r="I618" s="3" t="s">
        <v>1178</v>
      </c>
      <c r="J618" s="3" t="s">
        <v>86</v>
      </c>
      <c r="K618" s="6">
        <v>1883.14</v>
      </c>
      <c r="L618" s="6">
        <v>1863.02</v>
      </c>
      <c r="M618" s="4">
        <v>1</v>
      </c>
      <c r="N618" s="4">
        <v>335.34</v>
      </c>
      <c r="O618" s="11"/>
      <c r="P618" s="11"/>
      <c r="Q618" s="11"/>
    </row>
    <row r="619" spans="1:17" x14ac:dyDescent="0.25">
      <c r="A619" s="8">
        <v>45744</v>
      </c>
      <c r="B619" s="3">
        <v>9751</v>
      </c>
      <c r="C619" s="3">
        <v>277065</v>
      </c>
      <c r="D619" s="3" t="s">
        <v>40</v>
      </c>
      <c r="E619" s="3">
        <v>24267</v>
      </c>
      <c r="F619" s="3" t="s">
        <v>1176</v>
      </c>
      <c r="G619" s="3" t="s">
        <v>125</v>
      </c>
      <c r="H619" s="3" t="s">
        <v>1179</v>
      </c>
      <c r="I619" s="3" t="s">
        <v>1180</v>
      </c>
      <c r="J619" s="3" t="s">
        <v>86</v>
      </c>
      <c r="K619" s="5"/>
      <c r="L619" s="5"/>
      <c r="M619" s="5"/>
      <c r="N619" s="5"/>
      <c r="O619" s="11"/>
      <c r="P619" s="11"/>
      <c r="Q619" s="11"/>
    </row>
    <row r="620" spans="1:17" x14ac:dyDescent="0.25">
      <c r="A620" s="8">
        <v>45747</v>
      </c>
      <c r="B620" s="3">
        <v>9840</v>
      </c>
      <c r="C620" s="3">
        <v>277065</v>
      </c>
      <c r="D620" s="3" t="s">
        <v>40</v>
      </c>
      <c r="E620" s="3">
        <v>24374</v>
      </c>
      <c r="F620" s="3" t="s">
        <v>974</v>
      </c>
      <c r="G620" s="3" t="s">
        <v>63</v>
      </c>
      <c r="H620" s="3" t="s">
        <v>975</v>
      </c>
      <c r="I620" s="3" t="s">
        <v>94</v>
      </c>
      <c r="J620" s="3" t="s">
        <v>59</v>
      </c>
      <c r="K620" s="4">
        <v>0</v>
      </c>
      <c r="L620" s="4">
        <v>0</v>
      </c>
      <c r="M620" s="4">
        <v>0</v>
      </c>
      <c r="N620" s="4">
        <v>0</v>
      </c>
      <c r="O620" s="11"/>
      <c r="P620" s="11"/>
      <c r="Q620" s="11"/>
    </row>
    <row r="621" spans="1:17" x14ac:dyDescent="0.25">
      <c r="A621" s="8">
        <v>45747</v>
      </c>
      <c r="B621" s="3">
        <v>9840</v>
      </c>
      <c r="C621" s="3">
        <v>277065</v>
      </c>
      <c r="D621" s="3" t="s">
        <v>40</v>
      </c>
      <c r="E621" s="3">
        <v>24374</v>
      </c>
      <c r="F621" s="3" t="s">
        <v>974</v>
      </c>
      <c r="G621" s="3" t="s">
        <v>63</v>
      </c>
      <c r="H621" s="3" t="s">
        <v>976</v>
      </c>
      <c r="I621" s="3" t="s">
        <v>977</v>
      </c>
      <c r="J621" s="3" t="s">
        <v>59</v>
      </c>
      <c r="K621" s="5"/>
      <c r="L621" s="5"/>
      <c r="M621" s="5"/>
      <c r="N621" s="5"/>
      <c r="O621" s="11"/>
      <c r="P621" s="11"/>
      <c r="Q621" s="11"/>
    </row>
    <row r="622" spans="1:17" x14ac:dyDescent="0.25">
      <c r="A622" s="8">
        <v>45747</v>
      </c>
      <c r="B622" s="3" t="s">
        <v>980</v>
      </c>
      <c r="C622" s="3">
        <v>277065</v>
      </c>
      <c r="D622" s="3" t="s">
        <v>40</v>
      </c>
      <c r="E622" s="3">
        <v>24374</v>
      </c>
      <c r="F622" s="3" t="s">
        <v>974</v>
      </c>
      <c r="G622" s="3" t="s">
        <v>63</v>
      </c>
      <c r="H622" s="3" t="s">
        <v>975</v>
      </c>
      <c r="I622" s="3" t="s">
        <v>94</v>
      </c>
      <c r="J622" s="3" t="s">
        <v>59</v>
      </c>
      <c r="K622" s="4">
        <v>655.93</v>
      </c>
      <c r="L622" s="6">
        <v>-1288.44</v>
      </c>
      <c r="M622" s="4">
        <v>0.5</v>
      </c>
      <c r="N622" s="4">
        <v>100</v>
      </c>
      <c r="O622" s="11"/>
      <c r="P622" s="11"/>
      <c r="Q622" s="11"/>
    </row>
    <row r="623" spans="1:17" x14ac:dyDescent="0.25">
      <c r="A623" s="8">
        <v>45747</v>
      </c>
      <c r="B623" s="3" t="s">
        <v>980</v>
      </c>
      <c r="C623" s="3">
        <v>277065</v>
      </c>
      <c r="D623" s="3" t="s">
        <v>40</v>
      </c>
      <c r="E623" s="3">
        <v>24374</v>
      </c>
      <c r="F623" s="3" t="s">
        <v>974</v>
      </c>
      <c r="G623" s="3" t="s">
        <v>63</v>
      </c>
      <c r="H623" s="3" t="s">
        <v>976</v>
      </c>
      <c r="I623" s="3" t="s">
        <v>977</v>
      </c>
      <c r="J623" s="3" t="s">
        <v>59</v>
      </c>
      <c r="K623" s="5"/>
      <c r="L623" s="5"/>
      <c r="M623" s="5"/>
      <c r="N623" s="5"/>
      <c r="O623" s="11"/>
      <c r="P623" s="11"/>
      <c r="Q623" s="11"/>
    </row>
    <row r="624" spans="1:17" x14ac:dyDescent="0.25">
      <c r="A624" s="8">
        <v>45747</v>
      </c>
      <c r="B624" s="3">
        <v>9561</v>
      </c>
      <c r="C624" s="3">
        <v>277065</v>
      </c>
      <c r="D624" s="3" t="s">
        <v>40</v>
      </c>
      <c r="E624" s="3">
        <v>23968</v>
      </c>
      <c r="F624" s="3" t="s">
        <v>1181</v>
      </c>
      <c r="G624" s="3" t="s">
        <v>83</v>
      </c>
      <c r="H624" s="12" t="s">
        <v>1182</v>
      </c>
      <c r="I624" s="3" t="s">
        <v>1183</v>
      </c>
      <c r="J624" s="3" t="s">
        <v>86</v>
      </c>
      <c r="K624" s="6">
        <v>3126.58</v>
      </c>
      <c r="L624" s="4">
        <v>750</v>
      </c>
      <c r="M624" s="4">
        <v>1</v>
      </c>
      <c r="N624" s="4">
        <v>200</v>
      </c>
      <c r="O624" s="11"/>
      <c r="P624" s="11"/>
      <c r="Q624" s="11"/>
    </row>
    <row r="625" spans="1:17" x14ac:dyDescent="0.25">
      <c r="A625" s="8">
        <v>45747</v>
      </c>
      <c r="B625" s="3">
        <v>9777</v>
      </c>
      <c r="C625" s="3">
        <v>277065</v>
      </c>
      <c r="D625" s="3" t="s">
        <v>40</v>
      </c>
      <c r="E625" s="3">
        <v>24285</v>
      </c>
      <c r="F625" s="3" t="s">
        <v>1184</v>
      </c>
      <c r="G625" s="3" t="s">
        <v>108</v>
      </c>
      <c r="H625" s="3" t="s">
        <v>1185</v>
      </c>
      <c r="I625" s="3" t="s">
        <v>572</v>
      </c>
      <c r="J625" s="3" t="s">
        <v>86</v>
      </c>
      <c r="K625" s="6">
        <v>5215.1099999999997</v>
      </c>
      <c r="L625" s="6">
        <v>-4423.93</v>
      </c>
      <c r="M625" s="4">
        <v>1</v>
      </c>
      <c r="N625" s="4">
        <v>200</v>
      </c>
      <c r="O625" s="11"/>
      <c r="P625" s="11"/>
      <c r="Q625" s="11"/>
    </row>
    <row r="626" spans="1:17" x14ac:dyDescent="0.25">
      <c r="A626" s="8">
        <v>45747</v>
      </c>
      <c r="B626" s="3">
        <v>9900</v>
      </c>
      <c r="C626" s="3">
        <v>277065</v>
      </c>
      <c r="D626" s="3" t="s">
        <v>40</v>
      </c>
      <c r="E626" s="3">
        <v>24447</v>
      </c>
      <c r="F626" s="3" t="s">
        <v>1186</v>
      </c>
      <c r="G626" s="3" t="s">
        <v>108</v>
      </c>
      <c r="H626" s="3" t="s">
        <v>1187</v>
      </c>
      <c r="I626" s="3" t="s">
        <v>1188</v>
      </c>
      <c r="J626" s="3" t="s">
        <v>86</v>
      </c>
      <c r="K626" s="6">
        <v>1593.59</v>
      </c>
      <c r="L626" s="6">
        <v>-1209.22</v>
      </c>
      <c r="M626" s="4">
        <v>0.5</v>
      </c>
      <c r="N626" s="4">
        <v>100</v>
      </c>
      <c r="O626" s="11"/>
      <c r="P626" s="11"/>
      <c r="Q626" s="11"/>
    </row>
    <row r="627" spans="1:17" x14ac:dyDescent="0.25">
      <c r="A627" s="8">
        <v>45747</v>
      </c>
      <c r="B627" s="3">
        <v>9946</v>
      </c>
      <c r="C627" s="3">
        <v>277065</v>
      </c>
      <c r="D627" s="3" t="s">
        <v>40</v>
      </c>
      <c r="E627" s="3">
        <v>24492</v>
      </c>
      <c r="F627" s="3" t="s">
        <v>608</v>
      </c>
      <c r="G627" s="3" t="s">
        <v>125</v>
      </c>
      <c r="H627" s="3" t="s">
        <v>609</v>
      </c>
      <c r="I627" s="3" t="s">
        <v>610</v>
      </c>
      <c r="J627" s="3" t="s">
        <v>86</v>
      </c>
      <c r="K627" s="4">
        <v>592.5</v>
      </c>
      <c r="L627" s="6">
        <v>1688.88</v>
      </c>
      <c r="M627" s="4">
        <v>0.5</v>
      </c>
      <c r="N627" s="4">
        <v>304</v>
      </c>
      <c r="O627" s="11"/>
      <c r="P627" s="11"/>
      <c r="Q627" s="11"/>
    </row>
    <row r="628" spans="1:17" x14ac:dyDescent="0.25">
      <c r="A628" s="8">
        <v>45730</v>
      </c>
      <c r="B628" s="3">
        <v>9474</v>
      </c>
      <c r="C628" s="3">
        <v>277793</v>
      </c>
      <c r="D628" s="3" t="s">
        <v>1189</v>
      </c>
      <c r="E628" s="3">
        <v>275002</v>
      </c>
      <c r="F628" s="3" t="s">
        <v>1190</v>
      </c>
      <c r="G628" s="3" t="s">
        <v>69</v>
      </c>
      <c r="H628" s="3">
        <v>5079146</v>
      </c>
      <c r="I628" s="3" t="s">
        <v>804</v>
      </c>
      <c r="J628" s="3" t="s">
        <v>59</v>
      </c>
      <c r="K628" s="4">
        <v>813.6</v>
      </c>
      <c r="L628" s="6">
        <v>3202</v>
      </c>
      <c r="M628" s="4">
        <v>1</v>
      </c>
      <c r="N628" s="4">
        <v>576.36</v>
      </c>
      <c r="O628" s="11"/>
      <c r="P628" s="11"/>
      <c r="Q628" s="11"/>
    </row>
    <row r="629" spans="1:17" x14ac:dyDescent="0.25">
      <c r="A629" s="8">
        <v>45743</v>
      </c>
      <c r="B629" s="3">
        <v>9689</v>
      </c>
      <c r="C629" s="3">
        <v>283245</v>
      </c>
      <c r="D629" s="3" t="s">
        <v>1191</v>
      </c>
      <c r="E629" s="3">
        <v>24198</v>
      </c>
      <c r="F629" s="3" t="s">
        <v>363</v>
      </c>
      <c r="G629" s="3" t="s">
        <v>69</v>
      </c>
      <c r="H629" s="3" t="s">
        <v>364</v>
      </c>
      <c r="I629" s="3" t="s">
        <v>188</v>
      </c>
      <c r="J629" s="3" t="s">
        <v>59</v>
      </c>
      <c r="K629" s="4">
        <v>672.3</v>
      </c>
      <c r="L629" s="6">
        <v>-2279.2800000000002</v>
      </c>
      <c r="M629" s="4">
        <v>0.5</v>
      </c>
      <c r="N629" s="4">
        <v>100</v>
      </c>
      <c r="O629" s="11"/>
      <c r="P629" s="11"/>
      <c r="Q629" s="11"/>
    </row>
    <row r="630" spans="1:17" x14ac:dyDescent="0.25">
      <c r="A630" s="8">
        <v>45743</v>
      </c>
      <c r="B630" s="3">
        <v>9689</v>
      </c>
      <c r="C630" s="3">
        <v>283245</v>
      </c>
      <c r="D630" s="3" t="s">
        <v>1191</v>
      </c>
      <c r="E630" s="3">
        <v>24198</v>
      </c>
      <c r="F630" s="3" t="s">
        <v>363</v>
      </c>
      <c r="G630" s="3" t="s">
        <v>69</v>
      </c>
      <c r="H630" s="3" t="s">
        <v>365</v>
      </c>
      <c r="I630" s="3" t="s">
        <v>366</v>
      </c>
      <c r="J630" s="3" t="s">
        <v>59</v>
      </c>
      <c r="K630" s="5"/>
      <c r="L630" s="5"/>
      <c r="M630" s="5"/>
      <c r="N630" s="5"/>
      <c r="O630" s="11"/>
      <c r="P630" s="11"/>
      <c r="Q630" s="11"/>
    </row>
    <row r="631" spans="1:17" x14ac:dyDescent="0.25">
      <c r="A631" s="8">
        <v>45744</v>
      </c>
      <c r="B631" s="3">
        <v>9755</v>
      </c>
      <c r="C631" s="3">
        <v>283245</v>
      </c>
      <c r="D631" s="3" t="s">
        <v>1191</v>
      </c>
      <c r="E631" s="3">
        <v>279004</v>
      </c>
      <c r="F631" s="3" t="s">
        <v>867</v>
      </c>
      <c r="G631" s="3" t="s">
        <v>69</v>
      </c>
      <c r="H631" s="3" t="s">
        <v>868</v>
      </c>
      <c r="I631" s="3" t="s">
        <v>188</v>
      </c>
      <c r="J631" s="3" t="s">
        <v>59</v>
      </c>
      <c r="K631" s="6">
        <v>3527.45</v>
      </c>
      <c r="L631" s="6">
        <v>2090</v>
      </c>
      <c r="M631" s="4">
        <v>0.5</v>
      </c>
      <c r="N631" s="4">
        <v>376.2</v>
      </c>
      <c r="O631" s="11"/>
      <c r="P631" s="11"/>
      <c r="Q631" s="11"/>
    </row>
    <row r="632" spans="1:17" x14ac:dyDescent="0.25">
      <c r="A632" s="8">
        <v>45744</v>
      </c>
      <c r="B632" s="3">
        <v>9755</v>
      </c>
      <c r="C632" s="3">
        <v>283245</v>
      </c>
      <c r="D632" s="3" t="s">
        <v>1191</v>
      </c>
      <c r="E632" s="3">
        <v>279004</v>
      </c>
      <c r="F632" s="3" t="s">
        <v>867</v>
      </c>
      <c r="G632" s="3" t="s">
        <v>69</v>
      </c>
      <c r="H632" s="3" t="s">
        <v>869</v>
      </c>
      <c r="I632" s="3" t="s">
        <v>347</v>
      </c>
      <c r="J632" s="3" t="s">
        <v>59</v>
      </c>
      <c r="K632" s="5"/>
      <c r="L632" s="5"/>
      <c r="M632" s="5"/>
      <c r="N632" s="5"/>
      <c r="O632" s="11"/>
      <c r="P632" s="11"/>
      <c r="Q632" s="11"/>
    </row>
    <row r="633" spans="1:17" x14ac:dyDescent="0.25">
      <c r="A633" s="8">
        <v>45744</v>
      </c>
      <c r="B633" s="3">
        <v>9736</v>
      </c>
      <c r="C633" s="3">
        <v>283245</v>
      </c>
      <c r="D633" s="3" t="s">
        <v>1191</v>
      </c>
      <c r="E633" s="3">
        <v>24254</v>
      </c>
      <c r="F633" s="3" t="s">
        <v>1192</v>
      </c>
      <c r="G633" s="3" t="s">
        <v>69</v>
      </c>
      <c r="H633" s="3">
        <v>5249822</v>
      </c>
      <c r="I633" s="3" t="s">
        <v>1193</v>
      </c>
      <c r="J633" s="3" t="s">
        <v>59</v>
      </c>
      <c r="K633" s="4">
        <v>0</v>
      </c>
      <c r="L633" s="4">
        <v>0</v>
      </c>
      <c r="M633" s="4">
        <v>0</v>
      </c>
      <c r="N633" s="4">
        <v>0</v>
      </c>
      <c r="O633" s="11"/>
      <c r="P633" s="11"/>
      <c r="Q633" s="11"/>
    </row>
    <row r="634" spans="1:17" x14ac:dyDescent="0.25">
      <c r="A634" s="8">
        <v>45744</v>
      </c>
      <c r="B634" s="3">
        <v>9736</v>
      </c>
      <c r="C634" s="3">
        <v>283245</v>
      </c>
      <c r="D634" s="3" t="s">
        <v>1191</v>
      </c>
      <c r="E634" s="3">
        <v>24254</v>
      </c>
      <c r="F634" s="3" t="s">
        <v>1192</v>
      </c>
      <c r="G634" s="3" t="s">
        <v>69</v>
      </c>
      <c r="H634" s="3" t="s">
        <v>1194</v>
      </c>
      <c r="I634" s="3" t="s">
        <v>1195</v>
      </c>
      <c r="J634" s="3" t="s">
        <v>59</v>
      </c>
      <c r="K634" s="5"/>
      <c r="L634" s="5"/>
      <c r="M634" s="5"/>
      <c r="N634" s="5"/>
      <c r="O634" s="11"/>
      <c r="P634" s="11"/>
      <c r="Q634" s="11"/>
    </row>
    <row r="635" spans="1:17" x14ac:dyDescent="0.25">
      <c r="A635" s="8">
        <v>45744</v>
      </c>
      <c r="B635" s="3" t="s">
        <v>1196</v>
      </c>
      <c r="C635" s="3">
        <v>283245</v>
      </c>
      <c r="D635" s="3" t="s">
        <v>1191</v>
      </c>
      <c r="E635" s="3">
        <v>24254</v>
      </c>
      <c r="F635" s="3" t="s">
        <v>1192</v>
      </c>
      <c r="G635" s="3" t="s">
        <v>69</v>
      </c>
      <c r="H635" s="3">
        <v>5249822</v>
      </c>
      <c r="I635" s="3" t="s">
        <v>1193</v>
      </c>
      <c r="J635" s="3" t="s">
        <v>59</v>
      </c>
      <c r="K635" s="6">
        <v>2520</v>
      </c>
      <c r="L635" s="6">
        <v>4114.5</v>
      </c>
      <c r="M635" s="4">
        <v>1</v>
      </c>
      <c r="N635" s="4">
        <v>740.61</v>
      </c>
      <c r="O635" s="11"/>
      <c r="P635" s="11"/>
      <c r="Q635" s="11"/>
    </row>
    <row r="636" spans="1:17" x14ac:dyDescent="0.25">
      <c r="A636" s="8">
        <v>45744</v>
      </c>
      <c r="B636" s="3" t="s">
        <v>1196</v>
      </c>
      <c r="C636" s="3">
        <v>283245</v>
      </c>
      <c r="D636" s="3" t="s">
        <v>1191</v>
      </c>
      <c r="E636" s="3">
        <v>24254</v>
      </c>
      <c r="F636" s="3" t="s">
        <v>1192</v>
      </c>
      <c r="G636" s="3" t="s">
        <v>69</v>
      </c>
      <c r="H636" s="3" t="s">
        <v>1194</v>
      </c>
      <c r="I636" s="3" t="s">
        <v>1195</v>
      </c>
      <c r="J636" s="3" t="s">
        <v>59</v>
      </c>
      <c r="K636" s="5"/>
      <c r="L636" s="5"/>
      <c r="M636" s="5"/>
      <c r="N636" s="5"/>
      <c r="O636" s="11"/>
      <c r="P636" s="11"/>
      <c r="Q636" s="11"/>
    </row>
    <row r="637" spans="1:17" x14ac:dyDescent="0.25">
      <c r="A637" s="8">
        <v>45747</v>
      </c>
      <c r="B637" s="3">
        <v>9912</v>
      </c>
      <c r="C637" s="3">
        <v>283245</v>
      </c>
      <c r="D637" s="3" t="s">
        <v>1191</v>
      </c>
      <c r="E637" s="3">
        <v>278203</v>
      </c>
      <c r="F637" s="3" t="s">
        <v>1197</v>
      </c>
      <c r="G637" s="3" t="s">
        <v>56</v>
      </c>
      <c r="H637" s="3" t="s">
        <v>648</v>
      </c>
      <c r="I637" s="3" t="s">
        <v>166</v>
      </c>
      <c r="J637" s="3" t="s">
        <v>59</v>
      </c>
      <c r="K637" s="4">
        <v>0</v>
      </c>
      <c r="L637" s="6">
        <v>4115.6099999999997</v>
      </c>
      <c r="M637" s="4">
        <v>1</v>
      </c>
      <c r="N637" s="4">
        <v>740.81</v>
      </c>
      <c r="O637" s="11"/>
      <c r="P637" s="11"/>
      <c r="Q637" s="11"/>
    </row>
    <row r="638" spans="1:17" x14ac:dyDescent="0.25">
      <c r="A638" s="8">
        <v>45747</v>
      </c>
      <c r="B638" s="3">
        <v>9951</v>
      </c>
      <c r="C638" s="3">
        <v>283245</v>
      </c>
      <c r="D638" s="3" t="s">
        <v>1191</v>
      </c>
      <c r="E638" s="3">
        <v>24495</v>
      </c>
      <c r="F638" s="3" t="s">
        <v>1198</v>
      </c>
      <c r="G638" s="3" t="s">
        <v>56</v>
      </c>
      <c r="H638" s="3" t="s">
        <v>1199</v>
      </c>
      <c r="I638" s="3" t="s">
        <v>270</v>
      </c>
      <c r="J638" s="3" t="s">
        <v>59</v>
      </c>
      <c r="K638" s="4">
        <v>883.01</v>
      </c>
      <c r="L638" s="6">
        <v>-2133.81</v>
      </c>
      <c r="M638" s="4">
        <v>1</v>
      </c>
      <c r="N638" s="4">
        <v>200</v>
      </c>
      <c r="O638" s="11"/>
      <c r="P638" s="11"/>
      <c r="Q638" s="11"/>
    </row>
    <row r="639" spans="1:17" x14ac:dyDescent="0.25">
      <c r="A639" s="8">
        <v>45747</v>
      </c>
      <c r="B639" s="3">
        <v>9951</v>
      </c>
      <c r="C639" s="3">
        <v>283245</v>
      </c>
      <c r="D639" s="3" t="s">
        <v>1191</v>
      </c>
      <c r="E639" s="3">
        <v>24495</v>
      </c>
      <c r="F639" s="3" t="s">
        <v>1198</v>
      </c>
      <c r="G639" s="3" t="s">
        <v>56</v>
      </c>
      <c r="H639" s="3" t="s">
        <v>1200</v>
      </c>
      <c r="I639" s="3" t="s">
        <v>218</v>
      </c>
      <c r="J639" s="3" t="s">
        <v>59</v>
      </c>
      <c r="K639" s="5"/>
      <c r="L639" s="5"/>
      <c r="M639" s="5"/>
      <c r="N639" s="5"/>
      <c r="O639" s="11"/>
      <c r="P639" s="11"/>
      <c r="Q639" s="11"/>
    </row>
    <row r="640" spans="1:17" x14ac:dyDescent="0.25">
      <c r="A640" s="8">
        <v>45747</v>
      </c>
      <c r="B640" s="3">
        <v>9969</v>
      </c>
      <c r="C640" s="3">
        <v>283245</v>
      </c>
      <c r="D640" s="3" t="s">
        <v>1191</v>
      </c>
      <c r="E640" s="3">
        <v>210260</v>
      </c>
      <c r="F640" s="3" t="s">
        <v>472</v>
      </c>
      <c r="G640" s="3" t="s">
        <v>56</v>
      </c>
      <c r="H640" s="3" t="s">
        <v>473</v>
      </c>
      <c r="I640" s="3" t="s">
        <v>89</v>
      </c>
      <c r="J640" s="3" t="s">
        <v>59</v>
      </c>
      <c r="K640" s="4">
        <v>69.5</v>
      </c>
      <c r="L640" s="6">
        <v>-1360.51</v>
      </c>
      <c r="M640" s="4">
        <v>0.5</v>
      </c>
      <c r="N640" s="4">
        <v>100</v>
      </c>
      <c r="O640" s="11"/>
      <c r="P640" s="11"/>
      <c r="Q640" s="11"/>
    </row>
    <row r="641" spans="1:17" x14ac:dyDescent="0.25">
      <c r="A641" s="8">
        <v>45747</v>
      </c>
      <c r="B641" s="3">
        <v>9969</v>
      </c>
      <c r="C641" s="3">
        <v>283245</v>
      </c>
      <c r="D641" s="3" t="s">
        <v>1191</v>
      </c>
      <c r="E641" s="3">
        <v>210260</v>
      </c>
      <c r="F641" s="3" t="s">
        <v>472</v>
      </c>
      <c r="G641" s="3" t="s">
        <v>56</v>
      </c>
      <c r="H641" s="3" t="s">
        <v>474</v>
      </c>
      <c r="I641" s="3" t="s">
        <v>475</v>
      </c>
      <c r="J641" s="3" t="s">
        <v>59</v>
      </c>
      <c r="K641" s="5"/>
      <c r="L641" s="5"/>
      <c r="M641" s="5"/>
      <c r="N641" s="5"/>
      <c r="O641" s="11"/>
      <c r="P641" s="11"/>
      <c r="Q641" s="11"/>
    </row>
    <row r="642" spans="1:17" x14ac:dyDescent="0.25">
      <c r="A642" s="8">
        <v>45747</v>
      </c>
      <c r="B642" s="3">
        <v>9963</v>
      </c>
      <c r="C642" s="3">
        <v>283245</v>
      </c>
      <c r="D642" s="3" t="s">
        <v>1191</v>
      </c>
      <c r="E642" s="3">
        <v>24516</v>
      </c>
      <c r="F642" s="3" t="s">
        <v>1201</v>
      </c>
      <c r="G642" s="3" t="s">
        <v>108</v>
      </c>
      <c r="H642" s="3" t="s">
        <v>72</v>
      </c>
      <c r="I642" s="3" t="s">
        <v>73</v>
      </c>
      <c r="J642" s="3" t="s">
        <v>86</v>
      </c>
      <c r="K642" s="6">
        <v>2686.96</v>
      </c>
      <c r="L642" s="4">
        <v>436.22</v>
      </c>
      <c r="M642" s="4">
        <v>1</v>
      </c>
      <c r="N642" s="4">
        <v>200</v>
      </c>
      <c r="O642" s="11"/>
      <c r="P642" s="11"/>
      <c r="Q642" s="11"/>
    </row>
    <row r="643" spans="1:17" x14ac:dyDescent="0.25">
      <c r="A643" s="8">
        <v>45747</v>
      </c>
      <c r="B643" s="3">
        <v>9788</v>
      </c>
      <c r="C643" s="3">
        <v>283245</v>
      </c>
      <c r="D643" s="3" t="s">
        <v>1191</v>
      </c>
      <c r="E643" s="3">
        <v>24302</v>
      </c>
      <c r="F643" s="3" t="s">
        <v>1202</v>
      </c>
      <c r="G643" s="3" t="s">
        <v>125</v>
      </c>
      <c r="H643" s="3" t="s">
        <v>1038</v>
      </c>
      <c r="I643" s="3" t="s">
        <v>1039</v>
      </c>
      <c r="J643" s="3" t="s">
        <v>86</v>
      </c>
      <c r="K643" s="4">
        <v>894.71</v>
      </c>
      <c r="L643" s="6">
        <v>1761.08</v>
      </c>
      <c r="M643" s="4">
        <v>1</v>
      </c>
      <c r="N643" s="4">
        <v>316.99</v>
      </c>
      <c r="O643" s="11"/>
      <c r="P643" s="11"/>
      <c r="Q643" s="11"/>
    </row>
    <row r="644" spans="1:17" x14ac:dyDescent="0.25">
      <c r="A644" s="8">
        <v>45747</v>
      </c>
      <c r="B644" s="3">
        <v>9788</v>
      </c>
      <c r="C644" s="3">
        <v>283245</v>
      </c>
      <c r="D644" s="3" t="s">
        <v>1191</v>
      </c>
      <c r="E644" s="3">
        <v>24302</v>
      </c>
      <c r="F644" s="3" t="s">
        <v>1202</v>
      </c>
      <c r="G644" s="3" t="s">
        <v>125</v>
      </c>
      <c r="H644" s="3" t="s">
        <v>1203</v>
      </c>
      <c r="I644" s="3" t="s">
        <v>1204</v>
      </c>
      <c r="J644" s="3" t="s">
        <v>86</v>
      </c>
      <c r="K644" s="5"/>
      <c r="L644" s="5"/>
      <c r="M644" s="5"/>
      <c r="N644" s="5"/>
      <c r="O644" s="11"/>
      <c r="P644" s="11"/>
      <c r="Q644" s="11"/>
    </row>
    <row r="645" spans="1:17" x14ac:dyDescent="0.25">
      <c r="A645" s="8">
        <v>45721</v>
      </c>
      <c r="B645" s="3">
        <v>9245</v>
      </c>
      <c r="C645" s="3">
        <v>284175</v>
      </c>
      <c r="D645" s="3" t="s">
        <v>42</v>
      </c>
      <c r="E645" s="3">
        <v>23493</v>
      </c>
      <c r="F645" s="3" t="s">
        <v>1205</v>
      </c>
      <c r="G645" s="3" t="s">
        <v>564</v>
      </c>
      <c r="H645" s="3" t="s">
        <v>1206</v>
      </c>
      <c r="I645" s="3" t="s">
        <v>1207</v>
      </c>
      <c r="J645" s="3" t="s">
        <v>86</v>
      </c>
      <c r="K645" s="6">
        <v>2929.44</v>
      </c>
      <c r="L645" s="6">
        <v>1793.28</v>
      </c>
      <c r="M645" s="4">
        <v>1</v>
      </c>
      <c r="N645" s="4">
        <v>322.79000000000002</v>
      </c>
      <c r="O645" s="11"/>
      <c r="P645" s="11"/>
      <c r="Q645" s="11"/>
    </row>
    <row r="646" spans="1:17" x14ac:dyDescent="0.25">
      <c r="A646" s="8">
        <v>45722</v>
      </c>
      <c r="B646" s="3">
        <v>9353</v>
      </c>
      <c r="C646" s="3">
        <v>284175</v>
      </c>
      <c r="D646" s="3" t="s">
        <v>42</v>
      </c>
      <c r="E646" s="3">
        <v>23614</v>
      </c>
      <c r="F646" s="3" t="s">
        <v>1208</v>
      </c>
      <c r="G646" s="3" t="s">
        <v>69</v>
      </c>
      <c r="H646" s="3" t="s">
        <v>1209</v>
      </c>
      <c r="I646" s="3" t="s">
        <v>118</v>
      </c>
      <c r="J646" s="3" t="s">
        <v>59</v>
      </c>
      <c r="K646" s="4">
        <v>0</v>
      </c>
      <c r="L646" s="4">
        <v>0</v>
      </c>
      <c r="M646" s="4">
        <v>0</v>
      </c>
      <c r="N646" s="4">
        <v>0</v>
      </c>
      <c r="O646" s="11"/>
      <c r="P646" s="11"/>
      <c r="Q646" s="11"/>
    </row>
    <row r="647" spans="1:17" x14ac:dyDescent="0.25">
      <c r="A647" s="8">
        <v>45722</v>
      </c>
      <c r="B647" s="3">
        <v>9350</v>
      </c>
      <c r="C647" s="3">
        <v>284175</v>
      </c>
      <c r="D647" s="3" t="s">
        <v>42</v>
      </c>
      <c r="E647" s="3">
        <v>23596</v>
      </c>
      <c r="F647" s="3" t="s">
        <v>1210</v>
      </c>
      <c r="G647" s="3" t="s">
        <v>108</v>
      </c>
      <c r="H647" s="3" t="s">
        <v>1211</v>
      </c>
      <c r="I647" s="3" t="s">
        <v>1212</v>
      </c>
      <c r="J647" s="3" t="s">
        <v>86</v>
      </c>
      <c r="K647" s="6">
        <v>1796.8</v>
      </c>
      <c r="L647" s="6">
        <v>1270.6600000000001</v>
      </c>
      <c r="M647" s="4">
        <v>1</v>
      </c>
      <c r="N647" s="4">
        <v>228.72</v>
      </c>
      <c r="O647" s="11"/>
      <c r="P647" s="11"/>
      <c r="Q647" s="11"/>
    </row>
    <row r="648" spans="1:17" x14ac:dyDescent="0.25">
      <c r="A648" s="8">
        <v>45722</v>
      </c>
      <c r="B648" s="3">
        <v>9350</v>
      </c>
      <c r="C648" s="3">
        <v>284175</v>
      </c>
      <c r="D648" s="3" t="s">
        <v>42</v>
      </c>
      <c r="E648" s="3">
        <v>23596</v>
      </c>
      <c r="F648" s="3" t="s">
        <v>1210</v>
      </c>
      <c r="G648" s="3" t="s">
        <v>108</v>
      </c>
      <c r="H648" s="3" t="s">
        <v>703</v>
      </c>
      <c r="I648" s="3" t="s">
        <v>704</v>
      </c>
      <c r="J648" s="3" t="s">
        <v>86</v>
      </c>
      <c r="K648" s="5"/>
      <c r="L648" s="5"/>
      <c r="M648" s="5"/>
      <c r="N648" s="5"/>
      <c r="O648" s="11"/>
      <c r="P648" s="11"/>
      <c r="Q648" s="11"/>
    </row>
    <row r="649" spans="1:17" x14ac:dyDescent="0.25">
      <c r="A649" s="8">
        <v>45723</v>
      </c>
      <c r="B649" s="3">
        <v>9367</v>
      </c>
      <c r="C649" s="3">
        <v>284175</v>
      </c>
      <c r="D649" s="3" t="s">
        <v>42</v>
      </c>
      <c r="E649" s="3">
        <v>23647</v>
      </c>
      <c r="F649" s="3" t="s">
        <v>570</v>
      </c>
      <c r="G649" s="3" t="s">
        <v>108</v>
      </c>
      <c r="H649" s="3" t="s">
        <v>571</v>
      </c>
      <c r="I649" s="3" t="s">
        <v>572</v>
      </c>
      <c r="J649" s="3" t="s">
        <v>86</v>
      </c>
      <c r="K649" s="6">
        <v>1296.81</v>
      </c>
      <c r="L649" s="4">
        <v>-935.42</v>
      </c>
      <c r="M649" s="4">
        <v>0.5</v>
      </c>
      <c r="N649" s="4">
        <v>100</v>
      </c>
      <c r="O649" s="11"/>
      <c r="P649" s="11"/>
      <c r="Q649" s="11"/>
    </row>
    <row r="650" spans="1:17" x14ac:dyDescent="0.25">
      <c r="A650" s="8">
        <v>45723</v>
      </c>
      <c r="B650" s="3">
        <v>9389</v>
      </c>
      <c r="C650" s="3">
        <v>284175</v>
      </c>
      <c r="D650" s="3" t="s">
        <v>42</v>
      </c>
      <c r="E650" s="3">
        <v>23689</v>
      </c>
      <c r="F650" s="3" t="s">
        <v>1213</v>
      </c>
      <c r="G650" s="3" t="s">
        <v>125</v>
      </c>
      <c r="H650" s="3" t="s">
        <v>1214</v>
      </c>
      <c r="I650" s="3" t="s">
        <v>1215</v>
      </c>
      <c r="J650" s="3" t="s">
        <v>86</v>
      </c>
      <c r="K650" s="6">
        <v>1417.77</v>
      </c>
      <c r="L650" s="4">
        <v>-909.62</v>
      </c>
      <c r="M650" s="4">
        <v>1</v>
      </c>
      <c r="N650" s="4">
        <v>200</v>
      </c>
      <c r="O650" s="11"/>
      <c r="P650" s="11"/>
      <c r="Q650" s="11"/>
    </row>
    <row r="651" spans="1:17" x14ac:dyDescent="0.25">
      <c r="A651" s="8">
        <v>45734</v>
      </c>
      <c r="B651" s="3">
        <v>9528</v>
      </c>
      <c r="C651" s="3">
        <v>284175</v>
      </c>
      <c r="D651" s="3" t="s">
        <v>42</v>
      </c>
      <c r="E651" s="3">
        <v>274812</v>
      </c>
      <c r="F651" s="3" t="s">
        <v>1216</v>
      </c>
      <c r="G651" s="3" t="s">
        <v>83</v>
      </c>
      <c r="H651" s="12" t="s">
        <v>1217</v>
      </c>
      <c r="I651" s="3" t="s">
        <v>572</v>
      </c>
      <c r="J651" s="3" t="s">
        <v>86</v>
      </c>
      <c r="K651" s="6">
        <v>1459.54</v>
      </c>
      <c r="L651" s="4">
        <v>431.86</v>
      </c>
      <c r="M651" s="4">
        <v>1</v>
      </c>
      <c r="N651" s="4">
        <v>200</v>
      </c>
      <c r="O651" s="11"/>
      <c r="P651" s="11"/>
      <c r="Q651" s="11"/>
    </row>
    <row r="652" spans="1:17" x14ac:dyDescent="0.25">
      <c r="A652" s="8">
        <v>45735</v>
      </c>
      <c r="B652" s="3">
        <v>9614</v>
      </c>
      <c r="C652" s="3">
        <v>284175</v>
      </c>
      <c r="D652" s="3" t="s">
        <v>42</v>
      </c>
      <c r="E652" s="3">
        <v>24043</v>
      </c>
      <c r="F652" s="3" t="s">
        <v>1218</v>
      </c>
      <c r="G652" s="3" t="s">
        <v>289</v>
      </c>
      <c r="H652" s="3" t="s">
        <v>1219</v>
      </c>
      <c r="I652" s="3" t="s">
        <v>94</v>
      </c>
      <c r="J652" s="3" t="s">
        <v>59</v>
      </c>
      <c r="K652" s="4">
        <v>0</v>
      </c>
      <c r="L652" s="4">
        <v>0</v>
      </c>
      <c r="M652" s="4">
        <v>0</v>
      </c>
      <c r="N652" s="4">
        <v>0</v>
      </c>
      <c r="O652" s="11"/>
      <c r="P652" s="11"/>
      <c r="Q652" s="11"/>
    </row>
    <row r="653" spans="1:17" x14ac:dyDescent="0.25">
      <c r="A653" s="8">
        <v>45735</v>
      </c>
      <c r="B653" s="3" t="s">
        <v>1220</v>
      </c>
      <c r="C653" s="3">
        <v>284175</v>
      </c>
      <c r="D653" s="3" t="s">
        <v>42</v>
      </c>
      <c r="E653" s="3">
        <v>23999</v>
      </c>
      <c r="F653" s="3" t="s">
        <v>1221</v>
      </c>
      <c r="G653" s="3" t="s">
        <v>289</v>
      </c>
      <c r="H653" s="3" t="s">
        <v>1222</v>
      </c>
      <c r="I653" s="3" t="s">
        <v>146</v>
      </c>
      <c r="J653" s="3" t="s">
        <v>59</v>
      </c>
      <c r="K653" s="4">
        <v>0</v>
      </c>
      <c r="L653" s="4">
        <v>0</v>
      </c>
      <c r="M653" s="4">
        <v>0</v>
      </c>
      <c r="N653" s="4">
        <v>0</v>
      </c>
      <c r="O653" s="11"/>
      <c r="P653" s="11"/>
      <c r="Q653" s="11"/>
    </row>
    <row r="654" spans="1:17" x14ac:dyDescent="0.25">
      <c r="A654" s="8">
        <v>45735</v>
      </c>
      <c r="B654" s="3">
        <v>9598</v>
      </c>
      <c r="C654" s="3">
        <v>284175</v>
      </c>
      <c r="D654" s="3" t="s">
        <v>42</v>
      </c>
      <c r="E654" s="3">
        <v>276308</v>
      </c>
      <c r="F654" s="3" t="s">
        <v>1223</v>
      </c>
      <c r="G654" s="3" t="s">
        <v>63</v>
      </c>
      <c r="H654" s="3" t="s">
        <v>1224</v>
      </c>
      <c r="I654" s="3" t="s">
        <v>118</v>
      </c>
      <c r="J654" s="3" t="s">
        <v>59</v>
      </c>
      <c r="K654" s="4">
        <v>0</v>
      </c>
      <c r="L654" s="4">
        <v>0</v>
      </c>
      <c r="M654" s="4">
        <v>0</v>
      </c>
      <c r="N654" s="4">
        <v>0</v>
      </c>
      <c r="O654" s="11"/>
      <c r="P654" s="11"/>
      <c r="Q654" s="11"/>
    </row>
    <row r="655" spans="1:17" x14ac:dyDescent="0.25">
      <c r="A655" s="8">
        <v>45735</v>
      </c>
      <c r="B655" s="3">
        <v>9598</v>
      </c>
      <c r="C655" s="3">
        <v>284175</v>
      </c>
      <c r="D655" s="3" t="s">
        <v>42</v>
      </c>
      <c r="E655" s="3">
        <v>276308</v>
      </c>
      <c r="F655" s="3" t="s">
        <v>1223</v>
      </c>
      <c r="G655" s="3" t="s">
        <v>63</v>
      </c>
      <c r="H655" s="3" t="s">
        <v>865</v>
      </c>
      <c r="I655" s="3" t="s">
        <v>866</v>
      </c>
      <c r="J655" s="3" t="s">
        <v>59</v>
      </c>
      <c r="K655" s="5"/>
      <c r="L655" s="5"/>
      <c r="M655" s="5"/>
      <c r="N655" s="5"/>
      <c r="O655" s="11"/>
      <c r="P655" s="11"/>
      <c r="Q655" s="11"/>
    </row>
    <row r="656" spans="1:17" x14ac:dyDescent="0.25">
      <c r="A656" s="8">
        <v>45735</v>
      </c>
      <c r="B656" s="3">
        <v>9620</v>
      </c>
      <c r="C656" s="3">
        <v>284175</v>
      </c>
      <c r="D656" s="3" t="s">
        <v>42</v>
      </c>
      <c r="E656" s="3">
        <v>24051</v>
      </c>
      <c r="F656" s="3" t="s">
        <v>1225</v>
      </c>
      <c r="G656" s="3" t="s">
        <v>63</v>
      </c>
      <c r="H656" s="3" t="s">
        <v>1226</v>
      </c>
      <c r="I656" s="3" t="s">
        <v>94</v>
      </c>
      <c r="J656" s="3" t="s">
        <v>59</v>
      </c>
      <c r="K656" s="4">
        <v>0</v>
      </c>
      <c r="L656" s="4">
        <v>0</v>
      </c>
      <c r="M656" s="4">
        <v>0</v>
      </c>
      <c r="N656" s="4">
        <v>0</v>
      </c>
      <c r="O656" s="11"/>
      <c r="P656" s="11"/>
      <c r="Q656" s="11"/>
    </row>
    <row r="657" spans="1:17" x14ac:dyDescent="0.25">
      <c r="A657" s="8">
        <v>45735</v>
      </c>
      <c r="B657" s="3">
        <v>9568</v>
      </c>
      <c r="C657" s="3">
        <v>284175</v>
      </c>
      <c r="D657" s="3" t="s">
        <v>42</v>
      </c>
      <c r="E657" s="3">
        <v>23999</v>
      </c>
      <c r="F657" s="3" t="s">
        <v>1221</v>
      </c>
      <c r="G657" s="3" t="s">
        <v>69</v>
      </c>
      <c r="H657" s="3" t="s">
        <v>1222</v>
      </c>
      <c r="I657" s="3" t="s">
        <v>146</v>
      </c>
      <c r="J657" s="3" t="s">
        <v>59</v>
      </c>
      <c r="K657" s="4">
        <v>0</v>
      </c>
      <c r="L657" s="4">
        <v>0</v>
      </c>
      <c r="M657" s="4">
        <v>0</v>
      </c>
      <c r="N657" s="4">
        <v>0</v>
      </c>
      <c r="O657" s="11"/>
      <c r="P657" s="11"/>
      <c r="Q657" s="11"/>
    </row>
    <row r="658" spans="1:17" x14ac:dyDescent="0.25">
      <c r="A658" s="8">
        <v>45741</v>
      </c>
      <c r="B658" s="3">
        <v>9515</v>
      </c>
      <c r="C658" s="3">
        <v>284175</v>
      </c>
      <c r="D658" s="3" t="s">
        <v>42</v>
      </c>
      <c r="E658" s="3">
        <v>23917</v>
      </c>
      <c r="F658" s="3" t="s">
        <v>130</v>
      </c>
      <c r="G658" s="3" t="s">
        <v>63</v>
      </c>
      <c r="H658" s="3" t="s">
        <v>131</v>
      </c>
      <c r="I658" s="3" t="s">
        <v>118</v>
      </c>
      <c r="J658" s="3" t="s">
        <v>59</v>
      </c>
      <c r="K658" s="4">
        <v>0</v>
      </c>
      <c r="L658" s="4">
        <v>0</v>
      </c>
      <c r="M658" s="4">
        <v>0</v>
      </c>
      <c r="N658" s="4">
        <v>0</v>
      </c>
      <c r="O658" s="11"/>
      <c r="P658" s="11"/>
      <c r="Q658" s="11"/>
    </row>
    <row r="659" spans="1:17" x14ac:dyDescent="0.25">
      <c r="A659" s="8">
        <v>45743</v>
      </c>
      <c r="B659" s="3">
        <v>9462</v>
      </c>
      <c r="C659" s="3">
        <v>284175</v>
      </c>
      <c r="D659" s="3" t="s">
        <v>42</v>
      </c>
      <c r="E659" s="3">
        <v>23810</v>
      </c>
      <c r="F659" s="3" t="s">
        <v>138</v>
      </c>
      <c r="G659" s="3" t="s">
        <v>63</v>
      </c>
      <c r="H659" s="3" t="s">
        <v>139</v>
      </c>
      <c r="I659" s="3" t="s">
        <v>140</v>
      </c>
      <c r="J659" s="3" t="s">
        <v>59</v>
      </c>
      <c r="K659" s="4">
        <v>0</v>
      </c>
      <c r="L659" s="4">
        <v>0</v>
      </c>
      <c r="M659" s="4">
        <v>0</v>
      </c>
      <c r="N659" s="4">
        <v>0</v>
      </c>
      <c r="O659" s="11"/>
      <c r="P659" s="11"/>
      <c r="Q659" s="11"/>
    </row>
    <row r="660" spans="1:17" x14ac:dyDescent="0.25">
      <c r="A660" s="8">
        <v>45744</v>
      </c>
      <c r="B660" s="3">
        <v>9743</v>
      </c>
      <c r="C660" s="3">
        <v>284175</v>
      </c>
      <c r="D660" s="3" t="s">
        <v>42</v>
      </c>
      <c r="E660" s="3">
        <v>24262</v>
      </c>
      <c r="F660" s="3" t="s">
        <v>1227</v>
      </c>
      <c r="G660" s="3" t="s">
        <v>108</v>
      </c>
      <c r="H660" s="3" t="s">
        <v>991</v>
      </c>
      <c r="I660" s="3" t="s">
        <v>992</v>
      </c>
      <c r="J660" s="3" t="s">
        <v>86</v>
      </c>
      <c r="K660" s="6">
        <v>1000</v>
      </c>
      <c r="L660" s="6">
        <v>-1292.21</v>
      </c>
      <c r="M660" s="4">
        <v>1</v>
      </c>
      <c r="N660" s="4">
        <v>200</v>
      </c>
      <c r="O660" s="11"/>
      <c r="P660" s="11"/>
      <c r="Q660" s="11"/>
    </row>
    <row r="661" spans="1:17" x14ac:dyDescent="0.25">
      <c r="A661" s="8">
        <v>45747</v>
      </c>
      <c r="B661" s="3" t="s">
        <v>1228</v>
      </c>
      <c r="C661" s="3">
        <v>284175</v>
      </c>
      <c r="D661" s="3" t="s">
        <v>42</v>
      </c>
      <c r="E661" s="3">
        <v>24043</v>
      </c>
      <c r="F661" s="3" t="s">
        <v>1218</v>
      </c>
      <c r="G661" s="3" t="s">
        <v>289</v>
      </c>
      <c r="H661" s="3" t="s">
        <v>1219</v>
      </c>
      <c r="I661" s="3" t="s">
        <v>94</v>
      </c>
      <c r="J661" s="3" t="s">
        <v>59</v>
      </c>
      <c r="K661" s="6">
        <v>4488.57</v>
      </c>
      <c r="L661" s="4">
        <v>890</v>
      </c>
      <c r="M661" s="4">
        <v>1</v>
      </c>
      <c r="N661" s="4">
        <v>200</v>
      </c>
      <c r="O661" s="11"/>
      <c r="P661" s="11"/>
      <c r="Q661" s="11"/>
    </row>
    <row r="662" spans="1:17" x14ac:dyDescent="0.25">
      <c r="A662" s="8">
        <v>45747</v>
      </c>
      <c r="B662" s="3" t="s">
        <v>1229</v>
      </c>
      <c r="C662" s="3">
        <v>284175</v>
      </c>
      <c r="D662" s="3" t="s">
        <v>42</v>
      </c>
      <c r="E662" s="3">
        <v>23999</v>
      </c>
      <c r="F662" s="3" t="s">
        <v>1221</v>
      </c>
      <c r="G662" s="3" t="s">
        <v>289</v>
      </c>
      <c r="H662" s="3" t="s">
        <v>1222</v>
      </c>
      <c r="I662" s="3" t="s">
        <v>146</v>
      </c>
      <c r="J662" s="3" t="s">
        <v>59</v>
      </c>
      <c r="K662" s="4">
        <v>0</v>
      </c>
      <c r="L662" s="4">
        <v>-144.26</v>
      </c>
      <c r="M662" s="4">
        <v>1</v>
      </c>
      <c r="N662" s="4">
        <v>200</v>
      </c>
      <c r="O662" s="11"/>
      <c r="P662" s="11"/>
      <c r="Q662" s="11"/>
    </row>
    <row r="663" spans="1:17" x14ac:dyDescent="0.25">
      <c r="A663" s="8">
        <v>45747</v>
      </c>
      <c r="B663" s="3" t="s">
        <v>1230</v>
      </c>
      <c r="C663" s="3">
        <v>284175</v>
      </c>
      <c r="D663" s="3" t="s">
        <v>42</v>
      </c>
      <c r="E663" s="3">
        <v>23614</v>
      </c>
      <c r="F663" s="3" t="s">
        <v>1208</v>
      </c>
      <c r="G663" s="3" t="s">
        <v>289</v>
      </c>
      <c r="H663" s="3" t="s">
        <v>1209</v>
      </c>
      <c r="I663" s="3" t="s">
        <v>118</v>
      </c>
      <c r="J663" s="3" t="s">
        <v>59</v>
      </c>
      <c r="K663" s="4">
        <v>0</v>
      </c>
      <c r="L663" s="6">
        <v>-2756.89</v>
      </c>
      <c r="M663" s="4">
        <v>1</v>
      </c>
      <c r="N663" s="4">
        <v>200</v>
      </c>
      <c r="O663" s="11"/>
      <c r="P663" s="11"/>
      <c r="Q663" s="11"/>
    </row>
    <row r="664" spans="1:17" x14ac:dyDescent="0.25">
      <c r="A664" s="8">
        <v>45747</v>
      </c>
      <c r="B664" s="3" t="s">
        <v>1231</v>
      </c>
      <c r="C664" s="3">
        <v>284175</v>
      </c>
      <c r="D664" s="3" t="s">
        <v>42</v>
      </c>
      <c r="E664" s="3">
        <v>24051</v>
      </c>
      <c r="F664" s="3" t="s">
        <v>1225</v>
      </c>
      <c r="G664" s="3" t="s">
        <v>63</v>
      </c>
      <c r="H664" s="3" t="s">
        <v>1226</v>
      </c>
      <c r="I664" s="3" t="s">
        <v>94</v>
      </c>
      <c r="J664" s="3" t="s">
        <v>59</v>
      </c>
      <c r="K664" s="6">
        <v>3963.75</v>
      </c>
      <c r="L664" s="4">
        <v>835</v>
      </c>
      <c r="M664" s="4">
        <v>1</v>
      </c>
      <c r="N664" s="4">
        <v>200</v>
      </c>
      <c r="O664" s="11"/>
      <c r="P664" s="11"/>
      <c r="Q664" s="11"/>
    </row>
    <row r="665" spans="1:17" x14ac:dyDescent="0.25">
      <c r="A665" s="8">
        <v>45747</v>
      </c>
      <c r="B665" s="3" t="s">
        <v>150</v>
      </c>
      <c r="C665" s="3">
        <v>284175</v>
      </c>
      <c r="D665" s="3" t="s">
        <v>42</v>
      </c>
      <c r="E665" s="3">
        <v>23810</v>
      </c>
      <c r="F665" s="3" t="s">
        <v>138</v>
      </c>
      <c r="G665" s="3" t="s">
        <v>63</v>
      </c>
      <c r="H665" s="3" t="s">
        <v>139</v>
      </c>
      <c r="I665" s="3" t="s">
        <v>140</v>
      </c>
      <c r="J665" s="3" t="s">
        <v>59</v>
      </c>
      <c r="K665" s="4">
        <v>892.15</v>
      </c>
      <c r="L665" s="4">
        <v>-657.58</v>
      </c>
      <c r="M665" s="4">
        <v>0.5</v>
      </c>
      <c r="N665" s="4">
        <v>100</v>
      </c>
      <c r="O665" s="11"/>
      <c r="P665" s="11"/>
      <c r="Q665" s="11"/>
    </row>
    <row r="666" spans="1:17" x14ac:dyDescent="0.25">
      <c r="A666" s="8">
        <v>45747</v>
      </c>
      <c r="B666" s="3" t="s">
        <v>153</v>
      </c>
      <c r="C666" s="3">
        <v>284175</v>
      </c>
      <c r="D666" s="3" t="s">
        <v>42</v>
      </c>
      <c r="E666" s="3">
        <v>23917</v>
      </c>
      <c r="F666" s="3" t="s">
        <v>130</v>
      </c>
      <c r="G666" s="3" t="s">
        <v>63</v>
      </c>
      <c r="H666" s="3" t="s">
        <v>131</v>
      </c>
      <c r="I666" s="3" t="s">
        <v>118</v>
      </c>
      <c r="J666" s="3" t="s">
        <v>59</v>
      </c>
      <c r="K666" s="4">
        <v>694.21</v>
      </c>
      <c r="L666" s="6">
        <v>1136.23</v>
      </c>
      <c r="M666" s="4">
        <v>0.5</v>
      </c>
      <c r="N666" s="4">
        <v>204.52</v>
      </c>
      <c r="O666" s="11"/>
      <c r="P666" s="11"/>
      <c r="Q666" s="11"/>
    </row>
    <row r="667" spans="1:17" x14ac:dyDescent="0.25">
      <c r="A667" s="8">
        <v>45747</v>
      </c>
      <c r="B667" s="3" t="s">
        <v>1232</v>
      </c>
      <c r="C667" s="3">
        <v>284175</v>
      </c>
      <c r="D667" s="3" t="s">
        <v>42</v>
      </c>
      <c r="E667" s="3">
        <v>276308</v>
      </c>
      <c r="F667" s="3" t="s">
        <v>1223</v>
      </c>
      <c r="G667" s="3" t="s">
        <v>63</v>
      </c>
      <c r="H667" s="3" t="s">
        <v>1224</v>
      </c>
      <c r="I667" s="3" t="s">
        <v>118</v>
      </c>
      <c r="J667" s="3" t="s">
        <v>59</v>
      </c>
      <c r="K667" s="6">
        <v>2695.79</v>
      </c>
      <c r="L667" s="4">
        <v>448</v>
      </c>
      <c r="M667" s="4">
        <v>1</v>
      </c>
      <c r="N667" s="4">
        <v>200</v>
      </c>
      <c r="O667" s="11"/>
      <c r="P667" s="11"/>
      <c r="Q667" s="11"/>
    </row>
    <row r="668" spans="1:17" x14ac:dyDescent="0.25">
      <c r="A668" s="8">
        <v>45747</v>
      </c>
      <c r="B668" s="3" t="s">
        <v>1232</v>
      </c>
      <c r="C668" s="3">
        <v>284175</v>
      </c>
      <c r="D668" s="3" t="s">
        <v>42</v>
      </c>
      <c r="E668" s="3">
        <v>276308</v>
      </c>
      <c r="F668" s="3" t="s">
        <v>1223</v>
      </c>
      <c r="G668" s="3" t="s">
        <v>63</v>
      </c>
      <c r="H668" s="3" t="s">
        <v>865</v>
      </c>
      <c r="I668" s="3" t="s">
        <v>866</v>
      </c>
      <c r="J668" s="3" t="s">
        <v>59</v>
      </c>
      <c r="K668" s="5"/>
      <c r="L668" s="5"/>
      <c r="M668" s="5"/>
      <c r="N668" s="5"/>
      <c r="O668" s="11"/>
      <c r="P668" s="11"/>
      <c r="Q668" s="11"/>
    </row>
    <row r="669" spans="1:17" x14ac:dyDescent="0.25">
      <c r="A669" s="8">
        <v>45747</v>
      </c>
      <c r="B669" s="3">
        <v>9897</v>
      </c>
      <c r="C669" s="3">
        <v>284175</v>
      </c>
      <c r="D669" s="3" t="s">
        <v>42</v>
      </c>
      <c r="E669" s="3">
        <v>24441</v>
      </c>
      <c r="F669" s="3" t="s">
        <v>1233</v>
      </c>
      <c r="G669" s="3" t="s">
        <v>56</v>
      </c>
      <c r="H669" s="3" t="s">
        <v>1234</v>
      </c>
      <c r="I669" s="3" t="s">
        <v>106</v>
      </c>
      <c r="J669" s="3" t="s">
        <v>59</v>
      </c>
      <c r="K669" s="4">
        <v>245</v>
      </c>
      <c r="L669" s="6">
        <v>-2512.8000000000002</v>
      </c>
      <c r="M669" s="4">
        <v>1</v>
      </c>
      <c r="N669" s="4">
        <v>200</v>
      </c>
      <c r="O669" s="11"/>
      <c r="P669" s="11"/>
      <c r="Q669" s="11"/>
    </row>
    <row r="670" spans="1:17" x14ac:dyDescent="0.25">
      <c r="A670" s="8">
        <v>45747</v>
      </c>
      <c r="B670" s="3">
        <v>9897</v>
      </c>
      <c r="C670" s="3">
        <v>284175</v>
      </c>
      <c r="D670" s="3" t="s">
        <v>42</v>
      </c>
      <c r="E670" s="3">
        <v>24441</v>
      </c>
      <c r="F670" s="3" t="s">
        <v>1233</v>
      </c>
      <c r="G670" s="3" t="s">
        <v>56</v>
      </c>
      <c r="H670" s="3" t="s">
        <v>1235</v>
      </c>
      <c r="I670" s="3" t="s">
        <v>1236</v>
      </c>
      <c r="J670" s="3" t="s">
        <v>59</v>
      </c>
      <c r="K670" s="5"/>
      <c r="L670" s="5"/>
      <c r="M670" s="5"/>
      <c r="N670" s="5"/>
      <c r="O670" s="11"/>
      <c r="P670" s="11"/>
      <c r="Q670" s="11"/>
    </row>
    <row r="671" spans="1:17" x14ac:dyDescent="0.25">
      <c r="A671" s="8">
        <v>45747</v>
      </c>
      <c r="B671" s="3">
        <v>9987</v>
      </c>
      <c r="C671" s="3">
        <v>284175</v>
      </c>
      <c r="D671" s="3" t="s">
        <v>42</v>
      </c>
      <c r="E671" s="3">
        <v>24484</v>
      </c>
      <c r="F671" s="3" t="s">
        <v>1237</v>
      </c>
      <c r="G671" s="3" t="s">
        <v>56</v>
      </c>
      <c r="H671" s="3" t="s">
        <v>1238</v>
      </c>
      <c r="I671" s="3" t="s">
        <v>89</v>
      </c>
      <c r="J671" s="3" t="s">
        <v>59</v>
      </c>
      <c r="K671" s="6">
        <v>3754</v>
      </c>
      <c r="L671" s="6">
        <v>1387.18</v>
      </c>
      <c r="M671" s="4">
        <v>1</v>
      </c>
      <c r="N671" s="4">
        <v>249.69</v>
      </c>
      <c r="O671" s="11"/>
      <c r="P671" s="11"/>
      <c r="Q671" s="11"/>
    </row>
    <row r="672" spans="1:17" x14ac:dyDescent="0.25">
      <c r="A672" s="8">
        <v>45747</v>
      </c>
      <c r="B672" s="3">
        <v>9667</v>
      </c>
      <c r="C672" s="3">
        <v>284175</v>
      </c>
      <c r="D672" s="3" t="s">
        <v>42</v>
      </c>
      <c r="E672" s="3">
        <v>24158</v>
      </c>
      <c r="F672" s="3" t="s">
        <v>1239</v>
      </c>
      <c r="G672" s="3" t="s">
        <v>108</v>
      </c>
      <c r="H672" s="3" t="s">
        <v>1240</v>
      </c>
      <c r="I672" s="3" t="s">
        <v>1241</v>
      </c>
      <c r="J672" s="3" t="s">
        <v>86</v>
      </c>
      <c r="K672" s="6">
        <v>2478.6999999999998</v>
      </c>
      <c r="L672" s="6">
        <v>-5359.86</v>
      </c>
      <c r="M672" s="4">
        <v>1</v>
      </c>
      <c r="N672" s="4">
        <v>200</v>
      </c>
      <c r="O672" s="11"/>
      <c r="P672" s="11"/>
      <c r="Q672" s="11"/>
    </row>
    <row r="673" spans="1:17" x14ac:dyDescent="0.25">
      <c r="A673" s="8">
        <v>45747</v>
      </c>
      <c r="B673" s="3">
        <v>9909</v>
      </c>
      <c r="C673" s="3">
        <v>284175</v>
      </c>
      <c r="D673" s="3" t="s">
        <v>42</v>
      </c>
      <c r="E673" s="3">
        <v>24458</v>
      </c>
      <c r="F673" s="3" t="s">
        <v>1242</v>
      </c>
      <c r="G673" s="3" t="s">
        <v>108</v>
      </c>
      <c r="H673" s="3" t="s">
        <v>1243</v>
      </c>
      <c r="I673" s="3" t="s">
        <v>1244</v>
      </c>
      <c r="J673" s="3" t="s">
        <v>86</v>
      </c>
      <c r="K673" s="6">
        <v>1734.47</v>
      </c>
      <c r="L673" s="4">
        <v>680.27</v>
      </c>
      <c r="M673" s="4">
        <v>1</v>
      </c>
      <c r="N673" s="4">
        <v>200</v>
      </c>
      <c r="O673" s="11"/>
      <c r="P673" s="11"/>
      <c r="Q673" s="11"/>
    </row>
    <row r="674" spans="1:17" x14ac:dyDescent="0.25">
      <c r="A674" s="8">
        <v>45747</v>
      </c>
      <c r="B674" s="3">
        <v>9900</v>
      </c>
      <c r="C674" s="3">
        <v>284175</v>
      </c>
      <c r="D674" s="3" t="s">
        <v>42</v>
      </c>
      <c r="E674" s="3">
        <v>24447</v>
      </c>
      <c r="F674" s="3" t="s">
        <v>1186</v>
      </c>
      <c r="G674" s="3" t="s">
        <v>108</v>
      </c>
      <c r="H674" s="3" t="s">
        <v>1187</v>
      </c>
      <c r="I674" s="3" t="s">
        <v>1188</v>
      </c>
      <c r="J674" s="3" t="s">
        <v>86</v>
      </c>
      <c r="K674" s="6">
        <v>1593.59</v>
      </c>
      <c r="L674" s="6">
        <v>-1209.22</v>
      </c>
      <c r="M674" s="4">
        <v>0.5</v>
      </c>
      <c r="N674" s="4">
        <v>100</v>
      </c>
      <c r="O674" s="11"/>
      <c r="P674" s="11"/>
      <c r="Q674" s="1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50467-BF6B-4831-88F1-AE43FBD1A3BF}">
  <dimension ref="A1:R41"/>
  <sheetViews>
    <sheetView workbookViewId="0"/>
  </sheetViews>
  <sheetFormatPr defaultRowHeight="15" x14ac:dyDescent="0.25"/>
  <cols>
    <col min="1" max="1" width="23" style="95" bestFit="1" customWidth="1"/>
    <col min="2" max="2" width="17.85546875" bestFit="1" customWidth="1"/>
    <col min="3" max="3" width="11.42578125" bestFit="1" customWidth="1"/>
    <col min="4" max="4" width="19.140625" bestFit="1" customWidth="1"/>
    <col min="5" max="5" width="8.28515625" bestFit="1" customWidth="1"/>
    <col min="6" max="6" width="5" bestFit="1" customWidth="1"/>
    <col min="7" max="7" width="5.7109375" bestFit="1" customWidth="1"/>
    <col min="8" max="8" width="6.5703125" bestFit="1" customWidth="1"/>
    <col min="9" max="9" width="9.5703125" bestFit="1" customWidth="1"/>
    <col min="10" max="10" width="23.140625" bestFit="1" customWidth="1"/>
    <col min="11" max="11" width="18.42578125" bestFit="1" customWidth="1"/>
    <col min="12" max="12" width="5.7109375" bestFit="1" customWidth="1"/>
    <col min="13" max="13" width="20.140625" bestFit="1" customWidth="1"/>
    <col min="14" max="14" width="13.7109375" bestFit="1" customWidth="1"/>
    <col min="15" max="15" width="11.5703125" bestFit="1" customWidth="1"/>
    <col min="16" max="16" width="24.85546875" bestFit="1" customWidth="1"/>
  </cols>
  <sheetData>
    <row r="1" spans="1:18" x14ac:dyDescent="0.25">
      <c r="A1" s="101" t="s">
        <v>1249</v>
      </c>
      <c r="B1" s="100" t="s">
        <v>6</v>
      </c>
    </row>
    <row r="2" spans="1:18" x14ac:dyDescent="0.25">
      <c r="A2" s="101" t="s">
        <v>1307</v>
      </c>
      <c r="B2" s="100">
        <v>99</v>
      </c>
    </row>
    <row r="3" spans="1:18" x14ac:dyDescent="0.25">
      <c r="A3" s="101" t="s">
        <v>1305</v>
      </c>
      <c r="B3" s="100">
        <f>VLOOKUP(B2, '90'!A:E, 5, 0)</f>
        <v>9</v>
      </c>
    </row>
    <row r="4" spans="1:18" x14ac:dyDescent="0.25">
      <c r="A4" s="101" t="s">
        <v>1306</v>
      </c>
      <c r="B4" s="100" t="str">
        <f>IFERROR(VLOOKUP(B2, NPS!B:H, 7, 0), 0)</f>
        <v>A</v>
      </c>
    </row>
    <row r="5" spans="1:18" x14ac:dyDescent="0.25">
      <c r="A5" s="101" t="s">
        <v>1257</v>
      </c>
      <c r="B5" s="100">
        <f>IFERROR(VLOOKUP(B2, NPS!B:H, 3, 0), 0)</f>
        <v>0</v>
      </c>
    </row>
    <row r="6" spans="1:18" x14ac:dyDescent="0.25">
      <c r="A6" s="101" t="s">
        <v>1447</v>
      </c>
      <c r="B6" s="103">
        <f>VLOOKUP(1, 'Look Up Table'!A:B, 2, TRUE)</f>
        <v>0</v>
      </c>
    </row>
    <row r="7" spans="1:18" ht="50.1" customHeight="1" x14ac:dyDescent="0.25">
      <c r="A7" s="102" t="s">
        <v>43</v>
      </c>
      <c r="B7" s="80" t="s">
        <v>1308</v>
      </c>
      <c r="C7" s="80" t="s">
        <v>1309</v>
      </c>
      <c r="D7" s="80" t="s">
        <v>48</v>
      </c>
      <c r="E7" s="80" t="s">
        <v>1310</v>
      </c>
      <c r="F7" s="80" t="s">
        <v>1311</v>
      </c>
      <c r="G7" s="80" t="s">
        <v>1312</v>
      </c>
      <c r="H7" s="80" t="s">
        <v>1313</v>
      </c>
      <c r="I7" s="80" t="s">
        <v>51</v>
      </c>
      <c r="J7" s="80" t="s">
        <v>1314</v>
      </c>
      <c r="K7" s="80" t="s">
        <v>1315</v>
      </c>
      <c r="L7" s="80" t="s">
        <v>54</v>
      </c>
      <c r="M7" s="80" t="s">
        <v>55</v>
      </c>
      <c r="N7" s="80" t="s">
        <v>1316</v>
      </c>
      <c r="O7" s="80" t="s">
        <v>1317</v>
      </c>
      <c r="P7" s="80" t="s">
        <v>1318</v>
      </c>
    </row>
    <row r="8" spans="1:18" x14ac:dyDescent="0.25">
      <c r="A8" s="96">
        <v>45747</v>
      </c>
      <c r="B8" s="93" t="s">
        <v>60</v>
      </c>
      <c r="C8" s="93">
        <v>284175</v>
      </c>
      <c r="D8" s="93" t="s">
        <v>42</v>
      </c>
      <c r="E8" s="93" t="s">
        <v>57</v>
      </c>
      <c r="F8" s="93">
        <v>25</v>
      </c>
      <c r="G8" s="93" t="s">
        <v>1319</v>
      </c>
      <c r="H8" s="93" t="s">
        <v>1320</v>
      </c>
      <c r="I8" s="93" t="s">
        <v>59</v>
      </c>
      <c r="J8" s="107">
        <v>0</v>
      </c>
      <c r="K8" s="107">
        <v>-1029</v>
      </c>
      <c r="L8" s="93">
        <v>1</v>
      </c>
      <c r="M8" s="107">
        <v>200</v>
      </c>
      <c r="N8" s="107">
        <f>IF(M8&lt;=251, VLOOKUP(B3, 'Look Up Table'!I:J, 2, TRUE) * L8, 0)</f>
        <v>200</v>
      </c>
      <c r="O8" s="107">
        <f>IF(N8&gt;0, N8 - M8, 0)</f>
        <v>0</v>
      </c>
      <c r="P8" s="107">
        <f>IF(N8 = 0, K8 * B6, 0)</f>
        <v>0</v>
      </c>
      <c r="Q8" s="93"/>
      <c r="R8" s="93"/>
    </row>
    <row r="9" spans="1:18" x14ac:dyDescent="0.25">
      <c r="A9" s="104"/>
      <c r="B9" s="105"/>
      <c r="C9" s="105"/>
      <c r="D9" s="105"/>
      <c r="E9" s="105"/>
      <c r="F9" s="105"/>
      <c r="G9" s="105"/>
      <c r="H9" s="105"/>
      <c r="I9" s="105"/>
      <c r="J9" s="108">
        <f>SUM(J8:J8)</f>
        <v>0</v>
      </c>
      <c r="K9" s="108">
        <f>SUM(K8:K8)</f>
        <v>-1029</v>
      </c>
      <c r="L9" s="105">
        <f>SUM(L8:L8)</f>
        <v>1</v>
      </c>
      <c r="M9" s="108">
        <f>SUM(M8:M8)</f>
        <v>200</v>
      </c>
      <c r="N9" s="108">
        <f>SUM(N8:N8)</f>
        <v>200</v>
      </c>
      <c r="O9" s="108">
        <f>SUM(O8:O8)</f>
        <v>0</v>
      </c>
      <c r="P9" s="108">
        <f>SUM(P8:P8)</f>
        <v>0</v>
      </c>
      <c r="Q9" s="93"/>
      <c r="R9" s="93"/>
    </row>
    <row r="11" spans="1:18" x14ac:dyDescent="0.25">
      <c r="J11" s="99" t="s">
        <v>1451</v>
      </c>
      <c r="M11" s="106">
        <f>-VLOOKUP(B2, '3213'!A:G, 7, 0)</f>
        <v>0</v>
      </c>
    </row>
    <row r="12" spans="1:18" x14ac:dyDescent="0.25">
      <c r="J12" s="99"/>
      <c r="M12" s="106"/>
    </row>
    <row r="13" spans="1:18" x14ac:dyDescent="0.25">
      <c r="J13" s="99" t="s">
        <v>1264</v>
      </c>
      <c r="K13" s="92">
        <v>0.18</v>
      </c>
      <c r="M13" s="106">
        <f>M9</f>
        <v>200</v>
      </c>
    </row>
    <row r="14" spans="1:18" x14ac:dyDescent="0.25">
      <c r="J14" s="99"/>
      <c r="M14" s="106"/>
    </row>
    <row r="15" spans="1:18" x14ac:dyDescent="0.25">
      <c r="A15" s="110"/>
      <c r="B15" s="109"/>
      <c r="C15" s="109"/>
      <c r="D15" t="s">
        <v>1448</v>
      </c>
      <c r="J15" s="99" t="s">
        <v>1265</v>
      </c>
      <c r="K15" s="92">
        <f>B6</f>
        <v>0</v>
      </c>
      <c r="M15" s="106">
        <f>P9</f>
        <v>0</v>
      </c>
    </row>
    <row r="16" spans="1:18" x14ac:dyDescent="0.25">
      <c r="J16" s="99"/>
      <c r="M16" s="106"/>
    </row>
    <row r="17" spans="1:13" x14ac:dyDescent="0.25">
      <c r="J17" s="99" t="s">
        <v>1452</v>
      </c>
      <c r="M17" s="106">
        <f>O9</f>
        <v>0</v>
      </c>
    </row>
    <row r="18" spans="1:13" x14ac:dyDescent="0.25">
      <c r="J18" s="99"/>
      <c r="M18" s="106"/>
    </row>
    <row r="19" spans="1:13" x14ac:dyDescent="0.25">
      <c r="J19" s="99" t="s">
        <v>1453</v>
      </c>
      <c r="M19" s="106">
        <f>SUM(P9, O9)</f>
        <v>0</v>
      </c>
    </row>
    <row r="20" spans="1:13" x14ac:dyDescent="0.25">
      <c r="J20" s="99"/>
      <c r="M20" s="106"/>
    </row>
    <row r="21" spans="1:13" x14ac:dyDescent="0.25">
      <c r="A21" s="110"/>
      <c r="B21" s="109"/>
      <c r="C21" s="109"/>
      <c r="D21" t="s">
        <v>1449</v>
      </c>
      <c r="J21" s="99" t="s">
        <v>1454</v>
      </c>
      <c r="M21" s="106">
        <f>J9</f>
        <v>0</v>
      </c>
    </row>
    <row r="22" spans="1:13" x14ac:dyDescent="0.25">
      <c r="J22" s="99"/>
      <c r="M22" s="106"/>
    </row>
    <row r="23" spans="1:13" x14ac:dyDescent="0.25">
      <c r="J23" s="99" t="s">
        <v>1455</v>
      </c>
      <c r="K23" s="92">
        <v>-0.25</v>
      </c>
      <c r="M23" s="106">
        <f>K23 * M21</f>
        <v>0</v>
      </c>
    </row>
    <row r="24" spans="1:13" x14ac:dyDescent="0.25">
      <c r="J24" s="99"/>
      <c r="M24" s="106"/>
    </row>
    <row r="25" spans="1:13" x14ac:dyDescent="0.25">
      <c r="J25" s="99" t="s">
        <v>1456</v>
      </c>
      <c r="M25" s="106">
        <f>M21 + M23</f>
        <v>0</v>
      </c>
    </row>
    <row r="26" spans="1:13" x14ac:dyDescent="0.25">
      <c r="J26" s="99"/>
      <c r="M26" s="106"/>
    </row>
    <row r="27" spans="1:13" x14ac:dyDescent="0.25">
      <c r="J27" s="99" t="s">
        <v>1457</v>
      </c>
      <c r="K27" s="92">
        <v>0.05</v>
      </c>
      <c r="M27" s="106">
        <f>K27 * M25</f>
        <v>0</v>
      </c>
    </row>
    <row r="28" spans="1:13" x14ac:dyDescent="0.25">
      <c r="J28" s="99"/>
      <c r="M28" s="106"/>
    </row>
    <row r="29" spans="1:13" x14ac:dyDescent="0.25">
      <c r="J29" s="99" t="s">
        <v>1458</v>
      </c>
      <c r="K29" t="str">
        <f>VLOOKUP(B2,'Pay Summary'!A:D,4,0)</f>
        <v/>
      </c>
      <c r="M29" s="106">
        <f>IF(K29 = 1, 500, 0)</f>
        <v>0</v>
      </c>
    </row>
    <row r="30" spans="1:13" x14ac:dyDescent="0.25">
      <c r="J30" s="99"/>
      <c r="M30" s="106"/>
    </row>
    <row r="31" spans="1:13" x14ac:dyDescent="0.25">
      <c r="J31" s="99" t="s">
        <v>1450</v>
      </c>
      <c r="K31">
        <f>L9</f>
        <v>1</v>
      </c>
      <c r="M31" s="106">
        <f>VLOOKUP(K31, 'Look Up Table'!E:F, 2, TRUE)</f>
        <v>0</v>
      </c>
    </row>
    <row r="32" spans="1:13" x14ac:dyDescent="0.25">
      <c r="J32" s="99"/>
      <c r="M32" s="106"/>
    </row>
    <row r="33" spans="10:15" x14ac:dyDescent="0.25">
      <c r="J33" s="99" t="s">
        <v>1306</v>
      </c>
      <c r="K33" s="111" t="str">
        <f>B4</f>
        <v>A</v>
      </c>
      <c r="M33" s="106">
        <f>IF(B5&gt;=3,IF(B4="3P",L9*50,IF(B4="A",0,IF(B4="B",L9*-50))),0)</f>
        <v>0</v>
      </c>
      <c r="N33" s="99" t="s">
        <v>1463</v>
      </c>
      <c r="O33" s="112">
        <f>'NPS Sheet'!X51</f>
        <v>0.91700000000000004</v>
      </c>
    </row>
    <row r="34" spans="10:15" x14ac:dyDescent="0.25">
      <c r="J34" s="99"/>
      <c r="M34" s="106"/>
    </row>
    <row r="35" spans="10:15" x14ac:dyDescent="0.25">
      <c r="J35" s="99" t="s">
        <v>1459</v>
      </c>
      <c r="M35" s="106">
        <f>SUM(M31, M33, M29)</f>
        <v>0</v>
      </c>
    </row>
    <row r="36" spans="10:15" x14ac:dyDescent="0.25">
      <c r="J36" s="99"/>
      <c r="M36" s="106"/>
    </row>
    <row r="37" spans="10:15" x14ac:dyDescent="0.25">
      <c r="J37" s="99" t="s">
        <v>1460</v>
      </c>
      <c r="M37" s="106">
        <f>IFERROR(VLOOKUP(B2,SPIFFS!A:H,8,0),0)</f>
        <v>1758</v>
      </c>
    </row>
    <row r="38" spans="10:15" x14ac:dyDescent="0.25">
      <c r="J38" s="99"/>
      <c r="M38" s="106"/>
    </row>
    <row r="39" spans="10:15" x14ac:dyDescent="0.25">
      <c r="J39" s="99" t="s">
        <v>1461</v>
      </c>
      <c r="M39" s="106">
        <f>SUM(M13, M19, M27, M35, M11, M37)</f>
        <v>1958</v>
      </c>
    </row>
    <row r="40" spans="10:15" x14ac:dyDescent="0.25">
      <c r="J40" s="99"/>
      <c r="M40" s="106"/>
    </row>
    <row r="41" spans="10:15" x14ac:dyDescent="0.25">
      <c r="J41" s="99" t="s">
        <v>1462</v>
      </c>
      <c r="M41" s="106">
        <f>IF(M39&lt;0, SUM(M11, M35, M27, M19), 0)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B6D74-458E-4068-A3F1-A0C495D9D5CF}">
  <dimension ref="A1:R53"/>
  <sheetViews>
    <sheetView workbookViewId="0"/>
  </sheetViews>
  <sheetFormatPr defaultRowHeight="15" x14ac:dyDescent="0.25"/>
  <cols>
    <col min="1" max="1" width="23" style="95" bestFit="1" customWidth="1"/>
    <col min="2" max="2" width="14.5703125" bestFit="1" customWidth="1"/>
    <col min="3" max="3" width="11.42578125" bestFit="1" customWidth="1"/>
    <col min="4" max="4" width="32.7109375" bestFit="1" customWidth="1"/>
    <col min="6" max="6" width="5" bestFit="1" customWidth="1"/>
    <col min="8" max="8" width="17.42578125" bestFit="1" customWidth="1"/>
    <col min="9" max="9" width="9.5703125" bestFit="1" customWidth="1"/>
    <col min="10" max="10" width="23.140625" bestFit="1" customWidth="1"/>
    <col min="11" max="11" width="18.42578125" bestFit="1" customWidth="1"/>
    <col min="12" max="12" width="5.7109375" bestFit="1" customWidth="1"/>
    <col min="13" max="13" width="20.140625" bestFit="1" customWidth="1"/>
    <col min="14" max="14" width="13.7109375" bestFit="1" customWidth="1"/>
    <col min="15" max="15" width="11.5703125" bestFit="1" customWidth="1"/>
    <col min="16" max="16" width="24.85546875" bestFit="1" customWidth="1"/>
  </cols>
  <sheetData>
    <row r="1" spans="1:18" x14ac:dyDescent="0.25">
      <c r="A1" s="101" t="s">
        <v>1249</v>
      </c>
      <c r="B1" s="100" t="s">
        <v>7</v>
      </c>
    </row>
    <row r="2" spans="1:18" x14ac:dyDescent="0.25">
      <c r="A2" s="101" t="s">
        <v>1307</v>
      </c>
      <c r="B2" s="100">
        <v>3262</v>
      </c>
    </row>
    <row r="3" spans="1:18" x14ac:dyDescent="0.25">
      <c r="A3" s="101" t="s">
        <v>1305</v>
      </c>
      <c r="B3" s="100">
        <f>VLOOKUP(B2, '90'!A:E, 5, 0)</f>
        <v>23</v>
      </c>
    </row>
    <row r="4" spans="1:18" x14ac:dyDescent="0.25">
      <c r="A4" s="101" t="s">
        <v>1306</v>
      </c>
      <c r="B4" s="100" t="str">
        <f>IFERROR(VLOOKUP(B2, NPS!B:H, 7, 0), 0)</f>
        <v>3P</v>
      </c>
    </row>
    <row r="5" spans="1:18" x14ac:dyDescent="0.25">
      <c r="A5" s="101" t="s">
        <v>1257</v>
      </c>
      <c r="B5" s="100">
        <f>IFERROR(VLOOKUP(B2, NPS!B:H, 3, 0), 0)</f>
        <v>3</v>
      </c>
    </row>
    <row r="6" spans="1:18" x14ac:dyDescent="0.25">
      <c r="A6" s="101" t="s">
        <v>1447</v>
      </c>
      <c r="B6" s="103">
        <f>VLOOKUP(12, 'Look Up Table'!A:B, 2, TRUE)</f>
        <v>0.04</v>
      </c>
    </row>
    <row r="7" spans="1:18" ht="50.1" customHeight="1" x14ac:dyDescent="0.25">
      <c r="A7" s="102" t="s">
        <v>43</v>
      </c>
      <c r="B7" s="80" t="s">
        <v>1308</v>
      </c>
      <c r="C7" s="80" t="s">
        <v>1309</v>
      </c>
      <c r="D7" s="80" t="s">
        <v>48</v>
      </c>
      <c r="E7" s="80" t="s">
        <v>1310</v>
      </c>
      <c r="F7" s="80" t="s">
        <v>1311</v>
      </c>
      <c r="G7" s="80" t="s">
        <v>1312</v>
      </c>
      <c r="H7" s="80" t="s">
        <v>1313</v>
      </c>
      <c r="I7" s="80" t="s">
        <v>51</v>
      </c>
      <c r="J7" s="80" t="s">
        <v>1314</v>
      </c>
      <c r="K7" s="80" t="s">
        <v>1315</v>
      </c>
      <c r="L7" s="80" t="s">
        <v>54</v>
      </c>
      <c r="M7" s="80" t="s">
        <v>55</v>
      </c>
      <c r="N7" s="80" t="s">
        <v>1316</v>
      </c>
      <c r="O7" s="80" t="s">
        <v>1317</v>
      </c>
      <c r="P7" s="80" t="s">
        <v>1318</v>
      </c>
    </row>
    <row r="8" spans="1:18" x14ac:dyDescent="0.25">
      <c r="A8" s="96">
        <v>45721</v>
      </c>
      <c r="B8" s="93" t="s">
        <v>61</v>
      </c>
      <c r="C8" s="93">
        <v>23583</v>
      </c>
      <c r="D8" s="93" t="s">
        <v>62</v>
      </c>
      <c r="E8" s="93">
        <v>5217204</v>
      </c>
      <c r="F8" s="93">
        <v>25</v>
      </c>
      <c r="G8" s="93" t="s">
        <v>1321</v>
      </c>
      <c r="H8" s="93" t="s">
        <v>1322</v>
      </c>
      <c r="I8" s="93" t="s">
        <v>59</v>
      </c>
      <c r="J8" s="107">
        <v>1005.29</v>
      </c>
      <c r="K8" s="107">
        <v>234.62</v>
      </c>
      <c r="L8" s="93">
        <v>0.5</v>
      </c>
      <c r="M8" s="107">
        <v>100</v>
      </c>
      <c r="N8" s="107">
        <f>IF(M8&lt;=251, VLOOKUP(B3, 'Look Up Table'!I:J, 2, TRUE) * L8, 0)</f>
        <v>175</v>
      </c>
      <c r="O8" s="107">
        <f>IF(N8&gt;0, N8 - M8, 0)</f>
        <v>75</v>
      </c>
      <c r="P8" s="107">
        <f>IF(N8 = 0, K8 * B6, 0)</f>
        <v>0</v>
      </c>
      <c r="Q8" s="93"/>
      <c r="R8" s="93"/>
    </row>
    <row r="9" spans="1:18" x14ac:dyDescent="0.25">
      <c r="A9" s="96">
        <v>45735</v>
      </c>
      <c r="B9" s="93">
        <v>9470</v>
      </c>
      <c r="C9" s="93">
        <v>23818</v>
      </c>
      <c r="D9" s="93" t="s">
        <v>65</v>
      </c>
      <c r="E9" s="93" t="s">
        <v>66</v>
      </c>
      <c r="F9" s="93">
        <v>25</v>
      </c>
      <c r="G9" s="93" t="s">
        <v>1319</v>
      </c>
      <c r="H9" s="93" t="s">
        <v>1323</v>
      </c>
      <c r="I9" s="93" t="s">
        <v>59</v>
      </c>
      <c r="J9" s="107">
        <v>799</v>
      </c>
      <c r="K9" s="107">
        <v>-2290</v>
      </c>
      <c r="L9" s="93">
        <v>1</v>
      </c>
      <c r="M9" s="107">
        <v>200</v>
      </c>
      <c r="N9" s="107">
        <f>IF(M9&lt;=251, VLOOKUP(B3, 'Look Up Table'!I:J, 2, TRUE) * L9, 0)</f>
        <v>350</v>
      </c>
      <c r="O9" s="107">
        <f>IF(N9&gt;0, N9 - M9, 0)</f>
        <v>150</v>
      </c>
      <c r="P9" s="107">
        <f>IF(N9 = 0, K9 * B6, 0)</f>
        <v>0</v>
      </c>
      <c r="Q9" s="93"/>
      <c r="R9" s="93"/>
    </row>
    <row r="10" spans="1:18" x14ac:dyDescent="0.25">
      <c r="A10" s="96">
        <v>45736</v>
      </c>
      <c r="B10" s="93">
        <v>9459</v>
      </c>
      <c r="C10" s="93">
        <v>272923</v>
      </c>
      <c r="D10" s="93" t="s">
        <v>68</v>
      </c>
      <c r="E10" s="93" t="s">
        <v>70</v>
      </c>
      <c r="F10" s="93">
        <v>25</v>
      </c>
      <c r="G10" s="93" t="s">
        <v>1321</v>
      </c>
      <c r="H10" s="93" t="s">
        <v>1324</v>
      </c>
      <c r="I10" s="93" t="s">
        <v>59</v>
      </c>
      <c r="J10" s="107">
        <v>6086.2</v>
      </c>
      <c r="K10" s="107">
        <v>3780</v>
      </c>
      <c r="L10" s="93">
        <v>1</v>
      </c>
      <c r="M10" s="107">
        <v>680.4</v>
      </c>
      <c r="N10" s="107">
        <f>IF(M10&lt;=251, VLOOKUP(B3, 'Look Up Table'!I:J, 2, TRUE) * L10, 0)</f>
        <v>0</v>
      </c>
      <c r="O10" s="107">
        <f>IF(N10&gt;0, N10 - M10, 0)</f>
        <v>0</v>
      </c>
      <c r="P10" s="107">
        <f>IF(N10 = 0, K10 * B6, 0)</f>
        <v>151.20000000000002</v>
      </c>
      <c r="Q10" s="93"/>
      <c r="R10" s="93"/>
    </row>
    <row r="11" spans="1:18" x14ac:dyDescent="0.25">
      <c r="A11" s="96">
        <v>45736</v>
      </c>
      <c r="B11" s="93">
        <v>9636</v>
      </c>
      <c r="C11" s="93">
        <v>24093</v>
      </c>
      <c r="D11" s="93" t="s">
        <v>74</v>
      </c>
      <c r="E11" s="93" t="s">
        <v>75</v>
      </c>
      <c r="F11" s="93">
        <v>25</v>
      </c>
      <c r="G11" s="93" t="s">
        <v>1319</v>
      </c>
      <c r="H11" s="93" t="s">
        <v>1325</v>
      </c>
      <c r="I11" s="93" t="s">
        <v>59</v>
      </c>
      <c r="J11" s="107">
        <v>4277.2</v>
      </c>
      <c r="K11" s="107">
        <v>2188</v>
      </c>
      <c r="L11" s="93">
        <v>1</v>
      </c>
      <c r="M11" s="107">
        <v>393.84</v>
      </c>
      <c r="N11" s="107">
        <f>IF(M11&lt;=251, VLOOKUP(B3, 'Look Up Table'!I:J, 2, TRUE) * L11, 0)</f>
        <v>0</v>
      </c>
      <c r="O11" s="107">
        <f>IF(N11&gt;0, N11 - M11, 0)</f>
        <v>0</v>
      </c>
      <c r="P11" s="107">
        <f>IF(N11 = 0, K11 * B6, 0)</f>
        <v>87.52</v>
      </c>
      <c r="Q11" s="93"/>
      <c r="R11" s="93"/>
    </row>
    <row r="12" spans="1:18" x14ac:dyDescent="0.25">
      <c r="A12" s="96">
        <v>45741</v>
      </c>
      <c r="B12" s="93">
        <v>9420</v>
      </c>
      <c r="C12" s="93">
        <v>23733</v>
      </c>
      <c r="D12" s="93" t="s">
        <v>77</v>
      </c>
      <c r="E12" s="93" t="s">
        <v>78</v>
      </c>
      <c r="F12" s="93">
        <v>25</v>
      </c>
      <c r="G12" s="93" t="s">
        <v>1321</v>
      </c>
      <c r="H12" s="93" t="s">
        <v>1326</v>
      </c>
      <c r="I12" s="93" t="s">
        <v>59</v>
      </c>
      <c r="J12" s="107">
        <v>2000</v>
      </c>
      <c r="K12" s="107">
        <v>-1270.6099999999999</v>
      </c>
      <c r="L12" s="93">
        <v>1</v>
      </c>
      <c r="M12" s="107">
        <v>200</v>
      </c>
      <c r="N12" s="107">
        <f>IF(M12&lt;=251, VLOOKUP(B3, 'Look Up Table'!I:J, 2, TRUE) * L12, 0)</f>
        <v>350</v>
      </c>
      <c r="O12" s="107">
        <f>IF(N12&gt;0, N12 - M12, 0)</f>
        <v>150</v>
      </c>
      <c r="P12" s="107">
        <f>IF(N12 = 0, K12 * B6, 0)</f>
        <v>0</v>
      </c>
      <c r="Q12" s="93"/>
      <c r="R12" s="93"/>
    </row>
    <row r="13" spans="1:18" x14ac:dyDescent="0.25">
      <c r="A13" s="96">
        <v>45741</v>
      </c>
      <c r="B13" s="93">
        <v>9465</v>
      </c>
      <c r="C13" s="93">
        <v>277382</v>
      </c>
      <c r="D13" s="93" t="s">
        <v>82</v>
      </c>
      <c r="E13" s="93" t="s">
        <v>84</v>
      </c>
      <c r="F13" s="93">
        <v>22</v>
      </c>
      <c r="G13" s="93" t="s">
        <v>1321</v>
      </c>
      <c r="H13" s="93" t="s">
        <v>1327</v>
      </c>
      <c r="I13" s="93" t="s">
        <v>86</v>
      </c>
      <c r="J13" s="107">
        <v>0</v>
      </c>
      <c r="K13" s="107">
        <v>750</v>
      </c>
      <c r="L13" s="93">
        <v>1</v>
      </c>
      <c r="M13" s="107">
        <v>200</v>
      </c>
      <c r="N13" s="107">
        <f>IF(M13&lt;=251, VLOOKUP(B3, 'Look Up Table'!I:J, 2, TRUE) * L13, 0)</f>
        <v>350</v>
      </c>
      <c r="O13" s="107">
        <f>IF(N13&gt;0, N13 - M13, 0)</f>
        <v>150</v>
      </c>
      <c r="P13" s="107">
        <f>IF(N13 = 0, K13 * B6, 0)</f>
        <v>0</v>
      </c>
      <c r="Q13" s="93"/>
      <c r="R13" s="93"/>
    </row>
    <row r="14" spans="1:18" x14ac:dyDescent="0.25">
      <c r="A14" s="96">
        <v>45743</v>
      </c>
      <c r="B14" s="93">
        <v>9720</v>
      </c>
      <c r="C14" s="93">
        <v>24242</v>
      </c>
      <c r="D14" s="93" t="s">
        <v>87</v>
      </c>
      <c r="E14" s="93" t="s">
        <v>88</v>
      </c>
      <c r="F14" s="93">
        <v>25</v>
      </c>
      <c r="G14" s="93" t="s">
        <v>1321</v>
      </c>
      <c r="H14" s="93" t="s">
        <v>1328</v>
      </c>
      <c r="I14" s="93" t="s">
        <v>59</v>
      </c>
      <c r="J14" s="107">
        <v>1208</v>
      </c>
      <c r="K14" s="107">
        <v>1498.48</v>
      </c>
      <c r="L14" s="93">
        <v>1</v>
      </c>
      <c r="M14" s="107">
        <v>269.73</v>
      </c>
      <c r="N14" s="107">
        <f>IF(M14&lt;=251, VLOOKUP(B3, 'Look Up Table'!I:J, 2, TRUE) * L14, 0)</f>
        <v>0</v>
      </c>
      <c r="O14" s="107">
        <f>IF(N14&gt;0, N14 - M14, 0)</f>
        <v>0</v>
      </c>
      <c r="P14" s="107">
        <f>IF(N14 = 0, K14 * B6, 0)</f>
        <v>59.9392</v>
      </c>
      <c r="Q14" s="93"/>
      <c r="R14" s="93"/>
    </row>
    <row r="15" spans="1:18" x14ac:dyDescent="0.25">
      <c r="A15" s="96">
        <v>45744</v>
      </c>
      <c r="B15" s="93">
        <v>9763</v>
      </c>
      <c r="C15" s="93">
        <v>253678</v>
      </c>
      <c r="D15" s="93" t="s">
        <v>90</v>
      </c>
      <c r="E15" s="93" t="s">
        <v>91</v>
      </c>
      <c r="F15" s="93">
        <v>25</v>
      </c>
      <c r="G15" s="93" t="s">
        <v>1321</v>
      </c>
      <c r="H15" s="93" t="s">
        <v>1324</v>
      </c>
      <c r="I15" s="93" t="s">
        <v>59</v>
      </c>
      <c r="J15" s="107">
        <v>3522.54</v>
      </c>
      <c r="K15" s="107">
        <v>-4479</v>
      </c>
      <c r="L15" s="93">
        <v>1</v>
      </c>
      <c r="M15" s="107">
        <v>200</v>
      </c>
      <c r="N15" s="107">
        <f>IF(M15&lt;=251, VLOOKUP(B3, 'Look Up Table'!I:J, 2, TRUE) * L15, 0)</f>
        <v>350</v>
      </c>
      <c r="O15" s="107">
        <f>IF(N15&gt;0, N15 - M15, 0)</f>
        <v>150</v>
      </c>
      <c r="P15" s="107">
        <f>IF(N15 = 0, K15 * B6, 0)</f>
        <v>0</v>
      </c>
      <c r="Q15" s="93"/>
      <c r="R15" s="93"/>
    </row>
    <row r="16" spans="1:18" x14ac:dyDescent="0.25">
      <c r="A16" s="96">
        <v>45747</v>
      </c>
      <c r="B16" s="93" t="s">
        <v>95</v>
      </c>
      <c r="C16" s="93">
        <v>24464</v>
      </c>
      <c r="D16" s="93" t="s">
        <v>92</v>
      </c>
      <c r="E16" s="93" t="s">
        <v>93</v>
      </c>
      <c r="F16" s="93">
        <v>25</v>
      </c>
      <c r="G16" s="93" t="s">
        <v>1329</v>
      </c>
      <c r="H16" s="93" t="s">
        <v>1330</v>
      </c>
      <c r="I16" s="93" t="s">
        <v>59</v>
      </c>
      <c r="J16" s="107">
        <v>784.78</v>
      </c>
      <c r="K16" s="107">
        <v>-1147.18</v>
      </c>
      <c r="L16" s="93">
        <v>1</v>
      </c>
      <c r="M16" s="107">
        <v>200</v>
      </c>
      <c r="N16" s="107">
        <f>IF(M16&lt;=251, VLOOKUP(B3, 'Look Up Table'!I:J, 2, TRUE) * L16, 0)</f>
        <v>350</v>
      </c>
      <c r="O16" s="107">
        <f>IF(N16&gt;0, N16 - M16, 0)</f>
        <v>150</v>
      </c>
      <c r="P16" s="107">
        <f>IF(N16 = 0, K16 * B6, 0)</f>
        <v>0</v>
      </c>
      <c r="Q16" s="93"/>
      <c r="R16" s="93"/>
    </row>
    <row r="17" spans="1:18" x14ac:dyDescent="0.25">
      <c r="A17" s="96">
        <v>45747</v>
      </c>
      <c r="B17" s="93">
        <v>9794</v>
      </c>
      <c r="C17" s="93">
        <v>24313</v>
      </c>
      <c r="D17" s="93" t="s">
        <v>96</v>
      </c>
      <c r="E17" s="93" t="s">
        <v>97</v>
      </c>
      <c r="F17" s="93">
        <v>25</v>
      </c>
      <c r="G17" s="93" t="s">
        <v>1321</v>
      </c>
      <c r="H17" s="93" t="s">
        <v>1331</v>
      </c>
      <c r="I17" s="93" t="s">
        <v>59</v>
      </c>
      <c r="J17" s="107">
        <v>1354.65</v>
      </c>
      <c r="K17" s="107">
        <v>-3025</v>
      </c>
      <c r="L17" s="93">
        <v>1</v>
      </c>
      <c r="M17" s="107">
        <v>200</v>
      </c>
      <c r="N17" s="107">
        <f>IF(M17&lt;=251, VLOOKUP(B3, 'Look Up Table'!I:J, 2, TRUE) * L17, 0)</f>
        <v>350</v>
      </c>
      <c r="O17" s="107">
        <f>IF(N17&gt;0, N17 - M17, 0)</f>
        <v>150</v>
      </c>
      <c r="P17" s="107">
        <f>IF(N17 = 0, K17 * B6, 0)</f>
        <v>0</v>
      </c>
      <c r="Q17" s="93"/>
      <c r="R17" s="93"/>
    </row>
    <row r="18" spans="1:18" x14ac:dyDescent="0.25">
      <c r="A18" s="96">
        <v>45747</v>
      </c>
      <c r="B18" s="93">
        <v>9866</v>
      </c>
      <c r="C18" s="93">
        <v>24444</v>
      </c>
      <c r="D18" s="93" t="s">
        <v>99</v>
      </c>
      <c r="E18" s="93" t="s">
        <v>100</v>
      </c>
      <c r="F18" s="93">
        <v>25</v>
      </c>
      <c r="G18" s="93" t="s">
        <v>1319</v>
      </c>
      <c r="H18" s="93" t="s">
        <v>1332</v>
      </c>
      <c r="I18" s="93" t="s">
        <v>59</v>
      </c>
      <c r="J18" s="107">
        <v>3510.55</v>
      </c>
      <c r="K18" s="107">
        <v>-2814.11</v>
      </c>
      <c r="L18" s="93">
        <v>1</v>
      </c>
      <c r="M18" s="107">
        <v>200</v>
      </c>
      <c r="N18" s="107">
        <f>IF(M18&lt;=251, VLOOKUP(B3, 'Look Up Table'!I:J, 2, TRUE) * L18, 0)</f>
        <v>350</v>
      </c>
      <c r="O18" s="107">
        <f>IF(N18&gt;0, N18 - M18, 0)</f>
        <v>150</v>
      </c>
      <c r="P18" s="107">
        <f>IF(N18 = 0, K18 * B6, 0)</f>
        <v>0</v>
      </c>
      <c r="Q18" s="93"/>
      <c r="R18" s="93"/>
    </row>
    <row r="19" spans="1:18" x14ac:dyDescent="0.25">
      <c r="A19" s="96">
        <v>45747</v>
      </c>
      <c r="B19" s="93">
        <v>9988</v>
      </c>
      <c r="C19" s="93">
        <v>24541</v>
      </c>
      <c r="D19" s="93" t="s">
        <v>104</v>
      </c>
      <c r="E19" s="93" t="s">
        <v>105</v>
      </c>
      <c r="F19" s="93">
        <v>25</v>
      </c>
      <c r="G19" s="93" t="s">
        <v>1319</v>
      </c>
      <c r="H19" s="93" t="s">
        <v>1333</v>
      </c>
      <c r="I19" s="93" t="s">
        <v>59</v>
      </c>
      <c r="J19" s="107">
        <v>151.06</v>
      </c>
      <c r="K19" s="107">
        <v>-2528.8000000000002</v>
      </c>
      <c r="L19" s="93">
        <v>0.5</v>
      </c>
      <c r="M19" s="107">
        <v>100</v>
      </c>
      <c r="N19" s="107">
        <f>IF(M19&lt;=251, VLOOKUP(B3, 'Look Up Table'!I:J, 2, TRUE) * L19, 0)</f>
        <v>175</v>
      </c>
      <c r="O19" s="107">
        <f>IF(N19&gt;0, N19 - M19, 0)</f>
        <v>75</v>
      </c>
      <c r="P19" s="107">
        <f>IF(N19 = 0, K19 * B6, 0)</f>
        <v>0</v>
      </c>
      <c r="Q19" s="93"/>
      <c r="R19" s="93"/>
    </row>
    <row r="20" spans="1:18" x14ac:dyDescent="0.25">
      <c r="A20" s="96">
        <v>45747</v>
      </c>
      <c r="B20" s="93">
        <v>9512</v>
      </c>
      <c r="C20" s="93">
        <v>23911</v>
      </c>
      <c r="D20" s="93" t="s">
        <v>107</v>
      </c>
      <c r="E20" s="93" t="s">
        <v>109</v>
      </c>
      <c r="F20" s="93">
        <v>22</v>
      </c>
      <c r="G20" s="93" t="s">
        <v>1319</v>
      </c>
      <c r="H20" s="93" t="s">
        <v>1327</v>
      </c>
      <c r="I20" s="93" t="s">
        <v>86</v>
      </c>
      <c r="J20" s="107">
        <v>100</v>
      </c>
      <c r="K20" s="107">
        <v>-262.18</v>
      </c>
      <c r="L20" s="93">
        <v>1</v>
      </c>
      <c r="M20" s="107">
        <v>200</v>
      </c>
      <c r="N20" s="107">
        <f>IF(M20&lt;=251, VLOOKUP(B3, 'Look Up Table'!I:J, 2, TRUE) * L20, 0)</f>
        <v>350</v>
      </c>
      <c r="O20" s="107">
        <f>IF(N20&gt;0, N20 - M20, 0)</f>
        <v>150</v>
      </c>
      <c r="P20" s="107">
        <f>IF(N20 = 0, K20 * B6, 0)</f>
        <v>0</v>
      </c>
      <c r="Q20" s="93"/>
      <c r="R20" s="93"/>
    </row>
    <row r="21" spans="1:18" x14ac:dyDescent="0.25">
      <c r="A21" s="104"/>
      <c r="B21" s="105"/>
      <c r="C21" s="105"/>
      <c r="D21" s="105"/>
      <c r="E21" s="105"/>
      <c r="F21" s="105"/>
      <c r="G21" s="105"/>
      <c r="H21" s="105"/>
      <c r="I21" s="105"/>
      <c r="J21" s="108">
        <f>SUM(J8:J20)</f>
        <v>24799.27</v>
      </c>
      <c r="K21" s="108">
        <f>SUM(K8:K20)</f>
        <v>-9365.7800000000025</v>
      </c>
      <c r="L21" s="105">
        <f>SUM(L8:L20)</f>
        <v>12</v>
      </c>
      <c r="M21" s="108">
        <f>SUM(M8:M20)</f>
        <v>3143.9700000000003</v>
      </c>
      <c r="N21" s="108">
        <f>SUM(N8:N20)</f>
        <v>3150</v>
      </c>
      <c r="O21" s="108">
        <f>SUM(O8:O20)</f>
        <v>1350</v>
      </c>
      <c r="P21" s="108">
        <f>SUM(P8:P20)</f>
        <v>298.65920000000006</v>
      </c>
      <c r="Q21" s="93"/>
      <c r="R21" s="93"/>
    </row>
    <row r="23" spans="1:18" x14ac:dyDescent="0.25">
      <c r="J23" s="99" t="s">
        <v>1451</v>
      </c>
      <c r="M23" s="106">
        <f>-VLOOKUP(B2, '3213'!A:G, 7, 0)</f>
        <v>-2340</v>
      </c>
    </row>
    <row r="24" spans="1:18" x14ac:dyDescent="0.25">
      <c r="J24" s="99"/>
      <c r="M24" s="106"/>
    </row>
    <row r="25" spans="1:18" x14ac:dyDescent="0.25">
      <c r="J25" s="99" t="s">
        <v>1264</v>
      </c>
      <c r="K25" s="92">
        <v>0.18</v>
      </c>
      <c r="M25" s="106">
        <f>M21</f>
        <v>3143.9700000000003</v>
      </c>
    </row>
    <row r="26" spans="1:18" x14ac:dyDescent="0.25">
      <c r="J26" s="99"/>
      <c r="M26" s="106"/>
    </row>
    <row r="27" spans="1:18" x14ac:dyDescent="0.25">
      <c r="A27" s="110"/>
      <c r="B27" s="109"/>
      <c r="C27" s="109"/>
      <c r="D27" t="s">
        <v>1448</v>
      </c>
      <c r="J27" s="99" t="s">
        <v>1265</v>
      </c>
      <c r="K27" s="92">
        <f>B6</f>
        <v>0.04</v>
      </c>
      <c r="M27" s="106">
        <f>P21</f>
        <v>298.65920000000006</v>
      </c>
    </row>
    <row r="28" spans="1:18" x14ac:dyDescent="0.25">
      <c r="J28" s="99"/>
      <c r="M28" s="106"/>
    </row>
    <row r="29" spans="1:18" x14ac:dyDescent="0.25">
      <c r="J29" s="99" t="s">
        <v>1452</v>
      </c>
      <c r="M29" s="106">
        <f>O21</f>
        <v>1350</v>
      </c>
    </row>
    <row r="30" spans="1:18" x14ac:dyDescent="0.25">
      <c r="J30" s="99"/>
      <c r="M30" s="106"/>
    </row>
    <row r="31" spans="1:18" x14ac:dyDescent="0.25">
      <c r="J31" s="99" t="s">
        <v>1453</v>
      </c>
      <c r="M31" s="106">
        <f>SUM(P21, O21)</f>
        <v>1648.6592000000001</v>
      </c>
    </row>
    <row r="32" spans="1:18" x14ac:dyDescent="0.25">
      <c r="J32" s="99"/>
      <c r="M32" s="106"/>
    </row>
    <row r="33" spans="1:15" x14ac:dyDescent="0.25">
      <c r="A33" s="110"/>
      <c r="B33" s="109"/>
      <c r="C33" s="109"/>
      <c r="D33" t="s">
        <v>1449</v>
      </c>
      <c r="J33" s="99" t="s">
        <v>1454</v>
      </c>
      <c r="M33" s="106">
        <f>J21</f>
        <v>24799.27</v>
      </c>
    </row>
    <row r="34" spans="1:15" x14ac:dyDescent="0.25">
      <c r="J34" s="99"/>
      <c r="M34" s="106"/>
    </row>
    <row r="35" spans="1:15" x14ac:dyDescent="0.25">
      <c r="J35" s="99" t="s">
        <v>1455</v>
      </c>
      <c r="K35" s="92">
        <v>-0.25</v>
      </c>
      <c r="M35" s="106">
        <f>K35 * M33</f>
        <v>-6199.8175000000001</v>
      </c>
    </row>
    <row r="36" spans="1:15" x14ac:dyDescent="0.25">
      <c r="J36" s="99"/>
      <c r="M36" s="106"/>
    </row>
    <row r="37" spans="1:15" x14ac:dyDescent="0.25">
      <c r="J37" s="99" t="s">
        <v>1456</v>
      </c>
      <c r="M37" s="106">
        <f>M33 + M35</f>
        <v>18599.452499999999</v>
      </c>
    </row>
    <row r="38" spans="1:15" x14ac:dyDescent="0.25">
      <c r="J38" s="99"/>
      <c r="M38" s="106"/>
    </row>
    <row r="39" spans="1:15" x14ac:dyDescent="0.25">
      <c r="J39" s="99" t="s">
        <v>1457</v>
      </c>
      <c r="K39" s="92">
        <v>0.05</v>
      </c>
      <c r="M39" s="106">
        <f>K39 * M37</f>
        <v>929.97262499999999</v>
      </c>
    </row>
    <row r="40" spans="1:15" x14ac:dyDescent="0.25">
      <c r="J40" s="99"/>
      <c r="M40" s="106"/>
    </row>
    <row r="41" spans="1:15" x14ac:dyDescent="0.25">
      <c r="J41" s="99" t="s">
        <v>1458</v>
      </c>
      <c r="K41" t="str">
        <f>VLOOKUP(B2,'Pay Summary'!A:D,4,0)</f>
        <v/>
      </c>
      <c r="M41" s="106">
        <f>IF(K41 = 1, 500, 0)</f>
        <v>0</v>
      </c>
    </row>
    <row r="42" spans="1:15" x14ac:dyDescent="0.25">
      <c r="J42" s="99"/>
      <c r="M42" s="106"/>
    </row>
    <row r="43" spans="1:15" x14ac:dyDescent="0.25">
      <c r="J43" s="99" t="s">
        <v>1450</v>
      </c>
      <c r="K43">
        <f>L21</f>
        <v>12</v>
      </c>
      <c r="M43" s="106">
        <f>VLOOKUP(K43, 'Look Up Table'!E:F, 2, TRUE)</f>
        <v>750</v>
      </c>
    </row>
    <row r="44" spans="1:15" x14ac:dyDescent="0.25">
      <c r="J44" s="99"/>
      <c r="M44" s="106"/>
    </row>
    <row r="45" spans="1:15" x14ac:dyDescent="0.25">
      <c r="J45" s="99" t="s">
        <v>1306</v>
      </c>
      <c r="K45" s="111" t="str">
        <f>B4</f>
        <v>3P</v>
      </c>
      <c r="M45" s="106">
        <f>IF(B5&gt;=3,IF(B4="3P",L21*50,IF(B4="A",0,IF(B4="B",L21*-50))),0)</f>
        <v>600</v>
      </c>
      <c r="N45" s="99" t="s">
        <v>1463</v>
      </c>
      <c r="O45" s="112">
        <f>'NPS Sheet'!X51</f>
        <v>0.91700000000000004</v>
      </c>
    </row>
    <row r="46" spans="1:15" x14ac:dyDescent="0.25">
      <c r="J46" s="99"/>
      <c r="M46" s="106"/>
    </row>
    <row r="47" spans="1:15" x14ac:dyDescent="0.25">
      <c r="J47" s="99" t="s">
        <v>1459</v>
      </c>
      <c r="M47" s="106">
        <f>SUM(M43, M45, M41)</f>
        <v>1350</v>
      </c>
    </row>
    <row r="48" spans="1:15" x14ac:dyDescent="0.25">
      <c r="J48" s="99"/>
      <c r="M48" s="106"/>
    </row>
    <row r="49" spans="10:13" x14ac:dyDescent="0.25">
      <c r="J49" s="99" t="s">
        <v>1460</v>
      </c>
      <c r="M49" s="106">
        <f>IFERROR(VLOOKUP(B2,SPIFFS!A:H,8,0),0)</f>
        <v>23.61</v>
      </c>
    </row>
    <row r="50" spans="10:13" x14ac:dyDescent="0.25">
      <c r="J50" s="99"/>
      <c r="M50" s="106"/>
    </row>
    <row r="51" spans="10:13" x14ac:dyDescent="0.25">
      <c r="J51" s="99" t="s">
        <v>1461</v>
      </c>
      <c r="M51" s="106">
        <f>SUM(M25, M31, M39, M47, M23, M49)</f>
        <v>4756.2118250000003</v>
      </c>
    </row>
    <row r="52" spans="10:13" x14ac:dyDescent="0.25">
      <c r="J52" s="99"/>
      <c r="M52" s="106"/>
    </row>
    <row r="53" spans="10:13" x14ac:dyDescent="0.25">
      <c r="J53" s="99" t="s">
        <v>1462</v>
      </c>
      <c r="M53" s="106">
        <f>IF(M51&lt;0, SUM(M23, M47, M39, M31), 0)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0352D-8331-4F7D-8307-32AF0A39EDAD}">
  <dimension ref="A1:R51"/>
  <sheetViews>
    <sheetView workbookViewId="0"/>
  </sheetViews>
  <sheetFormatPr defaultRowHeight="15" x14ac:dyDescent="0.25"/>
  <cols>
    <col min="1" max="1" width="23" style="95" bestFit="1" customWidth="1"/>
    <col min="2" max="2" width="16.7109375" bestFit="1" customWidth="1"/>
    <col min="3" max="3" width="11.42578125" bestFit="1" customWidth="1"/>
    <col min="4" max="4" width="26.7109375" bestFit="1" customWidth="1"/>
    <col min="6" max="6" width="5" bestFit="1" customWidth="1"/>
    <col min="7" max="7" width="22.140625" bestFit="1" customWidth="1"/>
    <col min="8" max="8" width="17.7109375" bestFit="1" customWidth="1"/>
    <col min="9" max="9" width="9.5703125" bestFit="1" customWidth="1"/>
    <col min="10" max="10" width="23.140625" bestFit="1" customWidth="1"/>
    <col min="11" max="11" width="18.42578125" bestFit="1" customWidth="1"/>
    <col min="12" max="12" width="5.7109375" bestFit="1" customWidth="1"/>
    <col min="13" max="13" width="20.140625" bestFit="1" customWidth="1"/>
    <col min="14" max="14" width="13.7109375" bestFit="1" customWidth="1"/>
    <col min="15" max="15" width="11.5703125" bestFit="1" customWidth="1"/>
    <col min="16" max="16" width="24.85546875" bestFit="1" customWidth="1"/>
  </cols>
  <sheetData>
    <row r="1" spans="1:18" x14ac:dyDescent="0.25">
      <c r="A1" s="101" t="s">
        <v>1249</v>
      </c>
      <c r="B1" s="100" t="s">
        <v>9</v>
      </c>
    </row>
    <row r="2" spans="1:18" x14ac:dyDescent="0.25">
      <c r="A2" s="101" t="s">
        <v>1307</v>
      </c>
      <c r="B2" s="100">
        <v>10069</v>
      </c>
    </row>
    <row r="3" spans="1:18" x14ac:dyDescent="0.25">
      <c r="A3" s="101" t="s">
        <v>1305</v>
      </c>
      <c r="B3" s="100">
        <f>VLOOKUP(B2, '90'!A:E, 5, 0)</f>
        <v>24</v>
      </c>
    </row>
    <row r="4" spans="1:18" x14ac:dyDescent="0.25">
      <c r="A4" s="101" t="s">
        <v>1306</v>
      </c>
      <c r="B4" s="100" t="str">
        <f>IFERROR(VLOOKUP(B2, NPS!B:H, 7, 0), 0)</f>
        <v>3P</v>
      </c>
    </row>
    <row r="5" spans="1:18" x14ac:dyDescent="0.25">
      <c r="A5" s="101" t="s">
        <v>1257</v>
      </c>
      <c r="B5" s="100">
        <f>IFERROR(VLOOKUP(B2, NPS!B:H, 3, 0), 0)</f>
        <v>3</v>
      </c>
    </row>
    <row r="6" spans="1:18" x14ac:dyDescent="0.25">
      <c r="A6" s="101" t="s">
        <v>1447</v>
      </c>
      <c r="B6" s="103">
        <f>VLOOKUP(9.5, 'Look Up Table'!A:B, 2, TRUE)</f>
        <v>0</v>
      </c>
    </row>
    <row r="7" spans="1:18" ht="50.1" customHeight="1" x14ac:dyDescent="0.25">
      <c r="A7" s="102" t="s">
        <v>43</v>
      </c>
      <c r="B7" s="80" t="s">
        <v>1308</v>
      </c>
      <c r="C7" s="80" t="s">
        <v>1309</v>
      </c>
      <c r="D7" s="80" t="s">
        <v>48</v>
      </c>
      <c r="E7" s="80" t="s">
        <v>1310</v>
      </c>
      <c r="F7" s="80" t="s">
        <v>1311</v>
      </c>
      <c r="G7" s="80" t="s">
        <v>1312</v>
      </c>
      <c r="H7" s="80" t="s">
        <v>1313</v>
      </c>
      <c r="I7" s="80" t="s">
        <v>51</v>
      </c>
      <c r="J7" s="80" t="s">
        <v>1314</v>
      </c>
      <c r="K7" s="80" t="s">
        <v>1315</v>
      </c>
      <c r="L7" s="80" t="s">
        <v>54</v>
      </c>
      <c r="M7" s="80" t="s">
        <v>55</v>
      </c>
      <c r="N7" s="80" t="s">
        <v>1316</v>
      </c>
      <c r="O7" s="80" t="s">
        <v>1317</v>
      </c>
      <c r="P7" s="80" t="s">
        <v>1318</v>
      </c>
    </row>
    <row r="8" spans="1:18" x14ac:dyDescent="0.25">
      <c r="A8" s="96">
        <v>45729</v>
      </c>
      <c r="B8" s="93" t="s">
        <v>123</v>
      </c>
      <c r="C8" s="93">
        <v>227633</v>
      </c>
      <c r="D8" s="93" t="s">
        <v>119</v>
      </c>
      <c r="E8" s="93" t="s">
        <v>120</v>
      </c>
      <c r="F8" s="93">
        <v>25</v>
      </c>
      <c r="G8" s="93" t="s">
        <v>1329</v>
      </c>
      <c r="H8" s="93" t="s">
        <v>1334</v>
      </c>
      <c r="I8" s="93" t="s">
        <v>59</v>
      </c>
      <c r="J8" s="107">
        <v>3833.7</v>
      </c>
      <c r="K8" s="107">
        <v>-377.47</v>
      </c>
      <c r="L8" s="93">
        <v>1</v>
      </c>
      <c r="M8" s="107">
        <v>200</v>
      </c>
      <c r="N8" s="107">
        <f>IF(M8&lt;=251, VLOOKUP(B3, 'Look Up Table'!I:J, 2, TRUE) * L8, 0)</f>
        <v>400</v>
      </c>
      <c r="O8" s="107">
        <f>IF(N8&gt;0, N8 - M8, 0)</f>
        <v>200</v>
      </c>
      <c r="P8" s="107">
        <f>IF(N8 = 0, K8 * B6, 0)</f>
        <v>0</v>
      </c>
      <c r="Q8" s="93"/>
      <c r="R8" s="93"/>
    </row>
    <row r="9" spans="1:18" x14ac:dyDescent="0.25">
      <c r="A9" s="96">
        <v>45733</v>
      </c>
      <c r="B9" s="93">
        <v>9135</v>
      </c>
      <c r="C9" s="93">
        <v>23343</v>
      </c>
      <c r="D9" s="93" t="s">
        <v>124</v>
      </c>
      <c r="E9" s="93" t="s">
        <v>126</v>
      </c>
      <c r="F9" s="93">
        <v>24</v>
      </c>
      <c r="G9" s="93" t="s">
        <v>1335</v>
      </c>
      <c r="H9" s="93" t="s">
        <v>1336</v>
      </c>
      <c r="I9" s="93" t="s">
        <v>86</v>
      </c>
      <c r="J9" s="107">
        <v>2018.69</v>
      </c>
      <c r="K9" s="107">
        <v>-1595</v>
      </c>
      <c r="L9" s="93">
        <v>1</v>
      </c>
      <c r="M9" s="107">
        <v>200</v>
      </c>
      <c r="N9" s="107">
        <f>IF(M9&lt;=251, VLOOKUP(B3, 'Look Up Table'!I:J, 2, TRUE) * L9, 0)</f>
        <v>400</v>
      </c>
      <c r="O9" s="107">
        <f>IF(N9&gt;0, N9 - M9, 0)</f>
        <v>200</v>
      </c>
      <c r="P9" s="107">
        <f>IF(N9 = 0, K9 * B6, 0)</f>
        <v>0</v>
      </c>
      <c r="Q9" s="93"/>
      <c r="R9" s="93"/>
    </row>
    <row r="10" spans="1:18" x14ac:dyDescent="0.25">
      <c r="A10" s="96">
        <v>45742</v>
      </c>
      <c r="B10" s="93">
        <v>9656</v>
      </c>
      <c r="C10" s="93">
        <v>24133</v>
      </c>
      <c r="D10" s="93" t="s">
        <v>135</v>
      </c>
      <c r="E10" s="93" t="s">
        <v>136</v>
      </c>
      <c r="F10" s="93">
        <v>21</v>
      </c>
      <c r="G10" s="93" t="s">
        <v>1337</v>
      </c>
      <c r="H10" s="93" t="s">
        <v>1338</v>
      </c>
      <c r="I10" s="93" t="s">
        <v>86</v>
      </c>
      <c r="J10" s="107">
        <v>4224.9799999999996</v>
      </c>
      <c r="K10" s="107">
        <v>4902.8500000000004</v>
      </c>
      <c r="L10" s="93">
        <v>1</v>
      </c>
      <c r="M10" s="107">
        <v>882.51</v>
      </c>
      <c r="N10" s="107">
        <f>IF(M10&lt;=251, VLOOKUP(B3, 'Look Up Table'!I:J, 2, TRUE) * L10, 0)</f>
        <v>0</v>
      </c>
      <c r="O10" s="107">
        <f>IF(N10&gt;0, N10 - M10, 0)</f>
        <v>0</v>
      </c>
      <c r="P10" s="107">
        <f>IF(N10 = 0, K10 * B6, 0)</f>
        <v>0</v>
      </c>
      <c r="Q10" s="93"/>
      <c r="R10" s="93"/>
    </row>
    <row r="11" spans="1:18" x14ac:dyDescent="0.25">
      <c r="A11" s="96">
        <v>45747</v>
      </c>
      <c r="B11" s="93" t="s">
        <v>149</v>
      </c>
      <c r="C11" s="93">
        <v>267004</v>
      </c>
      <c r="D11" s="93" t="s">
        <v>144</v>
      </c>
      <c r="E11" s="93" t="s">
        <v>145</v>
      </c>
      <c r="F11" s="93">
        <v>25</v>
      </c>
      <c r="G11" s="93" t="s">
        <v>1329</v>
      </c>
      <c r="H11" s="93" t="s">
        <v>1339</v>
      </c>
      <c r="I11" s="93" t="s">
        <v>59</v>
      </c>
      <c r="J11" s="107">
        <v>849.36</v>
      </c>
      <c r="K11" s="107">
        <v>-619.09</v>
      </c>
      <c r="L11" s="93">
        <v>1</v>
      </c>
      <c r="M11" s="107">
        <v>200</v>
      </c>
      <c r="N11" s="107">
        <f>IF(M11&lt;=251, VLOOKUP(B3, 'Look Up Table'!I:J, 2, TRUE) * L11, 0)</f>
        <v>400</v>
      </c>
      <c r="O11" s="107">
        <f>IF(N11&gt;0, N11 - M11, 0)</f>
        <v>200</v>
      </c>
      <c r="P11" s="107">
        <f>IF(N11 = 0, K11 * B6, 0)</f>
        <v>0</v>
      </c>
      <c r="Q11" s="93"/>
      <c r="R11" s="93"/>
    </row>
    <row r="12" spans="1:18" x14ac:dyDescent="0.25">
      <c r="A12" s="96">
        <v>45747</v>
      </c>
      <c r="B12" s="93" t="s">
        <v>150</v>
      </c>
      <c r="C12" s="93">
        <v>23810</v>
      </c>
      <c r="D12" s="93" t="s">
        <v>138</v>
      </c>
      <c r="E12" s="93" t="s">
        <v>139</v>
      </c>
      <c r="F12" s="93">
        <v>25</v>
      </c>
      <c r="G12" s="93" t="s">
        <v>1329</v>
      </c>
      <c r="H12" s="93" t="s">
        <v>1340</v>
      </c>
      <c r="I12" s="93" t="s">
        <v>59</v>
      </c>
      <c r="J12" s="107">
        <v>892.15</v>
      </c>
      <c r="K12" s="107">
        <v>-657.58</v>
      </c>
      <c r="L12" s="93">
        <v>0.5</v>
      </c>
      <c r="M12" s="107">
        <v>100</v>
      </c>
      <c r="N12" s="107">
        <f>IF(M12&lt;=251, VLOOKUP(B3, 'Look Up Table'!I:J, 2, TRUE) * L12, 0)</f>
        <v>200</v>
      </c>
      <c r="O12" s="107">
        <f>IF(N12&gt;0, N12 - M12, 0)</f>
        <v>100</v>
      </c>
      <c r="P12" s="107">
        <f>IF(N12 = 0, K12 * B6, 0)</f>
        <v>0</v>
      </c>
      <c r="Q12" s="93"/>
      <c r="R12" s="93"/>
    </row>
    <row r="13" spans="1:18" x14ac:dyDescent="0.25">
      <c r="A13" s="96">
        <v>45747</v>
      </c>
      <c r="B13" s="93" t="s">
        <v>151</v>
      </c>
      <c r="C13" s="93">
        <v>15343</v>
      </c>
      <c r="D13" s="93" t="s">
        <v>141</v>
      </c>
      <c r="E13" s="93" t="s">
        <v>142</v>
      </c>
      <c r="F13" s="93">
        <v>25</v>
      </c>
      <c r="G13" s="93" t="s">
        <v>1329</v>
      </c>
      <c r="H13" s="93" t="s">
        <v>1341</v>
      </c>
      <c r="I13" s="93" t="s">
        <v>59</v>
      </c>
      <c r="J13" s="107">
        <v>1644.17</v>
      </c>
      <c r="K13" s="107">
        <v>1899</v>
      </c>
      <c r="L13" s="93">
        <v>1</v>
      </c>
      <c r="M13" s="107">
        <v>341.82</v>
      </c>
      <c r="N13" s="107">
        <f>IF(M13&lt;=251, VLOOKUP(B3, 'Look Up Table'!I:J, 2, TRUE) * L13, 0)</f>
        <v>0</v>
      </c>
      <c r="O13" s="107">
        <f>IF(N13&gt;0, N13 - M13, 0)</f>
        <v>0</v>
      </c>
      <c r="P13" s="107">
        <f>IF(N13 = 0, K13 * B6, 0)</f>
        <v>0</v>
      </c>
      <c r="Q13" s="93"/>
      <c r="R13" s="93"/>
    </row>
    <row r="14" spans="1:18" x14ac:dyDescent="0.25">
      <c r="A14" s="96">
        <v>45747</v>
      </c>
      <c r="B14" s="93" t="s">
        <v>153</v>
      </c>
      <c r="C14" s="93">
        <v>23917</v>
      </c>
      <c r="D14" s="93" t="s">
        <v>130</v>
      </c>
      <c r="E14" s="93" t="s">
        <v>131</v>
      </c>
      <c r="F14" s="93">
        <v>25</v>
      </c>
      <c r="G14" s="93" t="s">
        <v>1329</v>
      </c>
      <c r="H14" s="93" t="s">
        <v>1334</v>
      </c>
      <c r="I14" s="93" t="s">
        <v>59</v>
      </c>
      <c r="J14" s="107">
        <v>694.21</v>
      </c>
      <c r="K14" s="107">
        <v>1136.23</v>
      </c>
      <c r="L14" s="93">
        <v>0.5</v>
      </c>
      <c r="M14" s="107">
        <v>204.52</v>
      </c>
      <c r="N14" s="107">
        <f>IF(M14&lt;=251, VLOOKUP(B3, 'Look Up Table'!I:J, 2, TRUE) * L14, 0)</f>
        <v>200</v>
      </c>
      <c r="O14" s="107">
        <f>IF(N14&gt;0, N14 - M14, 0)</f>
        <v>-4.5200000000000102</v>
      </c>
      <c r="P14" s="107">
        <f>IF(N14 = 0, K14 * B6, 0)</f>
        <v>0</v>
      </c>
      <c r="Q14" s="93"/>
      <c r="R14" s="93"/>
    </row>
    <row r="15" spans="1:18" x14ac:dyDescent="0.25">
      <c r="A15" s="96">
        <v>45747</v>
      </c>
      <c r="B15" s="93" t="s">
        <v>154</v>
      </c>
      <c r="C15" s="93">
        <v>24163</v>
      </c>
      <c r="D15" s="93" t="s">
        <v>132</v>
      </c>
      <c r="E15" s="93" t="s">
        <v>133</v>
      </c>
      <c r="F15" s="93">
        <v>25</v>
      </c>
      <c r="G15" s="93" t="s">
        <v>1329</v>
      </c>
      <c r="H15" s="93" t="s">
        <v>1334</v>
      </c>
      <c r="I15" s="93" t="s">
        <v>59</v>
      </c>
      <c r="J15" s="107">
        <v>1711.03</v>
      </c>
      <c r="K15" s="107">
        <v>-756.23</v>
      </c>
      <c r="L15" s="93">
        <v>1</v>
      </c>
      <c r="M15" s="107">
        <v>200</v>
      </c>
      <c r="N15" s="107">
        <f>IF(M15&lt;=251, VLOOKUP(B3, 'Look Up Table'!I:J, 2, TRUE) * L15, 0)</f>
        <v>400</v>
      </c>
      <c r="O15" s="107">
        <f>IF(N15&gt;0, N15 - M15, 0)</f>
        <v>200</v>
      </c>
      <c r="P15" s="107">
        <f>IF(N15 = 0, K15 * B6, 0)</f>
        <v>0</v>
      </c>
      <c r="Q15" s="93"/>
      <c r="R15" s="93"/>
    </row>
    <row r="16" spans="1:18" x14ac:dyDescent="0.25">
      <c r="A16" s="96">
        <v>45747</v>
      </c>
      <c r="B16" s="93" t="s">
        <v>155</v>
      </c>
      <c r="C16" s="93">
        <v>219512</v>
      </c>
      <c r="D16" s="93" t="s">
        <v>116</v>
      </c>
      <c r="E16" s="93" t="s">
        <v>117</v>
      </c>
      <c r="F16" s="93">
        <v>25</v>
      </c>
      <c r="G16" s="93" t="s">
        <v>1329</v>
      </c>
      <c r="H16" s="93" t="s">
        <v>1334</v>
      </c>
      <c r="I16" s="93" t="s">
        <v>59</v>
      </c>
      <c r="J16" s="107">
        <v>2479.7399999999998</v>
      </c>
      <c r="K16" s="107">
        <v>174.35</v>
      </c>
      <c r="L16" s="93">
        <v>1</v>
      </c>
      <c r="M16" s="107">
        <v>200</v>
      </c>
      <c r="N16" s="107">
        <f>IF(M16&lt;=251, VLOOKUP(B3, 'Look Up Table'!I:J, 2, TRUE) * L16, 0)</f>
        <v>400</v>
      </c>
      <c r="O16" s="107">
        <f>IF(N16&gt;0, N16 - M16, 0)</f>
        <v>200</v>
      </c>
      <c r="P16" s="107">
        <f>IF(N16 = 0, K16 * B6, 0)</f>
        <v>0</v>
      </c>
      <c r="Q16" s="93"/>
      <c r="R16" s="93"/>
    </row>
    <row r="17" spans="1:18" x14ac:dyDescent="0.25">
      <c r="A17" s="96">
        <v>45747</v>
      </c>
      <c r="B17" s="93">
        <v>7299</v>
      </c>
      <c r="C17" s="93">
        <v>20769</v>
      </c>
      <c r="D17" s="93" t="s">
        <v>156</v>
      </c>
      <c r="E17" s="93" t="s">
        <v>157</v>
      </c>
      <c r="F17" s="93">
        <v>25</v>
      </c>
      <c r="G17" s="93" t="s">
        <v>1319</v>
      </c>
      <c r="H17" s="93" t="s">
        <v>1342</v>
      </c>
      <c r="I17" s="93" t="s">
        <v>59</v>
      </c>
      <c r="J17" s="107">
        <v>3262.87</v>
      </c>
      <c r="K17" s="107">
        <v>2044.32</v>
      </c>
      <c r="L17" s="93">
        <v>0.5</v>
      </c>
      <c r="M17" s="107">
        <v>367.98</v>
      </c>
      <c r="N17" s="107">
        <f>IF(M17&lt;=251, VLOOKUP(B3, 'Look Up Table'!I:J, 2, TRUE) * L17, 0)</f>
        <v>0</v>
      </c>
      <c r="O17" s="107">
        <f>IF(N17&gt;0, N17 - M17, 0)</f>
        <v>0</v>
      </c>
      <c r="P17" s="107">
        <f>IF(N17 = 0, K17 * B6, 0)</f>
        <v>0</v>
      </c>
      <c r="Q17" s="93"/>
      <c r="R17" s="93"/>
    </row>
    <row r="18" spans="1:18" x14ac:dyDescent="0.25">
      <c r="A18" s="96">
        <v>45747</v>
      </c>
      <c r="B18" s="93">
        <v>9836</v>
      </c>
      <c r="C18" s="93">
        <v>24367</v>
      </c>
      <c r="D18" s="93" t="s">
        <v>159</v>
      </c>
      <c r="E18" s="93" t="s">
        <v>160</v>
      </c>
      <c r="F18" s="93">
        <v>22</v>
      </c>
      <c r="G18" s="93" t="s">
        <v>1321</v>
      </c>
      <c r="H18" s="93" t="s">
        <v>1343</v>
      </c>
      <c r="I18" s="93" t="s">
        <v>86</v>
      </c>
      <c r="J18" s="107">
        <v>809.1</v>
      </c>
      <c r="K18" s="107">
        <v>2903.96</v>
      </c>
      <c r="L18" s="93">
        <v>1</v>
      </c>
      <c r="M18" s="107">
        <v>522.71</v>
      </c>
      <c r="N18" s="107">
        <f>IF(M18&lt;=251, VLOOKUP(B3, 'Look Up Table'!I:J, 2, TRUE) * L18, 0)</f>
        <v>0</v>
      </c>
      <c r="O18" s="107">
        <f>IF(N18&gt;0, N18 - M18, 0)</f>
        <v>0</v>
      </c>
      <c r="P18" s="107">
        <f>IF(N18 = 0, K18 * B6, 0)</f>
        <v>0</v>
      </c>
      <c r="Q18" s="93"/>
      <c r="R18" s="93"/>
    </row>
    <row r="19" spans="1:18" x14ac:dyDescent="0.25">
      <c r="A19" s="104"/>
      <c r="B19" s="105"/>
      <c r="C19" s="105"/>
      <c r="D19" s="105"/>
      <c r="E19" s="105"/>
      <c r="F19" s="105"/>
      <c r="G19" s="105"/>
      <c r="H19" s="105"/>
      <c r="I19" s="105"/>
      <c r="J19" s="108">
        <f>SUM(J8:J18)</f>
        <v>22419.999999999996</v>
      </c>
      <c r="K19" s="108">
        <f>SUM(K8:K18)</f>
        <v>9055.34</v>
      </c>
      <c r="L19" s="105">
        <f>SUM(L8:L18)</f>
        <v>9.5</v>
      </c>
      <c r="M19" s="108">
        <f>SUM(M8:M18)</f>
        <v>3419.54</v>
      </c>
      <c r="N19" s="108">
        <f>SUM(N8:N18)</f>
        <v>2400</v>
      </c>
      <c r="O19" s="108">
        <f>SUM(O8:O18)</f>
        <v>1095.48</v>
      </c>
      <c r="P19" s="108">
        <f>SUM(P8:P18)</f>
        <v>0</v>
      </c>
      <c r="Q19" s="93"/>
      <c r="R19" s="93"/>
    </row>
    <row r="21" spans="1:18" x14ac:dyDescent="0.25">
      <c r="J21" s="99" t="s">
        <v>1451</v>
      </c>
      <c r="M21" s="106">
        <f>-VLOOKUP(B2, '3213'!A:G, 7, 0)</f>
        <v>-2504.3200000000002</v>
      </c>
    </row>
    <row r="22" spans="1:18" x14ac:dyDescent="0.25">
      <c r="J22" s="99"/>
      <c r="M22" s="106"/>
    </row>
    <row r="23" spans="1:18" x14ac:dyDescent="0.25">
      <c r="J23" s="99" t="s">
        <v>1264</v>
      </c>
      <c r="K23" s="92">
        <v>0.18</v>
      </c>
      <c r="M23" s="106">
        <f>M19</f>
        <v>3419.54</v>
      </c>
    </row>
    <row r="24" spans="1:18" x14ac:dyDescent="0.25">
      <c r="J24" s="99"/>
      <c r="M24" s="106"/>
    </row>
    <row r="25" spans="1:18" x14ac:dyDescent="0.25">
      <c r="A25" s="110"/>
      <c r="B25" s="109"/>
      <c r="C25" s="109"/>
      <c r="D25" t="s">
        <v>1448</v>
      </c>
      <c r="J25" s="99" t="s">
        <v>1265</v>
      </c>
      <c r="K25" s="92">
        <f>B6</f>
        <v>0</v>
      </c>
      <c r="M25" s="106">
        <f>P19</f>
        <v>0</v>
      </c>
    </row>
    <row r="26" spans="1:18" x14ac:dyDescent="0.25">
      <c r="J26" s="99"/>
      <c r="M26" s="106"/>
    </row>
    <row r="27" spans="1:18" x14ac:dyDescent="0.25">
      <c r="J27" s="99" t="s">
        <v>1452</v>
      </c>
      <c r="M27" s="106">
        <f>O19</f>
        <v>1095.48</v>
      </c>
    </row>
    <row r="28" spans="1:18" x14ac:dyDescent="0.25">
      <c r="J28" s="99"/>
      <c r="M28" s="106"/>
    </row>
    <row r="29" spans="1:18" x14ac:dyDescent="0.25">
      <c r="J29" s="99" t="s">
        <v>1453</v>
      </c>
      <c r="M29" s="106">
        <f>SUM(P19, O19)</f>
        <v>1095.48</v>
      </c>
    </row>
    <row r="30" spans="1:18" x14ac:dyDescent="0.25">
      <c r="J30" s="99"/>
      <c r="M30" s="106"/>
    </row>
    <row r="31" spans="1:18" x14ac:dyDescent="0.25">
      <c r="A31" s="110"/>
      <c r="B31" s="109"/>
      <c r="C31" s="109"/>
      <c r="D31" t="s">
        <v>1449</v>
      </c>
      <c r="J31" s="99" t="s">
        <v>1454</v>
      </c>
      <c r="M31" s="106">
        <f>J19</f>
        <v>22419.999999999996</v>
      </c>
    </row>
    <row r="32" spans="1:18" x14ac:dyDescent="0.25">
      <c r="J32" s="99"/>
      <c r="M32" s="106"/>
    </row>
    <row r="33" spans="10:15" x14ac:dyDescent="0.25">
      <c r="J33" s="99" t="s">
        <v>1455</v>
      </c>
      <c r="K33" s="92">
        <v>-0.25</v>
      </c>
      <c r="M33" s="106">
        <f>K33 * M31</f>
        <v>-5604.9999999999991</v>
      </c>
    </row>
    <row r="34" spans="10:15" x14ac:dyDescent="0.25">
      <c r="J34" s="99"/>
      <c r="M34" s="106"/>
    </row>
    <row r="35" spans="10:15" x14ac:dyDescent="0.25">
      <c r="J35" s="99" t="s">
        <v>1456</v>
      </c>
      <c r="M35" s="106">
        <f>M31 + M33</f>
        <v>16814.999999999996</v>
      </c>
    </row>
    <row r="36" spans="10:15" x14ac:dyDescent="0.25">
      <c r="J36" s="99"/>
      <c r="M36" s="106"/>
    </row>
    <row r="37" spans="10:15" x14ac:dyDescent="0.25">
      <c r="J37" s="99" t="s">
        <v>1457</v>
      </c>
      <c r="K37" s="92">
        <v>0.05</v>
      </c>
      <c r="M37" s="106">
        <f>K37 * M35</f>
        <v>840.74999999999989</v>
      </c>
    </row>
    <row r="38" spans="10:15" x14ac:dyDescent="0.25">
      <c r="J38" s="99"/>
      <c r="M38" s="106"/>
    </row>
    <row r="39" spans="10:15" x14ac:dyDescent="0.25">
      <c r="J39" s="99" t="s">
        <v>1458</v>
      </c>
      <c r="K39" t="str">
        <f>VLOOKUP(B2,'Pay Summary'!A:D,4,0)</f>
        <v/>
      </c>
      <c r="M39" s="106">
        <f>IF(K39 = 1, 500, 0)</f>
        <v>0</v>
      </c>
    </row>
    <row r="40" spans="10:15" x14ac:dyDescent="0.25">
      <c r="J40" s="99"/>
      <c r="M40" s="106"/>
    </row>
    <row r="41" spans="10:15" x14ac:dyDescent="0.25">
      <c r="J41" s="99" t="s">
        <v>1450</v>
      </c>
      <c r="K41">
        <f>L19</f>
        <v>9.5</v>
      </c>
      <c r="M41" s="106">
        <f>VLOOKUP(K41, 'Look Up Table'!E:F, 2, TRUE)</f>
        <v>0</v>
      </c>
    </row>
    <row r="42" spans="10:15" x14ac:dyDescent="0.25">
      <c r="J42" s="99"/>
      <c r="M42" s="106"/>
    </row>
    <row r="43" spans="10:15" x14ac:dyDescent="0.25">
      <c r="J43" s="99" t="s">
        <v>1306</v>
      </c>
      <c r="K43" s="111" t="str">
        <f>B4</f>
        <v>3P</v>
      </c>
      <c r="M43" s="106">
        <f>IF(B5&gt;=3,IF(B4="3P",L19*50,IF(B4="A",0,IF(B4="B",L19*-50))),0)</f>
        <v>475</v>
      </c>
      <c r="N43" s="99" t="s">
        <v>1463</v>
      </c>
      <c r="O43" s="112">
        <f>'NPS Sheet'!X51</f>
        <v>0.91700000000000004</v>
      </c>
    </row>
    <row r="44" spans="10:15" x14ac:dyDescent="0.25">
      <c r="J44" s="99"/>
      <c r="M44" s="106"/>
    </row>
    <row r="45" spans="10:15" x14ac:dyDescent="0.25">
      <c r="J45" s="99" t="s">
        <v>1459</v>
      </c>
      <c r="M45" s="106">
        <f>SUM(M41, M43, M39)</f>
        <v>475</v>
      </c>
    </row>
    <row r="46" spans="10:15" x14ac:dyDescent="0.25">
      <c r="J46" s="99"/>
      <c r="M46" s="106"/>
    </row>
    <row r="47" spans="10:15" x14ac:dyDescent="0.25">
      <c r="J47" s="99" t="s">
        <v>1460</v>
      </c>
      <c r="M47" s="106">
        <f>IFERROR(VLOOKUP(B2,SPIFFS!A:H,8,0),0)</f>
        <v>0</v>
      </c>
    </row>
    <row r="48" spans="10:15" x14ac:dyDescent="0.25">
      <c r="J48" s="99"/>
      <c r="M48" s="106"/>
    </row>
    <row r="49" spans="10:13" x14ac:dyDescent="0.25">
      <c r="J49" s="99" t="s">
        <v>1461</v>
      </c>
      <c r="M49" s="106">
        <f>SUM(M23, M29, M37, M45, M21, M47)</f>
        <v>3326.4500000000003</v>
      </c>
    </row>
    <row r="50" spans="10:13" x14ac:dyDescent="0.25">
      <c r="J50" s="99"/>
      <c r="M50" s="106"/>
    </row>
    <row r="51" spans="10:13" x14ac:dyDescent="0.25">
      <c r="J51" s="99" t="s">
        <v>1462</v>
      </c>
      <c r="M51" s="106">
        <f>IF(M49&lt;0, SUM(M21, M45, M37, M29), 0)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6F0008-792B-42C4-98B7-BE989344C8A1}">
  <dimension ref="A1:R57"/>
  <sheetViews>
    <sheetView workbookViewId="0"/>
  </sheetViews>
  <sheetFormatPr defaultRowHeight="15" x14ac:dyDescent="0.25"/>
  <cols>
    <col min="1" max="1" width="23" style="95" bestFit="1" customWidth="1"/>
    <col min="2" max="2" width="15.28515625" bestFit="1" customWidth="1"/>
    <col min="3" max="3" width="11.42578125" bestFit="1" customWidth="1"/>
    <col min="4" max="4" width="34" bestFit="1" customWidth="1"/>
    <col min="5" max="5" width="8.42578125" bestFit="1" customWidth="1"/>
    <col min="6" max="6" width="5" bestFit="1" customWidth="1"/>
    <col min="8" max="8" width="15.140625" bestFit="1" customWidth="1"/>
    <col min="9" max="9" width="9.5703125" bestFit="1" customWidth="1"/>
    <col min="10" max="10" width="23.140625" bestFit="1" customWidth="1"/>
    <col min="11" max="11" width="18.42578125" bestFit="1" customWidth="1"/>
    <col min="12" max="12" width="5.7109375" bestFit="1" customWidth="1"/>
    <col min="13" max="13" width="20.140625" bestFit="1" customWidth="1"/>
    <col min="14" max="14" width="13.7109375" bestFit="1" customWidth="1"/>
    <col min="15" max="15" width="11.5703125" bestFit="1" customWidth="1"/>
    <col min="16" max="16" width="24.85546875" bestFit="1" customWidth="1"/>
  </cols>
  <sheetData>
    <row r="1" spans="1:18" x14ac:dyDescent="0.25">
      <c r="A1" s="101" t="s">
        <v>1249</v>
      </c>
      <c r="B1" s="100" t="s">
        <v>10</v>
      </c>
    </row>
    <row r="2" spans="1:18" x14ac:dyDescent="0.25">
      <c r="A2" s="101" t="s">
        <v>1307</v>
      </c>
      <c r="B2" s="100">
        <v>10303</v>
      </c>
    </row>
    <row r="3" spans="1:18" x14ac:dyDescent="0.25">
      <c r="A3" s="101" t="s">
        <v>1305</v>
      </c>
      <c r="B3" s="100">
        <f>VLOOKUP(B2, '90'!A:E, 5, 0)</f>
        <v>26</v>
      </c>
    </row>
    <row r="4" spans="1:18" x14ac:dyDescent="0.25">
      <c r="A4" s="101" t="s">
        <v>1306</v>
      </c>
      <c r="B4" s="100" t="str">
        <f>IFERROR(VLOOKUP(B2, NPS!B:H, 7, 0), 0)</f>
        <v>3P</v>
      </c>
    </row>
    <row r="5" spans="1:18" x14ac:dyDescent="0.25">
      <c r="A5" s="101" t="s">
        <v>1257</v>
      </c>
      <c r="B5" s="100">
        <f>IFERROR(VLOOKUP(B2, NPS!B:H, 3, 0), 0)</f>
        <v>5</v>
      </c>
    </row>
    <row r="6" spans="1:18" x14ac:dyDescent="0.25">
      <c r="A6" s="101" t="s">
        <v>1447</v>
      </c>
      <c r="B6" s="103">
        <f>VLOOKUP(16.5, 'Look Up Table'!A:B, 2, TRUE)</f>
        <v>7.0000000000000007E-2</v>
      </c>
    </row>
    <row r="7" spans="1:18" ht="50.1" customHeight="1" x14ac:dyDescent="0.25">
      <c r="A7" s="102" t="s">
        <v>43</v>
      </c>
      <c r="B7" s="80" t="s">
        <v>1308</v>
      </c>
      <c r="C7" s="80" t="s">
        <v>1309</v>
      </c>
      <c r="D7" s="80" t="s">
        <v>48</v>
      </c>
      <c r="E7" s="80" t="s">
        <v>1310</v>
      </c>
      <c r="F7" s="80" t="s">
        <v>1311</v>
      </c>
      <c r="G7" s="80" t="s">
        <v>1312</v>
      </c>
      <c r="H7" s="80" t="s">
        <v>1313</v>
      </c>
      <c r="I7" s="80" t="s">
        <v>51</v>
      </c>
      <c r="J7" s="80" t="s">
        <v>1314</v>
      </c>
      <c r="K7" s="80" t="s">
        <v>1315</v>
      </c>
      <c r="L7" s="80" t="s">
        <v>54</v>
      </c>
      <c r="M7" s="80" t="s">
        <v>55</v>
      </c>
      <c r="N7" s="80" t="s">
        <v>1316</v>
      </c>
      <c r="O7" s="80" t="s">
        <v>1317</v>
      </c>
      <c r="P7" s="80" t="s">
        <v>1318</v>
      </c>
    </row>
    <row r="8" spans="1:18" x14ac:dyDescent="0.25">
      <c r="A8" s="96">
        <v>45721</v>
      </c>
      <c r="B8" s="93">
        <v>9319</v>
      </c>
      <c r="C8" s="93">
        <v>23563</v>
      </c>
      <c r="D8" s="93" t="s">
        <v>162</v>
      </c>
      <c r="E8" s="93" t="s">
        <v>163</v>
      </c>
      <c r="F8" s="93">
        <v>25</v>
      </c>
      <c r="G8" s="93" t="s">
        <v>1321</v>
      </c>
      <c r="H8" s="93" t="s">
        <v>1324</v>
      </c>
      <c r="I8" s="93" t="s">
        <v>59</v>
      </c>
      <c r="J8" s="107">
        <v>6879.62</v>
      </c>
      <c r="K8" s="107">
        <v>3352</v>
      </c>
      <c r="L8" s="93">
        <v>1</v>
      </c>
      <c r="M8" s="107">
        <v>603.36</v>
      </c>
      <c r="N8" s="107">
        <f>IF(M8&lt;=251, VLOOKUP(B3, 'Look Up Table'!I:J, 2, TRUE) * L8, 0)</f>
        <v>0</v>
      </c>
      <c r="O8" s="107">
        <f>IF(N8&gt;0, N8 - M8, 0)</f>
        <v>0</v>
      </c>
      <c r="P8" s="107">
        <f>IF(N8 = 0, K8 * B6, 0)</f>
        <v>234.64000000000001</v>
      </c>
      <c r="Q8" s="93"/>
      <c r="R8" s="93"/>
    </row>
    <row r="9" spans="1:18" x14ac:dyDescent="0.25">
      <c r="A9" s="96">
        <v>45726</v>
      </c>
      <c r="B9" s="93">
        <v>9380</v>
      </c>
      <c r="C9" s="93">
        <v>238649</v>
      </c>
      <c r="D9" s="93" t="s">
        <v>164</v>
      </c>
      <c r="E9" s="93" t="s">
        <v>165</v>
      </c>
      <c r="F9" s="93">
        <v>25</v>
      </c>
      <c r="G9" s="93" t="s">
        <v>1319</v>
      </c>
      <c r="H9" s="93" t="s">
        <v>1344</v>
      </c>
      <c r="I9" s="93" t="s">
        <v>59</v>
      </c>
      <c r="J9" s="107">
        <v>62</v>
      </c>
      <c r="K9" s="107">
        <v>-1739.03</v>
      </c>
      <c r="L9" s="93">
        <v>1</v>
      </c>
      <c r="M9" s="107">
        <v>200</v>
      </c>
      <c r="N9" s="107">
        <f>IF(M9&lt;=251, VLOOKUP(B3, 'Look Up Table'!I:J, 2, TRUE) * L9, 0)</f>
        <v>400</v>
      </c>
      <c r="O9" s="107">
        <f>IF(N9&gt;0, N9 - M9, 0)</f>
        <v>200</v>
      </c>
      <c r="P9" s="107">
        <f>IF(N9 = 0, K9 * B6, 0)</f>
        <v>0</v>
      </c>
      <c r="Q9" s="93"/>
      <c r="R9" s="93"/>
    </row>
    <row r="10" spans="1:18" x14ac:dyDescent="0.25">
      <c r="A10" s="96">
        <v>45726</v>
      </c>
      <c r="B10" s="93">
        <v>9432</v>
      </c>
      <c r="C10" s="93">
        <v>23749</v>
      </c>
      <c r="D10" s="93" t="s">
        <v>169</v>
      </c>
      <c r="E10" s="93" t="s">
        <v>170</v>
      </c>
      <c r="F10" s="93">
        <v>25</v>
      </c>
      <c r="G10" s="93" t="s">
        <v>1319</v>
      </c>
      <c r="H10" s="93" t="s">
        <v>1323</v>
      </c>
      <c r="I10" s="93" t="s">
        <v>59</v>
      </c>
      <c r="J10" s="107">
        <v>170</v>
      </c>
      <c r="K10" s="107">
        <v>-326.5</v>
      </c>
      <c r="L10" s="93">
        <v>1</v>
      </c>
      <c r="M10" s="107">
        <v>200</v>
      </c>
      <c r="N10" s="107">
        <f>IF(M10&lt;=251, VLOOKUP(B3, 'Look Up Table'!I:J, 2, TRUE) * L10, 0)</f>
        <v>400</v>
      </c>
      <c r="O10" s="107">
        <f>IF(N10&gt;0, N10 - M10, 0)</f>
        <v>200</v>
      </c>
      <c r="P10" s="107">
        <f>IF(N10 = 0, K10 * B6, 0)</f>
        <v>0</v>
      </c>
      <c r="Q10" s="93"/>
      <c r="R10" s="93"/>
    </row>
    <row r="11" spans="1:18" x14ac:dyDescent="0.25">
      <c r="A11" s="96">
        <v>45730</v>
      </c>
      <c r="B11" s="93">
        <v>9507</v>
      </c>
      <c r="C11" s="93">
        <v>247357</v>
      </c>
      <c r="D11" s="93" t="s">
        <v>171</v>
      </c>
      <c r="E11" s="93" t="s">
        <v>172</v>
      </c>
      <c r="F11" s="93">
        <v>25</v>
      </c>
      <c r="G11" s="93" t="s">
        <v>1319</v>
      </c>
      <c r="H11" s="93" t="s">
        <v>1345</v>
      </c>
      <c r="I11" s="93" t="s">
        <v>59</v>
      </c>
      <c r="J11" s="107">
        <v>2423.0300000000002</v>
      </c>
      <c r="K11" s="107">
        <v>-4783</v>
      </c>
      <c r="L11" s="93">
        <v>1</v>
      </c>
      <c r="M11" s="107">
        <v>200</v>
      </c>
      <c r="N11" s="107">
        <f>IF(M11&lt;=251, VLOOKUP(B3, 'Look Up Table'!I:J, 2, TRUE) * L11, 0)</f>
        <v>400</v>
      </c>
      <c r="O11" s="107">
        <f>IF(N11&gt;0, N11 - M11, 0)</f>
        <v>200</v>
      </c>
      <c r="P11" s="107">
        <f>IF(N11 = 0, K11 * B6, 0)</f>
        <v>0</v>
      </c>
      <c r="Q11" s="93"/>
      <c r="R11" s="93"/>
    </row>
    <row r="12" spans="1:18" x14ac:dyDescent="0.25">
      <c r="A12" s="96">
        <v>45733</v>
      </c>
      <c r="B12" s="93">
        <v>9479</v>
      </c>
      <c r="C12" s="93">
        <v>23822</v>
      </c>
      <c r="D12" s="93" t="s">
        <v>176</v>
      </c>
      <c r="E12" s="93" t="s">
        <v>177</v>
      </c>
      <c r="F12" s="93">
        <v>24</v>
      </c>
      <c r="G12" s="93" t="s">
        <v>1319</v>
      </c>
      <c r="H12" s="93" t="s">
        <v>1345</v>
      </c>
      <c r="I12" s="93" t="s">
        <v>59</v>
      </c>
      <c r="J12" s="107">
        <v>3174.1</v>
      </c>
      <c r="K12" s="107">
        <v>-3979.5</v>
      </c>
      <c r="L12" s="93">
        <v>1</v>
      </c>
      <c r="M12" s="107">
        <v>200</v>
      </c>
      <c r="N12" s="107">
        <f>IF(M12&lt;=251, VLOOKUP(B3, 'Look Up Table'!I:J, 2, TRUE) * L12, 0)</f>
        <v>400</v>
      </c>
      <c r="O12" s="107">
        <f>IF(N12&gt;0, N12 - M12, 0)</f>
        <v>200</v>
      </c>
      <c r="P12" s="107">
        <f>IF(N12 = 0, K12 * B6, 0)</f>
        <v>0</v>
      </c>
      <c r="Q12" s="93"/>
      <c r="R12" s="93"/>
    </row>
    <row r="13" spans="1:18" x14ac:dyDescent="0.25">
      <c r="A13" s="96">
        <v>45734</v>
      </c>
      <c r="B13" s="93">
        <v>9526</v>
      </c>
      <c r="C13" s="93">
        <v>261898</v>
      </c>
      <c r="D13" s="93" t="s">
        <v>179</v>
      </c>
      <c r="E13" s="93" t="s">
        <v>180</v>
      </c>
      <c r="F13" s="93">
        <v>25</v>
      </c>
      <c r="G13" s="93" t="s">
        <v>1321</v>
      </c>
      <c r="H13" s="93" t="s">
        <v>1324</v>
      </c>
      <c r="I13" s="93" t="s">
        <v>59</v>
      </c>
      <c r="J13" s="107">
        <v>1508</v>
      </c>
      <c r="K13" s="107">
        <v>-299.94</v>
      </c>
      <c r="L13" s="93">
        <v>1</v>
      </c>
      <c r="M13" s="107">
        <v>200</v>
      </c>
      <c r="N13" s="107">
        <f>IF(M13&lt;=251, VLOOKUP(B3, 'Look Up Table'!I:J, 2, TRUE) * L13, 0)</f>
        <v>400</v>
      </c>
      <c r="O13" s="107">
        <f>IF(N13&gt;0, N13 - M13, 0)</f>
        <v>200</v>
      </c>
      <c r="P13" s="107">
        <f>IF(N13 = 0, K13 * B6, 0)</f>
        <v>0</v>
      </c>
      <c r="Q13" s="93"/>
      <c r="R13" s="93"/>
    </row>
    <row r="14" spans="1:18" x14ac:dyDescent="0.25">
      <c r="A14" s="96">
        <v>45742</v>
      </c>
      <c r="B14" s="93" t="s">
        <v>183</v>
      </c>
      <c r="C14" s="93">
        <v>275177</v>
      </c>
      <c r="D14" s="93" t="s">
        <v>111</v>
      </c>
      <c r="E14" s="93" t="s">
        <v>112</v>
      </c>
      <c r="F14" s="93">
        <v>25</v>
      </c>
      <c r="G14" s="93" t="s">
        <v>1319</v>
      </c>
      <c r="H14" s="93" t="s">
        <v>1342</v>
      </c>
      <c r="I14" s="93" t="s">
        <v>59</v>
      </c>
      <c r="J14" s="107">
        <v>4952.72</v>
      </c>
      <c r="K14" s="107">
        <v>6910</v>
      </c>
      <c r="L14" s="93">
        <v>1</v>
      </c>
      <c r="M14" s="107">
        <v>1243.8</v>
      </c>
      <c r="N14" s="107">
        <f>IF(M14&lt;=251, VLOOKUP(B3, 'Look Up Table'!I:J, 2, TRUE) * L14, 0)</f>
        <v>0</v>
      </c>
      <c r="O14" s="107">
        <f>IF(N14&gt;0, N14 - M14, 0)</f>
        <v>0</v>
      </c>
      <c r="P14" s="107">
        <f>IF(N14 = 0, K14 * B6, 0)</f>
        <v>483.70000000000005</v>
      </c>
      <c r="Q14" s="93"/>
      <c r="R14" s="93"/>
    </row>
    <row r="15" spans="1:18" x14ac:dyDescent="0.25">
      <c r="A15" s="96">
        <v>45743</v>
      </c>
      <c r="B15" s="93">
        <v>9700</v>
      </c>
      <c r="C15" s="93">
        <v>24269</v>
      </c>
      <c r="D15" s="93" t="s">
        <v>184</v>
      </c>
      <c r="E15" s="93" t="s">
        <v>185</v>
      </c>
      <c r="F15" s="93">
        <v>25</v>
      </c>
      <c r="G15" s="93" t="s">
        <v>1319</v>
      </c>
      <c r="H15" s="93" t="s">
        <v>1333</v>
      </c>
      <c r="I15" s="93" t="s">
        <v>59</v>
      </c>
      <c r="J15" s="107">
        <v>1512</v>
      </c>
      <c r="K15" s="107">
        <v>4110</v>
      </c>
      <c r="L15" s="93">
        <v>1</v>
      </c>
      <c r="M15" s="107">
        <v>739.8</v>
      </c>
      <c r="N15" s="107">
        <f>IF(M15&lt;=251, VLOOKUP(B3, 'Look Up Table'!I:J, 2, TRUE) * L15, 0)</f>
        <v>0</v>
      </c>
      <c r="O15" s="107">
        <f>IF(N15&gt;0, N15 - M15, 0)</f>
        <v>0</v>
      </c>
      <c r="P15" s="107">
        <f>IF(N15 = 0, K15 * B6, 0)</f>
        <v>287.70000000000005</v>
      </c>
      <c r="Q15" s="93"/>
      <c r="R15" s="93"/>
    </row>
    <row r="16" spans="1:18" x14ac:dyDescent="0.25">
      <c r="A16" s="96">
        <v>45744</v>
      </c>
      <c r="B16" s="93">
        <v>9738</v>
      </c>
      <c r="C16" s="93">
        <v>24259</v>
      </c>
      <c r="D16" s="93" t="s">
        <v>186</v>
      </c>
      <c r="E16" s="93" t="s">
        <v>187</v>
      </c>
      <c r="F16" s="93">
        <v>25</v>
      </c>
      <c r="G16" s="93" t="s">
        <v>1321</v>
      </c>
      <c r="H16" s="93" t="s">
        <v>1346</v>
      </c>
      <c r="I16" s="93" t="s">
        <v>59</v>
      </c>
      <c r="J16" s="107">
        <v>4758.1499999999996</v>
      </c>
      <c r="K16" s="107">
        <v>7071</v>
      </c>
      <c r="L16" s="93">
        <v>1</v>
      </c>
      <c r="M16" s="107">
        <v>1272.78</v>
      </c>
      <c r="N16" s="107">
        <f>IF(M16&lt;=251, VLOOKUP(B3, 'Look Up Table'!I:J, 2, TRUE) * L16, 0)</f>
        <v>0</v>
      </c>
      <c r="O16" s="107">
        <f>IF(N16&gt;0, N16 - M16, 0)</f>
        <v>0</v>
      </c>
      <c r="P16" s="107">
        <f>IF(N16 = 0, K16 * B6, 0)</f>
        <v>494.97</v>
      </c>
      <c r="Q16" s="93"/>
      <c r="R16" s="93"/>
    </row>
    <row r="17" spans="1:18" x14ac:dyDescent="0.25">
      <c r="A17" s="96">
        <v>45744</v>
      </c>
      <c r="B17" s="93">
        <v>9764</v>
      </c>
      <c r="C17" s="93">
        <v>24278</v>
      </c>
      <c r="D17" s="93" t="s">
        <v>191</v>
      </c>
      <c r="E17" s="93" t="s">
        <v>192</v>
      </c>
      <c r="F17" s="93">
        <v>25</v>
      </c>
      <c r="G17" s="93" t="s">
        <v>1321</v>
      </c>
      <c r="H17" s="93" t="s">
        <v>1346</v>
      </c>
      <c r="I17" s="93" t="s">
        <v>59</v>
      </c>
      <c r="J17" s="107">
        <v>1910.7</v>
      </c>
      <c r="K17" s="107">
        <v>-268.14999999999998</v>
      </c>
      <c r="L17" s="93">
        <v>1</v>
      </c>
      <c r="M17" s="107">
        <v>200</v>
      </c>
      <c r="N17" s="107">
        <f>IF(M17&lt;=251, VLOOKUP(B3, 'Look Up Table'!I:J, 2, TRUE) * L17, 0)</f>
        <v>400</v>
      </c>
      <c r="O17" s="107">
        <f>IF(N17&gt;0, N17 - M17, 0)</f>
        <v>200</v>
      </c>
      <c r="P17" s="107">
        <f>IF(N17 = 0, K17 * B6, 0)</f>
        <v>0</v>
      </c>
      <c r="Q17" s="93"/>
      <c r="R17" s="93"/>
    </row>
    <row r="18" spans="1:18" x14ac:dyDescent="0.25">
      <c r="A18" s="96">
        <v>45747</v>
      </c>
      <c r="B18" s="93">
        <v>9778</v>
      </c>
      <c r="C18" s="93">
        <v>19492</v>
      </c>
      <c r="D18" s="93" t="s">
        <v>193</v>
      </c>
      <c r="E18" s="93" t="s">
        <v>194</v>
      </c>
      <c r="F18" s="93">
        <v>25</v>
      </c>
      <c r="G18" s="93" t="s">
        <v>1319</v>
      </c>
      <c r="H18" s="93" t="s">
        <v>1342</v>
      </c>
      <c r="I18" s="93" t="s">
        <v>59</v>
      </c>
      <c r="J18" s="107">
        <v>6635.9</v>
      </c>
      <c r="K18" s="107">
        <v>5472.51</v>
      </c>
      <c r="L18" s="93">
        <v>1</v>
      </c>
      <c r="M18" s="107">
        <v>985.05</v>
      </c>
      <c r="N18" s="107">
        <f>IF(M18&lt;=251, VLOOKUP(B3, 'Look Up Table'!I:J, 2, TRUE) * L18, 0)</f>
        <v>0</v>
      </c>
      <c r="O18" s="107">
        <f>IF(N18&gt;0, N18 - M18, 0)</f>
        <v>0</v>
      </c>
      <c r="P18" s="107">
        <f>IF(N18 = 0, K18 * B6, 0)</f>
        <v>383.07570000000004</v>
      </c>
      <c r="Q18" s="93"/>
      <c r="R18" s="93"/>
    </row>
    <row r="19" spans="1:18" x14ac:dyDescent="0.25">
      <c r="A19" s="96">
        <v>45747</v>
      </c>
      <c r="B19" s="93">
        <v>9923</v>
      </c>
      <c r="C19" s="93">
        <v>24473</v>
      </c>
      <c r="D19" s="93" t="s">
        <v>197</v>
      </c>
      <c r="E19" s="93" t="s">
        <v>198</v>
      </c>
      <c r="F19" s="93">
        <v>25</v>
      </c>
      <c r="G19" s="93" t="s">
        <v>1321</v>
      </c>
      <c r="H19" s="93" t="s">
        <v>1346</v>
      </c>
      <c r="I19" s="93" t="s">
        <v>59</v>
      </c>
      <c r="J19" s="107">
        <v>1350.78</v>
      </c>
      <c r="K19" s="107">
        <v>-3165</v>
      </c>
      <c r="L19" s="93">
        <v>1</v>
      </c>
      <c r="M19" s="107">
        <v>200</v>
      </c>
      <c r="N19" s="107">
        <f>IF(M19&lt;=251, VLOOKUP(B3, 'Look Up Table'!I:J, 2, TRUE) * L19, 0)</f>
        <v>400</v>
      </c>
      <c r="O19" s="107">
        <f>IF(N19&gt;0, N19 - M19, 0)</f>
        <v>200</v>
      </c>
      <c r="P19" s="107">
        <f>IF(N19 = 0, K19 * B6, 0)</f>
        <v>0</v>
      </c>
      <c r="Q19" s="93"/>
      <c r="R19" s="93"/>
    </row>
    <row r="20" spans="1:18" x14ac:dyDescent="0.25">
      <c r="A20" s="96">
        <v>45747</v>
      </c>
      <c r="B20" s="93">
        <v>9984</v>
      </c>
      <c r="C20" s="93">
        <v>24538</v>
      </c>
      <c r="D20" s="93" t="s">
        <v>201</v>
      </c>
      <c r="E20" s="93" t="s">
        <v>202</v>
      </c>
      <c r="F20" s="93">
        <v>25</v>
      </c>
      <c r="G20" s="93" t="s">
        <v>1319</v>
      </c>
      <c r="H20" s="93" t="s">
        <v>1347</v>
      </c>
      <c r="I20" s="93" t="s">
        <v>59</v>
      </c>
      <c r="J20" s="107">
        <v>1211.4000000000001</v>
      </c>
      <c r="K20" s="107">
        <v>-194</v>
      </c>
      <c r="L20" s="93">
        <v>1</v>
      </c>
      <c r="M20" s="107">
        <v>200</v>
      </c>
      <c r="N20" s="107">
        <f>IF(M20&lt;=251, VLOOKUP(B3, 'Look Up Table'!I:J, 2, TRUE) * L20, 0)</f>
        <v>400</v>
      </c>
      <c r="O20" s="107">
        <f>IF(N20&gt;0, N20 - M20, 0)</f>
        <v>200</v>
      </c>
      <c r="P20" s="107">
        <f>IF(N20 = 0, K20 * B6, 0)</f>
        <v>0</v>
      </c>
      <c r="Q20" s="93"/>
      <c r="R20" s="93"/>
    </row>
    <row r="21" spans="1:18" x14ac:dyDescent="0.25">
      <c r="A21" s="96">
        <v>45747</v>
      </c>
      <c r="B21" s="93">
        <v>9907</v>
      </c>
      <c r="C21" s="93">
        <v>10950</v>
      </c>
      <c r="D21" s="93" t="s">
        <v>204</v>
      </c>
      <c r="E21" s="93" t="s">
        <v>205</v>
      </c>
      <c r="F21" s="93">
        <v>25</v>
      </c>
      <c r="G21" s="93" t="s">
        <v>1319</v>
      </c>
      <c r="H21" s="93" t="s">
        <v>1345</v>
      </c>
      <c r="I21" s="93" t="s">
        <v>59</v>
      </c>
      <c r="J21" s="107">
        <v>919.85</v>
      </c>
      <c r="K21" s="107">
        <v>-164.5</v>
      </c>
      <c r="L21" s="93">
        <v>0.5</v>
      </c>
      <c r="M21" s="107">
        <v>100</v>
      </c>
      <c r="N21" s="107">
        <f>IF(M21&lt;=251, VLOOKUP(B3, 'Look Up Table'!I:J, 2, TRUE) * L21, 0)</f>
        <v>200</v>
      </c>
      <c r="O21" s="107">
        <f>IF(N21&gt;0, N21 - M21, 0)</f>
        <v>100</v>
      </c>
      <c r="P21" s="107">
        <f>IF(N21 = 0, K21 * B6, 0)</f>
        <v>0</v>
      </c>
      <c r="Q21" s="93"/>
      <c r="R21" s="93"/>
    </row>
    <row r="22" spans="1:18" x14ac:dyDescent="0.25">
      <c r="A22" s="96">
        <v>45747</v>
      </c>
      <c r="B22" s="93">
        <v>9819</v>
      </c>
      <c r="C22" s="93">
        <v>24333</v>
      </c>
      <c r="D22" s="93" t="s">
        <v>206</v>
      </c>
      <c r="E22" s="93" t="s">
        <v>207</v>
      </c>
      <c r="F22" s="93">
        <v>25</v>
      </c>
      <c r="G22" s="93" t="s">
        <v>1321</v>
      </c>
      <c r="H22" s="93" t="s">
        <v>1346</v>
      </c>
      <c r="I22" s="93" t="s">
        <v>59</v>
      </c>
      <c r="J22" s="107">
        <v>1588</v>
      </c>
      <c r="K22" s="107">
        <v>2021</v>
      </c>
      <c r="L22" s="93">
        <v>1</v>
      </c>
      <c r="M22" s="107">
        <v>363.78</v>
      </c>
      <c r="N22" s="107">
        <f>IF(M22&lt;=251, VLOOKUP(B3, 'Look Up Table'!I:J, 2, TRUE) * L22, 0)</f>
        <v>0</v>
      </c>
      <c r="O22" s="107">
        <f>IF(N22&gt;0, N22 - M22, 0)</f>
        <v>0</v>
      </c>
      <c r="P22" s="107">
        <f>IF(N22 = 0, K22 * B6, 0)</f>
        <v>141.47000000000003</v>
      </c>
      <c r="Q22" s="93"/>
      <c r="R22" s="93"/>
    </row>
    <row r="23" spans="1:18" x14ac:dyDescent="0.25">
      <c r="A23" s="96">
        <v>45747</v>
      </c>
      <c r="B23" s="93">
        <v>9944</v>
      </c>
      <c r="C23" s="93">
        <v>14579</v>
      </c>
      <c r="D23" s="93" t="s">
        <v>208</v>
      </c>
      <c r="E23" s="93" t="s">
        <v>209</v>
      </c>
      <c r="F23" s="93">
        <v>25</v>
      </c>
      <c r="G23" s="93" t="s">
        <v>1321</v>
      </c>
      <c r="H23" s="93" t="s">
        <v>1348</v>
      </c>
      <c r="I23" s="93" t="s">
        <v>59</v>
      </c>
      <c r="J23" s="107">
        <v>1403.19</v>
      </c>
      <c r="K23" s="107">
        <v>440.39</v>
      </c>
      <c r="L23" s="93">
        <v>1</v>
      </c>
      <c r="M23" s="107">
        <v>200</v>
      </c>
      <c r="N23" s="107">
        <f>IF(M23&lt;=251, VLOOKUP(B3, 'Look Up Table'!I:J, 2, TRUE) * L23, 0)</f>
        <v>400</v>
      </c>
      <c r="O23" s="107">
        <f>IF(N23&gt;0, N23 - M23, 0)</f>
        <v>200</v>
      </c>
      <c r="P23" s="107">
        <f>IF(N23 = 0, K23 * B6, 0)</f>
        <v>0</v>
      </c>
      <c r="Q23" s="93"/>
      <c r="R23" s="93"/>
    </row>
    <row r="24" spans="1:18" x14ac:dyDescent="0.25">
      <c r="A24" s="96">
        <v>45747</v>
      </c>
      <c r="B24" s="93">
        <v>9903</v>
      </c>
      <c r="C24" s="93">
        <v>24450</v>
      </c>
      <c r="D24" s="93" t="s">
        <v>213</v>
      </c>
      <c r="E24" s="93" t="s">
        <v>214</v>
      </c>
      <c r="F24" s="93">
        <v>24</v>
      </c>
      <c r="G24" s="93" t="s">
        <v>1321</v>
      </c>
      <c r="H24" s="93" t="s">
        <v>1349</v>
      </c>
      <c r="I24" s="93" t="s">
        <v>86</v>
      </c>
      <c r="J24" s="107">
        <v>4920.1099999999997</v>
      </c>
      <c r="K24" s="107">
        <v>-1286.5899999999999</v>
      </c>
      <c r="L24" s="93">
        <v>1</v>
      </c>
      <c r="M24" s="107">
        <v>200</v>
      </c>
      <c r="N24" s="107">
        <f>IF(M24&lt;=251, VLOOKUP(B3, 'Look Up Table'!I:J, 2, TRUE) * L24, 0)</f>
        <v>400</v>
      </c>
      <c r="O24" s="107">
        <f>IF(N24&gt;0, N24 - M24, 0)</f>
        <v>200</v>
      </c>
      <c r="P24" s="107">
        <f>IF(N24 = 0, K24 * B6, 0)</f>
        <v>0</v>
      </c>
      <c r="Q24" s="93"/>
      <c r="R24" s="93"/>
    </row>
    <row r="25" spans="1:18" x14ac:dyDescent="0.25">
      <c r="A25" s="104"/>
      <c r="B25" s="105"/>
      <c r="C25" s="105"/>
      <c r="D25" s="105"/>
      <c r="E25" s="105"/>
      <c r="F25" s="105"/>
      <c r="G25" s="105"/>
      <c r="H25" s="105"/>
      <c r="I25" s="105"/>
      <c r="J25" s="108">
        <f>SUM(J8:J24)</f>
        <v>45379.55</v>
      </c>
      <c r="K25" s="108">
        <f>SUM(K8:K24)</f>
        <v>13170.69</v>
      </c>
      <c r="L25" s="105">
        <f>SUM(L8:L24)</f>
        <v>16.5</v>
      </c>
      <c r="M25" s="108">
        <f>SUM(M8:M24)</f>
        <v>7308.57</v>
      </c>
      <c r="N25" s="108">
        <f>SUM(N8:N24)</f>
        <v>4200</v>
      </c>
      <c r="O25" s="108">
        <f>SUM(O8:O24)</f>
        <v>2100</v>
      </c>
      <c r="P25" s="108">
        <f>SUM(P8:P24)</f>
        <v>2025.5557000000003</v>
      </c>
      <c r="Q25" s="93"/>
      <c r="R25" s="93"/>
    </row>
    <row r="27" spans="1:18" x14ac:dyDescent="0.25">
      <c r="J27" s="99" t="s">
        <v>1451</v>
      </c>
      <c r="M27" s="106">
        <f>-VLOOKUP(B2, '3213'!A:G, 7, 0)</f>
        <v>-2646.41</v>
      </c>
    </row>
    <row r="28" spans="1:18" x14ac:dyDescent="0.25">
      <c r="J28" s="99"/>
      <c r="M28" s="106"/>
    </row>
    <row r="29" spans="1:18" x14ac:dyDescent="0.25">
      <c r="J29" s="99" t="s">
        <v>1264</v>
      </c>
      <c r="K29" s="92">
        <v>0.18</v>
      </c>
      <c r="M29" s="106">
        <f>M25</f>
        <v>7308.57</v>
      </c>
    </row>
    <row r="30" spans="1:18" x14ac:dyDescent="0.25">
      <c r="J30" s="99"/>
      <c r="M30" s="106"/>
    </row>
    <row r="31" spans="1:18" x14ac:dyDescent="0.25">
      <c r="A31" s="110"/>
      <c r="B31" s="109"/>
      <c r="C31" s="109"/>
      <c r="D31" t="s">
        <v>1448</v>
      </c>
      <c r="J31" s="99" t="s">
        <v>1265</v>
      </c>
      <c r="K31" s="92">
        <f>B6</f>
        <v>7.0000000000000007E-2</v>
      </c>
      <c r="M31" s="106">
        <f>P25</f>
        <v>2025.5557000000003</v>
      </c>
    </row>
    <row r="32" spans="1:18" x14ac:dyDescent="0.25">
      <c r="J32" s="99"/>
      <c r="M32" s="106"/>
    </row>
    <row r="33" spans="1:13" x14ac:dyDescent="0.25">
      <c r="J33" s="99" t="s">
        <v>1452</v>
      </c>
      <c r="M33" s="106">
        <f>O25</f>
        <v>2100</v>
      </c>
    </row>
    <row r="34" spans="1:13" x14ac:dyDescent="0.25">
      <c r="J34" s="99"/>
      <c r="M34" s="106"/>
    </row>
    <row r="35" spans="1:13" x14ac:dyDescent="0.25">
      <c r="J35" s="99" t="s">
        <v>1453</v>
      </c>
      <c r="M35" s="106">
        <f>SUM(P25, O25)</f>
        <v>4125.5557000000008</v>
      </c>
    </row>
    <row r="36" spans="1:13" x14ac:dyDescent="0.25">
      <c r="J36" s="99"/>
      <c r="M36" s="106"/>
    </row>
    <row r="37" spans="1:13" x14ac:dyDescent="0.25">
      <c r="A37" s="110"/>
      <c r="B37" s="109"/>
      <c r="C37" s="109"/>
      <c r="D37" t="s">
        <v>1449</v>
      </c>
      <c r="J37" s="99" t="s">
        <v>1454</v>
      </c>
      <c r="M37" s="106">
        <f>J25</f>
        <v>45379.55</v>
      </c>
    </row>
    <row r="38" spans="1:13" x14ac:dyDescent="0.25">
      <c r="J38" s="99"/>
      <c r="M38" s="106"/>
    </row>
    <row r="39" spans="1:13" x14ac:dyDescent="0.25">
      <c r="J39" s="99" t="s">
        <v>1455</v>
      </c>
      <c r="K39" s="92">
        <v>-0.25</v>
      </c>
      <c r="M39" s="106">
        <f>K39 * M37</f>
        <v>-11344.887500000001</v>
      </c>
    </row>
    <row r="40" spans="1:13" x14ac:dyDescent="0.25">
      <c r="J40" s="99"/>
      <c r="M40" s="106"/>
    </row>
    <row r="41" spans="1:13" x14ac:dyDescent="0.25">
      <c r="J41" s="99" t="s">
        <v>1456</v>
      </c>
      <c r="M41" s="106">
        <f>M37 + M39</f>
        <v>34034.662500000006</v>
      </c>
    </row>
    <row r="42" spans="1:13" x14ac:dyDescent="0.25">
      <c r="J42" s="99"/>
      <c r="M42" s="106"/>
    </row>
    <row r="43" spans="1:13" x14ac:dyDescent="0.25">
      <c r="J43" s="99" t="s">
        <v>1457</v>
      </c>
      <c r="K43" s="92">
        <v>0.05</v>
      </c>
      <c r="M43" s="106">
        <f>K43 * M41</f>
        <v>1701.7331250000004</v>
      </c>
    </row>
    <row r="44" spans="1:13" x14ac:dyDescent="0.25">
      <c r="J44" s="99"/>
      <c r="M44" s="106"/>
    </row>
    <row r="45" spans="1:13" x14ac:dyDescent="0.25">
      <c r="J45" s="99" t="s">
        <v>1458</v>
      </c>
      <c r="K45">
        <f>VLOOKUP(B2,'Pay Summary'!A:D,4,0)</f>
        <v>3</v>
      </c>
      <c r="M45" s="106">
        <f>IF(K45 = 1, 500, 0)</f>
        <v>0</v>
      </c>
    </row>
    <row r="46" spans="1:13" x14ac:dyDescent="0.25">
      <c r="J46" s="99"/>
      <c r="M46" s="106"/>
    </row>
    <row r="47" spans="1:13" x14ac:dyDescent="0.25">
      <c r="J47" s="99" t="s">
        <v>1450</v>
      </c>
      <c r="K47">
        <f>L25</f>
        <v>16.5</v>
      </c>
      <c r="M47" s="106">
        <f>VLOOKUP(K47, 'Look Up Table'!E:F, 2, TRUE)</f>
        <v>1500</v>
      </c>
    </row>
    <row r="48" spans="1:13" x14ac:dyDescent="0.25">
      <c r="J48" s="99"/>
      <c r="M48" s="106"/>
    </row>
    <row r="49" spans="10:15" x14ac:dyDescent="0.25">
      <c r="J49" s="99" t="s">
        <v>1306</v>
      </c>
      <c r="K49" s="111" t="str">
        <f>B4</f>
        <v>3P</v>
      </c>
      <c r="M49" s="106">
        <f>IF(B5&gt;=3,IF(B4="3P",L25*50,IF(B4="A",0,IF(B4="B",L25*-50))),0)</f>
        <v>825</v>
      </c>
      <c r="N49" s="99" t="s">
        <v>1463</v>
      </c>
      <c r="O49" s="112">
        <f>'NPS Sheet'!X51</f>
        <v>0.91700000000000004</v>
      </c>
    </row>
    <row r="50" spans="10:15" x14ac:dyDescent="0.25">
      <c r="J50" s="99"/>
      <c r="M50" s="106"/>
    </row>
    <row r="51" spans="10:15" x14ac:dyDescent="0.25">
      <c r="J51" s="99" t="s">
        <v>1459</v>
      </c>
      <c r="M51" s="106">
        <f>SUM(M47, M49, M45)</f>
        <v>2325</v>
      </c>
    </row>
    <row r="52" spans="10:15" x14ac:dyDescent="0.25">
      <c r="J52" s="99"/>
      <c r="M52" s="106"/>
    </row>
    <row r="53" spans="10:15" x14ac:dyDescent="0.25">
      <c r="J53" s="99" t="s">
        <v>1460</v>
      </c>
      <c r="M53" s="106">
        <f>IFERROR(VLOOKUP(B2,SPIFFS!A:H,8,0),0)</f>
        <v>550</v>
      </c>
    </row>
    <row r="54" spans="10:15" x14ac:dyDescent="0.25">
      <c r="J54" s="99"/>
      <c r="M54" s="106"/>
    </row>
    <row r="55" spans="10:15" x14ac:dyDescent="0.25">
      <c r="J55" s="99" t="s">
        <v>1461</v>
      </c>
      <c r="M55" s="106">
        <f>SUM(M29, M35, M43, M51, M27, M53)</f>
        <v>13364.448825000001</v>
      </c>
    </row>
    <row r="56" spans="10:15" x14ac:dyDescent="0.25">
      <c r="J56" s="99"/>
      <c r="M56" s="106"/>
    </row>
    <row r="57" spans="10:15" x14ac:dyDescent="0.25">
      <c r="J57" s="99" t="s">
        <v>1462</v>
      </c>
      <c r="M57" s="106">
        <f>IF(M55&lt;0, SUM(M27, M51, M43, M35), 0)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34E96-BFF3-4E16-933A-3996A704B18A}">
  <dimension ref="A1:R49"/>
  <sheetViews>
    <sheetView workbookViewId="0"/>
  </sheetViews>
  <sheetFormatPr defaultRowHeight="15" x14ac:dyDescent="0.25"/>
  <cols>
    <col min="1" max="1" width="23" style="95" bestFit="1" customWidth="1"/>
    <col min="2" max="2" width="15.85546875" bestFit="1" customWidth="1"/>
    <col min="3" max="3" width="11.42578125" bestFit="1" customWidth="1"/>
    <col min="4" max="4" width="20.5703125" bestFit="1" customWidth="1"/>
    <col min="5" max="5" width="9.5703125" bestFit="1" customWidth="1"/>
    <col min="6" max="6" width="5" bestFit="1" customWidth="1"/>
    <col min="8" max="8" width="10" bestFit="1" customWidth="1"/>
    <col min="9" max="9" width="9.5703125" bestFit="1" customWidth="1"/>
    <col min="10" max="10" width="23.140625" bestFit="1" customWidth="1"/>
    <col min="11" max="11" width="18.42578125" bestFit="1" customWidth="1"/>
    <col min="12" max="12" width="5.7109375" bestFit="1" customWidth="1"/>
    <col min="13" max="13" width="20.140625" bestFit="1" customWidth="1"/>
    <col min="14" max="14" width="13.7109375" bestFit="1" customWidth="1"/>
    <col min="15" max="15" width="11.5703125" bestFit="1" customWidth="1"/>
    <col min="16" max="16" width="24.85546875" bestFit="1" customWidth="1"/>
  </cols>
  <sheetData>
    <row r="1" spans="1:18" x14ac:dyDescent="0.25">
      <c r="A1" s="101" t="s">
        <v>1249</v>
      </c>
      <c r="B1" s="100" t="s">
        <v>11</v>
      </c>
    </row>
    <row r="2" spans="1:18" x14ac:dyDescent="0.25">
      <c r="A2" s="101" t="s">
        <v>1307</v>
      </c>
      <c r="B2" s="100">
        <v>10304</v>
      </c>
    </row>
    <row r="3" spans="1:18" x14ac:dyDescent="0.25">
      <c r="A3" s="101" t="s">
        <v>1305</v>
      </c>
      <c r="B3" s="100">
        <f>VLOOKUP(B2, '90'!A:E, 5, 0)</f>
        <v>12</v>
      </c>
    </row>
    <row r="4" spans="1:18" x14ac:dyDescent="0.25">
      <c r="A4" s="101" t="s">
        <v>1306</v>
      </c>
      <c r="B4" s="100" t="str">
        <f>IFERROR(VLOOKUP(B2, NPS!B:H, 7, 0), 0)</f>
        <v>3P</v>
      </c>
    </row>
    <row r="5" spans="1:18" x14ac:dyDescent="0.25">
      <c r="A5" s="101" t="s">
        <v>1257</v>
      </c>
      <c r="B5" s="100">
        <f>IFERROR(VLOOKUP(B2, NPS!B:H, 3, 0), 0)</f>
        <v>2</v>
      </c>
    </row>
    <row r="6" spans="1:18" x14ac:dyDescent="0.25">
      <c r="A6" s="101" t="s">
        <v>1447</v>
      </c>
      <c r="B6" s="103">
        <f>VLOOKUP(7.5, 'Look Up Table'!A:B, 2, TRUE)</f>
        <v>0</v>
      </c>
    </row>
    <row r="7" spans="1:18" ht="50.1" customHeight="1" x14ac:dyDescent="0.25">
      <c r="A7" s="102" t="s">
        <v>43</v>
      </c>
      <c r="B7" s="80" t="s">
        <v>1308</v>
      </c>
      <c r="C7" s="80" t="s">
        <v>1309</v>
      </c>
      <c r="D7" s="80" t="s">
        <v>48</v>
      </c>
      <c r="E7" s="80" t="s">
        <v>1310</v>
      </c>
      <c r="F7" s="80" t="s">
        <v>1311</v>
      </c>
      <c r="G7" s="80" t="s">
        <v>1312</v>
      </c>
      <c r="H7" s="80" t="s">
        <v>1313</v>
      </c>
      <c r="I7" s="80" t="s">
        <v>51</v>
      </c>
      <c r="J7" s="80" t="s">
        <v>1314</v>
      </c>
      <c r="K7" s="80" t="s">
        <v>1315</v>
      </c>
      <c r="L7" s="80" t="s">
        <v>54</v>
      </c>
      <c r="M7" s="80" t="s">
        <v>55</v>
      </c>
      <c r="N7" s="80" t="s">
        <v>1316</v>
      </c>
      <c r="O7" s="80" t="s">
        <v>1317</v>
      </c>
      <c r="P7" s="80" t="s">
        <v>1318</v>
      </c>
    </row>
    <row r="8" spans="1:18" x14ac:dyDescent="0.25">
      <c r="A8" s="96">
        <v>45721</v>
      </c>
      <c r="B8" s="93">
        <v>9325</v>
      </c>
      <c r="C8" s="93">
        <v>267026</v>
      </c>
      <c r="D8" s="93" t="s">
        <v>216</v>
      </c>
      <c r="E8" s="93" t="s">
        <v>217</v>
      </c>
      <c r="F8" s="93">
        <v>22</v>
      </c>
      <c r="G8" s="93" t="s">
        <v>1321</v>
      </c>
      <c r="H8" s="93" t="s">
        <v>1349</v>
      </c>
      <c r="I8" s="93" t="s">
        <v>86</v>
      </c>
      <c r="J8" s="107">
        <v>4659.16</v>
      </c>
      <c r="K8" s="107">
        <v>-597.78</v>
      </c>
      <c r="L8" s="93">
        <v>0.5</v>
      </c>
      <c r="M8" s="107">
        <v>100</v>
      </c>
      <c r="N8" s="107">
        <f>IF(M8&lt;=251, VLOOKUP(B3, 'Look Up Table'!I:J, 2, TRUE) * L8, 0)</f>
        <v>125</v>
      </c>
      <c r="O8" s="107">
        <f>IF(N8&gt;0, N8 - M8, 0)</f>
        <v>25</v>
      </c>
      <c r="P8" s="107">
        <f>IF(N8 = 0, K8 * B6, 0)</f>
        <v>0</v>
      </c>
      <c r="Q8" s="93"/>
      <c r="R8" s="93"/>
    </row>
    <row r="9" spans="1:18" x14ac:dyDescent="0.25">
      <c r="A9" s="96">
        <v>45728</v>
      </c>
      <c r="B9" s="93" t="s">
        <v>221</v>
      </c>
      <c r="C9" s="93">
        <v>23839</v>
      </c>
      <c r="D9" s="93" t="s">
        <v>219</v>
      </c>
      <c r="E9" s="93" t="s">
        <v>220</v>
      </c>
      <c r="F9" s="93">
        <v>22</v>
      </c>
      <c r="G9" s="93" t="s">
        <v>1321</v>
      </c>
      <c r="H9" s="93" t="s">
        <v>1343</v>
      </c>
      <c r="I9" s="93" t="s">
        <v>86</v>
      </c>
      <c r="J9" s="107">
        <v>6405.8</v>
      </c>
      <c r="K9" s="107">
        <v>2646.59</v>
      </c>
      <c r="L9" s="93">
        <v>1</v>
      </c>
      <c r="M9" s="107">
        <v>476.39</v>
      </c>
      <c r="N9" s="107">
        <f>IF(M9&lt;=251, VLOOKUP(B3, 'Look Up Table'!I:J, 2, TRUE) * L9, 0)</f>
        <v>0</v>
      </c>
      <c r="O9" s="107">
        <f>IF(N9&gt;0, N9 - M9, 0)</f>
        <v>0</v>
      </c>
      <c r="P9" s="107">
        <f>IF(N9 = 0, K9 * B6, 0)</f>
        <v>0</v>
      </c>
      <c r="Q9" s="93"/>
      <c r="R9" s="93"/>
    </row>
    <row r="10" spans="1:18" x14ac:dyDescent="0.25">
      <c r="A10" s="96">
        <v>45733</v>
      </c>
      <c r="B10" s="93">
        <v>9442</v>
      </c>
      <c r="C10" s="93">
        <v>23780</v>
      </c>
      <c r="D10" s="93" t="s">
        <v>222</v>
      </c>
      <c r="E10" s="93" t="s">
        <v>223</v>
      </c>
      <c r="F10" s="93">
        <v>22</v>
      </c>
      <c r="G10" s="93" t="s">
        <v>1319</v>
      </c>
      <c r="H10" s="93" t="s">
        <v>1343</v>
      </c>
      <c r="I10" s="93" t="s">
        <v>86</v>
      </c>
      <c r="J10" s="107">
        <v>0</v>
      </c>
      <c r="K10" s="107">
        <v>803.84</v>
      </c>
      <c r="L10" s="93">
        <v>1</v>
      </c>
      <c r="M10" s="107">
        <v>200</v>
      </c>
      <c r="N10" s="107">
        <f>IF(M10&lt;=251, VLOOKUP(B3, 'Look Up Table'!I:J, 2, TRUE) * L10, 0)</f>
        <v>250</v>
      </c>
      <c r="O10" s="107">
        <f>IF(N10&gt;0, N10 - M10, 0)</f>
        <v>50</v>
      </c>
      <c r="P10" s="107">
        <f>IF(N10 = 0, K10 * B6, 0)</f>
        <v>0</v>
      </c>
      <c r="Q10" s="93"/>
      <c r="R10" s="93"/>
    </row>
    <row r="11" spans="1:18" x14ac:dyDescent="0.25">
      <c r="A11" s="96">
        <v>45735</v>
      </c>
      <c r="B11" s="93">
        <v>9467</v>
      </c>
      <c r="C11" s="93">
        <v>23815</v>
      </c>
      <c r="D11" s="93" t="s">
        <v>227</v>
      </c>
      <c r="E11" s="93" t="s">
        <v>228</v>
      </c>
      <c r="F11" s="93">
        <v>25</v>
      </c>
      <c r="G11" s="93" t="s">
        <v>1319</v>
      </c>
      <c r="H11" s="93" t="s">
        <v>1350</v>
      </c>
      <c r="I11" s="93" t="s">
        <v>59</v>
      </c>
      <c r="J11" s="107">
        <v>1871.1</v>
      </c>
      <c r="K11" s="107">
        <v>3948.51</v>
      </c>
      <c r="L11" s="93">
        <v>1</v>
      </c>
      <c r="M11" s="107">
        <v>710.73</v>
      </c>
      <c r="N11" s="107">
        <f>IF(M11&lt;=251, VLOOKUP(B3, 'Look Up Table'!I:J, 2, TRUE) * L11, 0)</f>
        <v>0</v>
      </c>
      <c r="O11" s="107">
        <f>IF(N11&gt;0, N11 - M11, 0)</f>
        <v>0</v>
      </c>
      <c r="P11" s="107">
        <f>IF(N11 = 0, K11 * B6, 0)</f>
        <v>0</v>
      </c>
      <c r="Q11" s="93"/>
      <c r="R11" s="93"/>
    </row>
    <row r="12" spans="1:18" x14ac:dyDescent="0.25">
      <c r="A12" s="96">
        <v>45743</v>
      </c>
      <c r="B12" s="93">
        <v>9676</v>
      </c>
      <c r="C12" s="93">
        <v>24182</v>
      </c>
      <c r="D12" s="93" t="s">
        <v>230</v>
      </c>
      <c r="E12" s="93" t="s">
        <v>231</v>
      </c>
      <c r="F12" s="93">
        <v>23</v>
      </c>
      <c r="G12" s="93" t="s">
        <v>1319</v>
      </c>
      <c r="H12" s="93" t="s">
        <v>1351</v>
      </c>
      <c r="I12" s="93" t="s">
        <v>86</v>
      </c>
      <c r="J12" s="107">
        <v>2222.2600000000002</v>
      </c>
      <c r="K12" s="107">
        <v>-2472.16</v>
      </c>
      <c r="L12" s="93">
        <v>0.5</v>
      </c>
      <c r="M12" s="107">
        <v>100</v>
      </c>
      <c r="N12" s="107">
        <f>IF(M12&lt;=251, VLOOKUP(B3, 'Look Up Table'!I:J, 2, TRUE) * L12, 0)</f>
        <v>125</v>
      </c>
      <c r="O12" s="107">
        <f>IF(N12&gt;0, N12 - M12, 0)</f>
        <v>25</v>
      </c>
      <c r="P12" s="107">
        <f>IF(N12 = 0, K12 * B6, 0)</f>
        <v>0</v>
      </c>
      <c r="Q12" s="93"/>
      <c r="R12" s="93"/>
    </row>
    <row r="13" spans="1:18" x14ac:dyDescent="0.25">
      <c r="A13" s="96">
        <v>45744</v>
      </c>
      <c r="B13" s="93">
        <v>9762</v>
      </c>
      <c r="C13" s="93">
        <v>24277</v>
      </c>
      <c r="D13" s="93" t="s">
        <v>235</v>
      </c>
      <c r="E13" s="93" t="s">
        <v>236</v>
      </c>
      <c r="F13" s="93">
        <v>22</v>
      </c>
      <c r="G13" s="93" t="s">
        <v>1321</v>
      </c>
      <c r="H13" s="93" t="s">
        <v>1343</v>
      </c>
      <c r="I13" s="93" t="s">
        <v>86</v>
      </c>
      <c r="J13" s="107">
        <v>2020</v>
      </c>
      <c r="K13" s="107">
        <v>478.47</v>
      </c>
      <c r="L13" s="93">
        <v>1</v>
      </c>
      <c r="M13" s="107">
        <v>200</v>
      </c>
      <c r="N13" s="107">
        <f>IF(M13&lt;=251, VLOOKUP(B3, 'Look Up Table'!I:J, 2, TRUE) * L13, 0)</f>
        <v>250</v>
      </c>
      <c r="O13" s="107">
        <f>IF(N13&gt;0, N13 - M13, 0)</f>
        <v>50</v>
      </c>
      <c r="P13" s="107">
        <f>IF(N13 = 0, K13 * B6, 0)</f>
        <v>0</v>
      </c>
      <c r="Q13" s="93"/>
      <c r="R13" s="93"/>
    </row>
    <row r="14" spans="1:18" x14ac:dyDescent="0.25">
      <c r="A14" s="96">
        <v>45747</v>
      </c>
      <c r="B14" s="93">
        <v>7299</v>
      </c>
      <c r="C14" s="93">
        <v>20769</v>
      </c>
      <c r="D14" s="93" t="s">
        <v>156</v>
      </c>
      <c r="E14" s="93" t="s">
        <v>157</v>
      </c>
      <c r="F14" s="93">
        <v>25</v>
      </c>
      <c r="G14" s="93" t="s">
        <v>1319</v>
      </c>
      <c r="H14" s="93" t="s">
        <v>1342</v>
      </c>
      <c r="I14" s="93" t="s">
        <v>59</v>
      </c>
      <c r="J14" s="107">
        <v>3262.87</v>
      </c>
      <c r="K14" s="107">
        <v>2044.32</v>
      </c>
      <c r="L14" s="93">
        <v>0.5</v>
      </c>
      <c r="M14" s="107">
        <v>367.98</v>
      </c>
      <c r="N14" s="107">
        <f>IF(M14&lt;=251, VLOOKUP(B3, 'Look Up Table'!I:J, 2, TRUE) * L14, 0)</f>
        <v>0</v>
      </c>
      <c r="O14" s="107">
        <f>IF(N14&gt;0, N14 - M14, 0)</f>
        <v>0</v>
      </c>
      <c r="P14" s="107">
        <f>IF(N14 = 0, K14 * B6, 0)</f>
        <v>0</v>
      </c>
      <c r="Q14" s="93"/>
      <c r="R14" s="93"/>
    </row>
    <row r="15" spans="1:18" x14ac:dyDescent="0.25">
      <c r="A15" s="96">
        <v>45747</v>
      </c>
      <c r="B15" s="93">
        <v>9857</v>
      </c>
      <c r="C15" s="93">
        <v>24394</v>
      </c>
      <c r="D15" s="93" t="s">
        <v>239</v>
      </c>
      <c r="E15" s="93" t="s">
        <v>240</v>
      </c>
      <c r="F15" s="93">
        <v>25</v>
      </c>
      <c r="G15" s="93" t="s">
        <v>1321</v>
      </c>
      <c r="H15" s="93" t="s">
        <v>1328</v>
      </c>
      <c r="I15" s="93" t="s">
        <v>59</v>
      </c>
      <c r="J15" s="107">
        <v>0</v>
      </c>
      <c r="K15" s="107">
        <v>2197.1999999999998</v>
      </c>
      <c r="L15" s="93">
        <v>1</v>
      </c>
      <c r="M15" s="107">
        <v>395.5</v>
      </c>
      <c r="N15" s="107">
        <f>IF(M15&lt;=251, VLOOKUP(B3, 'Look Up Table'!I:J, 2, TRUE) * L15, 0)</f>
        <v>0</v>
      </c>
      <c r="O15" s="107">
        <f>IF(N15&gt;0, N15 - M15, 0)</f>
        <v>0</v>
      </c>
      <c r="P15" s="107">
        <f>IF(N15 = 0, K15 * B6, 0)</f>
        <v>0</v>
      </c>
      <c r="Q15" s="93"/>
      <c r="R15" s="93"/>
    </row>
    <row r="16" spans="1:18" x14ac:dyDescent="0.25">
      <c r="A16" s="96">
        <v>45747</v>
      </c>
      <c r="B16" s="93">
        <v>9910</v>
      </c>
      <c r="C16" s="93">
        <v>24460</v>
      </c>
      <c r="D16" s="93" t="s">
        <v>243</v>
      </c>
      <c r="E16" s="93" t="s">
        <v>181</v>
      </c>
      <c r="F16" s="93">
        <v>22</v>
      </c>
      <c r="G16" s="93" t="s">
        <v>1319</v>
      </c>
      <c r="H16" s="93" t="s">
        <v>1349</v>
      </c>
      <c r="I16" s="93" t="s">
        <v>86</v>
      </c>
      <c r="J16" s="107">
        <v>0</v>
      </c>
      <c r="K16" s="107">
        <v>-505.73</v>
      </c>
      <c r="L16" s="93">
        <v>1</v>
      </c>
      <c r="M16" s="107">
        <v>200</v>
      </c>
      <c r="N16" s="107">
        <f>IF(M16&lt;=251, VLOOKUP(B3, 'Look Up Table'!I:J, 2, TRUE) * L16, 0)</f>
        <v>250</v>
      </c>
      <c r="O16" s="107">
        <f>IF(N16&gt;0, N16 - M16, 0)</f>
        <v>50</v>
      </c>
      <c r="P16" s="107">
        <f>IF(N16 = 0, K16 * B6, 0)</f>
        <v>0</v>
      </c>
      <c r="Q16" s="93"/>
      <c r="R16" s="93"/>
    </row>
    <row r="17" spans="1:18" x14ac:dyDescent="0.25">
      <c r="A17" s="104"/>
      <c r="B17" s="105"/>
      <c r="C17" s="105"/>
      <c r="D17" s="105"/>
      <c r="E17" s="105"/>
      <c r="F17" s="105"/>
      <c r="G17" s="105"/>
      <c r="H17" s="105"/>
      <c r="I17" s="105"/>
      <c r="J17" s="108">
        <f>SUM(J8:J16)</f>
        <v>20441.189999999999</v>
      </c>
      <c r="K17" s="108">
        <f>SUM(K8:K16)</f>
        <v>8543.260000000002</v>
      </c>
      <c r="L17" s="105">
        <f>SUM(L8:L16)</f>
        <v>7.5</v>
      </c>
      <c r="M17" s="108">
        <f>SUM(M8:M16)</f>
        <v>2750.6</v>
      </c>
      <c r="N17" s="108">
        <f>SUM(N8:N16)</f>
        <v>1000</v>
      </c>
      <c r="O17" s="108">
        <f>SUM(O8:O16)</f>
        <v>200</v>
      </c>
      <c r="P17" s="108">
        <f>SUM(P8:P16)</f>
        <v>0</v>
      </c>
      <c r="Q17" s="93"/>
      <c r="R17" s="93"/>
    </row>
    <row r="19" spans="1:18" x14ac:dyDescent="0.25">
      <c r="J19" s="99" t="s">
        <v>1451</v>
      </c>
      <c r="M19" s="106">
        <f>-VLOOKUP(B2, '3213'!A:G, 7, 0)</f>
        <v>-3637.55</v>
      </c>
    </row>
    <row r="20" spans="1:18" x14ac:dyDescent="0.25">
      <c r="J20" s="99"/>
      <c r="M20" s="106"/>
    </row>
    <row r="21" spans="1:18" x14ac:dyDescent="0.25">
      <c r="J21" s="99" t="s">
        <v>1264</v>
      </c>
      <c r="K21" s="92">
        <v>0.18</v>
      </c>
      <c r="M21" s="106">
        <f>M17</f>
        <v>2750.6</v>
      </c>
    </row>
    <row r="22" spans="1:18" x14ac:dyDescent="0.25">
      <c r="J22" s="99"/>
      <c r="M22" s="106"/>
    </row>
    <row r="23" spans="1:18" x14ac:dyDescent="0.25">
      <c r="A23" s="110"/>
      <c r="B23" s="109"/>
      <c r="C23" s="109"/>
      <c r="D23" t="s">
        <v>1448</v>
      </c>
      <c r="J23" s="99" t="s">
        <v>1265</v>
      </c>
      <c r="K23" s="92">
        <f>B6</f>
        <v>0</v>
      </c>
      <c r="M23" s="106">
        <f>P17</f>
        <v>0</v>
      </c>
    </row>
    <row r="24" spans="1:18" x14ac:dyDescent="0.25">
      <c r="J24" s="99"/>
      <c r="M24" s="106"/>
    </row>
    <row r="25" spans="1:18" x14ac:dyDescent="0.25">
      <c r="J25" s="99" t="s">
        <v>1452</v>
      </c>
      <c r="M25" s="106">
        <f>O17</f>
        <v>200</v>
      </c>
    </row>
    <row r="26" spans="1:18" x14ac:dyDescent="0.25">
      <c r="J26" s="99"/>
      <c r="M26" s="106"/>
    </row>
    <row r="27" spans="1:18" x14ac:dyDescent="0.25">
      <c r="J27" s="99" t="s">
        <v>1453</v>
      </c>
      <c r="M27" s="106">
        <f>SUM(P17, O17)</f>
        <v>200</v>
      </c>
    </row>
    <row r="28" spans="1:18" x14ac:dyDescent="0.25">
      <c r="J28" s="99"/>
      <c r="M28" s="106"/>
    </row>
    <row r="29" spans="1:18" x14ac:dyDescent="0.25">
      <c r="A29" s="110"/>
      <c r="B29" s="109"/>
      <c r="C29" s="109"/>
      <c r="D29" t="s">
        <v>1449</v>
      </c>
      <c r="J29" s="99" t="s">
        <v>1454</v>
      </c>
      <c r="M29" s="106">
        <f>J17</f>
        <v>20441.189999999999</v>
      </c>
    </row>
    <row r="30" spans="1:18" x14ac:dyDescent="0.25">
      <c r="J30" s="99"/>
      <c r="M30" s="106"/>
    </row>
    <row r="31" spans="1:18" x14ac:dyDescent="0.25">
      <c r="J31" s="99" t="s">
        <v>1455</v>
      </c>
      <c r="K31" s="92">
        <v>-0.25</v>
      </c>
      <c r="M31" s="106">
        <f>K31 * M29</f>
        <v>-5110.2974999999997</v>
      </c>
    </row>
    <row r="32" spans="1:18" x14ac:dyDescent="0.25">
      <c r="J32" s="99"/>
      <c r="M32" s="106"/>
    </row>
    <row r="33" spans="10:15" x14ac:dyDescent="0.25">
      <c r="J33" s="99" t="s">
        <v>1456</v>
      </c>
      <c r="M33" s="106">
        <f>M29 + M31</f>
        <v>15330.892499999998</v>
      </c>
    </row>
    <row r="34" spans="10:15" x14ac:dyDescent="0.25">
      <c r="J34" s="99"/>
      <c r="M34" s="106"/>
    </row>
    <row r="35" spans="10:15" x14ac:dyDescent="0.25">
      <c r="J35" s="99" t="s">
        <v>1457</v>
      </c>
      <c r="K35" s="92">
        <v>0.05</v>
      </c>
      <c r="M35" s="106">
        <f>K35 * M33</f>
        <v>766.544625</v>
      </c>
    </row>
    <row r="36" spans="10:15" x14ac:dyDescent="0.25">
      <c r="J36" s="99"/>
      <c r="M36" s="106"/>
    </row>
    <row r="37" spans="10:15" x14ac:dyDescent="0.25">
      <c r="J37" s="99" t="s">
        <v>1458</v>
      </c>
      <c r="K37" t="str">
        <f>VLOOKUP(B2,'Pay Summary'!A:D,4,0)</f>
        <v/>
      </c>
      <c r="M37" s="106">
        <f>IF(K37 = 1, 500, 0)</f>
        <v>0</v>
      </c>
    </row>
    <row r="38" spans="10:15" x14ac:dyDescent="0.25">
      <c r="J38" s="99"/>
      <c r="M38" s="106"/>
    </row>
    <row r="39" spans="10:15" x14ac:dyDescent="0.25">
      <c r="J39" s="99" t="s">
        <v>1450</v>
      </c>
      <c r="K39">
        <f>L17</f>
        <v>7.5</v>
      </c>
      <c r="M39" s="106">
        <f>VLOOKUP(K39, 'Look Up Table'!E:F, 2, TRUE)</f>
        <v>0</v>
      </c>
    </row>
    <row r="40" spans="10:15" x14ac:dyDescent="0.25">
      <c r="J40" s="99"/>
      <c r="M40" s="106"/>
    </row>
    <row r="41" spans="10:15" x14ac:dyDescent="0.25">
      <c r="J41" s="99" t="s">
        <v>1306</v>
      </c>
      <c r="K41" s="111" t="str">
        <f>B4</f>
        <v>3P</v>
      </c>
      <c r="M41" s="106">
        <f>IF(B5&gt;=3,IF(B4="3P",L17*50,IF(B4="A",0,IF(B4="B",L17*-50))),0)</f>
        <v>0</v>
      </c>
      <c r="N41" s="99" t="s">
        <v>1463</v>
      </c>
      <c r="O41" s="112">
        <f>'NPS Sheet'!X51</f>
        <v>0.91700000000000004</v>
      </c>
    </row>
    <row r="42" spans="10:15" x14ac:dyDescent="0.25">
      <c r="J42" s="99"/>
      <c r="M42" s="106"/>
    </row>
    <row r="43" spans="10:15" x14ac:dyDescent="0.25">
      <c r="J43" s="99" t="s">
        <v>1459</v>
      </c>
      <c r="M43" s="106">
        <f>SUM(M39, M41, M37)</f>
        <v>0</v>
      </c>
    </row>
    <row r="44" spans="10:15" x14ac:dyDescent="0.25">
      <c r="J44" s="99"/>
      <c r="M44" s="106"/>
    </row>
    <row r="45" spans="10:15" x14ac:dyDescent="0.25">
      <c r="J45" s="99" t="s">
        <v>1460</v>
      </c>
      <c r="M45" s="106">
        <f>IFERROR(VLOOKUP(B2,SPIFFS!A:H,8,0),0)</f>
        <v>1402.9</v>
      </c>
    </row>
    <row r="46" spans="10:15" x14ac:dyDescent="0.25">
      <c r="J46" s="99"/>
      <c r="M46" s="106"/>
    </row>
    <row r="47" spans="10:15" x14ac:dyDescent="0.25">
      <c r="J47" s="99" t="s">
        <v>1461</v>
      </c>
      <c r="M47" s="106">
        <f>SUM(M21, M27, M35, M43, M19, M45)</f>
        <v>1482.4946249999998</v>
      </c>
    </row>
    <row r="48" spans="10:15" x14ac:dyDescent="0.25">
      <c r="J48" s="99"/>
      <c r="M48" s="106"/>
    </row>
    <row r="49" spans="10:13" x14ac:dyDescent="0.25">
      <c r="J49" s="99" t="s">
        <v>1462</v>
      </c>
      <c r="M49" s="106">
        <f>IF(M47&lt;0, SUM(M19, M43, M35, M27), 0)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9BB47-4CB9-40BA-8711-A381685B5742}">
  <dimension ref="A1:R54"/>
  <sheetViews>
    <sheetView workbookViewId="0"/>
  </sheetViews>
  <sheetFormatPr defaultRowHeight="15" x14ac:dyDescent="0.25"/>
  <cols>
    <col min="1" max="1" width="23" style="95" bestFit="1" customWidth="1"/>
    <col min="2" max="2" width="12.28515625" bestFit="1" customWidth="1"/>
    <col min="3" max="3" width="11.42578125" bestFit="1" customWidth="1"/>
    <col min="4" max="4" width="25.140625" bestFit="1" customWidth="1"/>
    <col min="5" max="5" width="8.42578125" bestFit="1" customWidth="1"/>
    <col min="6" max="6" width="5" bestFit="1" customWidth="1"/>
    <col min="7" max="7" width="15.5703125" bestFit="1" customWidth="1"/>
    <col min="8" max="8" width="15.42578125" bestFit="1" customWidth="1"/>
    <col min="9" max="9" width="9.5703125" bestFit="1" customWidth="1"/>
    <col min="10" max="10" width="23.140625" bestFit="1" customWidth="1"/>
    <col min="11" max="11" width="18.42578125" bestFit="1" customWidth="1"/>
    <col min="12" max="12" width="5.7109375" bestFit="1" customWidth="1"/>
    <col min="13" max="13" width="20.140625" bestFit="1" customWidth="1"/>
    <col min="14" max="14" width="13.7109375" bestFit="1" customWidth="1"/>
    <col min="15" max="15" width="11.5703125" bestFit="1" customWidth="1"/>
    <col min="16" max="16" width="24.85546875" bestFit="1" customWidth="1"/>
  </cols>
  <sheetData>
    <row r="1" spans="1:18" x14ac:dyDescent="0.25">
      <c r="A1" s="101" t="s">
        <v>1249</v>
      </c>
      <c r="B1" s="100" t="s">
        <v>12</v>
      </c>
    </row>
    <row r="2" spans="1:18" x14ac:dyDescent="0.25">
      <c r="A2" s="101" t="s">
        <v>1307</v>
      </c>
      <c r="B2" s="100">
        <v>10775</v>
      </c>
    </row>
    <row r="3" spans="1:18" x14ac:dyDescent="0.25">
      <c r="A3" s="101" t="s">
        <v>1305</v>
      </c>
      <c r="B3" s="100">
        <f>VLOOKUP(B2, '90'!A:E, 5, 0)</f>
        <v>20</v>
      </c>
    </row>
    <row r="4" spans="1:18" x14ac:dyDescent="0.25">
      <c r="A4" s="101" t="s">
        <v>1306</v>
      </c>
      <c r="B4" s="100" t="str">
        <f>IFERROR(VLOOKUP(B2, NPS!B:H, 7, 0), 0)</f>
        <v>3P</v>
      </c>
    </row>
    <row r="5" spans="1:18" x14ac:dyDescent="0.25">
      <c r="A5" s="101" t="s">
        <v>1257</v>
      </c>
      <c r="B5" s="100">
        <f>IFERROR(VLOOKUP(B2, NPS!B:H, 3, 0), 0)</f>
        <v>3</v>
      </c>
    </row>
    <row r="6" spans="1:18" x14ac:dyDescent="0.25">
      <c r="A6" s="101" t="s">
        <v>1447</v>
      </c>
      <c r="B6" s="103">
        <f>VLOOKUP(13, 'Look Up Table'!A:B, 2, TRUE)</f>
        <v>0.04</v>
      </c>
    </row>
    <row r="7" spans="1:18" ht="50.1" customHeight="1" x14ac:dyDescent="0.25">
      <c r="A7" s="102" t="s">
        <v>43</v>
      </c>
      <c r="B7" s="80" t="s">
        <v>1308</v>
      </c>
      <c r="C7" s="80" t="s">
        <v>1309</v>
      </c>
      <c r="D7" s="80" t="s">
        <v>48</v>
      </c>
      <c r="E7" s="80" t="s">
        <v>1310</v>
      </c>
      <c r="F7" s="80" t="s">
        <v>1311</v>
      </c>
      <c r="G7" s="80" t="s">
        <v>1312</v>
      </c>
      <c r="H7" s="80" t="s">
        <v>1313</v>
      </c>
      <c r="I7" s="80" t="s">
        <v>51</v>
      </c>
      <c r="J7" s="80" t="s">
        <v>1314</v>
      </c>
      <c r="K7" s="80" t="s">
        <v>1315</v>
      </c>
      <c r="L7" s="80" t="s">
        <v>54</v>
      </c>
      <c r="M7" s="80" t="s">
        <v>55</v>
      </c>
      <c r="N7" s="80" t="s">
        <v>1316</v>
      </c>
      <c r="O7" s="80" t="s">
        <v>1317</v>
      </c>
      <c r="P7" s="80" t="s">
        <v>1318</v>
      </c>
    </row>
    <row r="8" spans="1:18" x14ac:dyDescent="0.25">
      <c r="A8" s="96">
        <v>45722</v>
      </c>
      <c r="B8" s="93">
        <v>9355</v>
      </c>
      <c r="C8" s="93">
        <v>23616</v>
      </c>
      <c r="D8" s="93" t="s">
        <v>244</v>
      </c>
      <c r="E8" s="93" t="s">
        <v>245</v>
      </c>
      <c r="F8" s="93">
        <v>25</v>
      </c>
      <c r="G8" s="93" t="s">
        <v>1321</v>
      </c>
      <c r="H8" s="93" t="s">
        <v>1348</v>
      </c>
      <c r="I8" s="93" t="s">
        <v>59</v>
      </c>
      <c r="J8" s="107">
        <v>2018.91</v>
      </c>
      <c r="K8" s="107">
        <v>-3732.99</v>
      </c>
      <c r="L8" s="93">
        <v>1</v>
      </c>
      <c r="M8" s="107">
        <v>200</v>
      </c>
      <c r="N8" s="107">
        <f>IF(M8&lt;=251, VLOOKUP(B3, 'Look Up Table'!I:J, 2, TRUE) * L8, 0)</f>
        <v>350</v>
      </c>
      <c r="O8" s="107">
        <f>IF(N8&gt;0, N8 - M8, 0)</f>
        <v>150</v>
      </c>
      <c r="P8" s="107">
        <f>IF(N8 = 0, K8 * B6, 0)</f>
        <v>0</v>
      </c>
      <c r="Q8" s="93"/>
      <c r="R8" s="93"/>
    </row>
    <row r="9" spans="1:18" x14ac:dyDescent="0.25">
      <c r="A9" s="96">
        <v>45727</v>
      </c>
      <c r="B9" s="93">
        <v>9240</v>
      </c>
      <c r="C9" s="93">
        <v>23481</v>
      </c>
      <c r="D9" s="93" t="s">
        <v>246</v>
      </c>
      <c r="E9" s="93" t="s">
        <v>247</v>
      </c>
      <c r="F9" s="93">
        <v>25</v>
      </c>
      <c r="G9" s="93" t="s">
        <v>1319</v>
      </c>
      <c r="H9" s="93" t="s">
        <v>1352</v>
      </c>
      <c r="I9" s="93" t="s">
        <v>59</v>
      </c>
      <c r="J9" s="107">
        <v>4412.74</v>
      </c>
      <c r="K9" s="107">
        <v>-6041</v>
      </c>
      <c r="L9" s="93">
        <v>1</v>
      </c>
      <c r="M9" s="107">
        <v>200</v>
      </c>
      <c r="N9" s="107">
        <f>IF(M9&lt;=251, VLOOKUP(B3, 'Look Up Table'!I:J, 2, TRUE) * L9, 0)</f>
        <v>350</v>
      </c>
      <c r="O9" s="107">
        <f>IF(N9&gt;0, N9 - M9, 0)</f>
        <v>150</v>
      </c>
      <c r="P9" s="107">
        <f>IF(N9 = 0, K9 * B6, 0)</f>
        <v>0</v>
      </c>
      <c r="Q9" s="93"/>
      <c r="R9" s="93"/>
    </row>
    <row r="10" spans="1:18" x14ac:dyDescent="0.25">
      <c r="A10" s="96">
        <v>45727</v>
      </c>
      <c r="B10" s="93">
        <v>9464</v>
      </c>
      <c r="C10" s="93">
        <v>23811</v>
      </c>
      <c r="D10" s="93" t="s">
        <v>251</v>
      </c>
      <c r="E10" s="93" t="s">
        <v>252</v>
      </c>
      <c r="F10" s="93">
        <v>25</v>
      </c>
      <c r="G10" s="93" t="s">
        <v>1319</v>
      </c>
      <c r="H10" s="93" t="s">
        <v>1353</v>
      </c>
      <c r="I10" s="93" t="s">
        <v>59</v>
      </c>
      <c r="J10" s="107">
        <v>0</v>
      </c>
      <c r="K10" s="107">
        <v>1573.35</v>
      </c>
      <c r="L10" s="93">
        <v>0.5</v>
      </c>
      <c r="M10" s="107">
        <v>283.20999999999998</v>
      </c>
      <c r="N10" s="107">
        <f>IF(M10&lt;=251, VLOOKUP(B3, 'Look Up Table'!I:J, 2, TRUE) * L10, 0)</f>
        <v>0</v>
      </c>
      <c r="O10" s="107">
        <f>IF(N10&gt;0, N10 - M10, 0)</f>
        <v>0</v>
      </c>
      <c r="P10" s="107">
        <f>IF(N10 = 0, K10 * B6, 0)</f>
        <v>62.933999999999997</v>
      </c>
      <c r="Q10" s="93"/>
      <c r="R10" s="93"/>
    </row>
    <row r="11" spans="1:18" x14ac:dyDescent="0.25">
      <c r="A11" s="96">
        <v>45729</v>
      </c>
      <c r="B11" s="93">
        <v>9437</v>
      </c>
      <c r="C11" s="93">
        <v>11088</v>
      </c>
      <c r="D11" s="93" t="s">
        <v>254</v>
      </c>
      <c r="E11" s="93" t="s">
        <v>255</v>
      </c>
      <c r="F11" s="93">
        <v>24</v>
      </c>
      <c r="G11" s="93" t="s">
        <v>1321</v>
      </c>
      <c r="H11" s="93" t="s">
        <v>1343</v>
      </c>
      <c r="I11" s="93" t="s">
        <v>86</v>
      </c>
      <c r="J11" s="107">
        <v>0</v>
      </c>
      <c r="K11" s="107">
        <v>0</v>
      </c>
      <c r="L11" s="93">
        <v>1</v>
      </c>
      <c r="M11" s="107">
        <v>200</v>
      </c>
      <c r="N11" s="107">
        <f>IF(M11&lt;=251, VLOOKUP(B3, 'Look Up Table'!I:J, 2, TRUE) * L11, 0)</f>
        <v>350</v>
      </c>
      <c r="O11" s="107">
        <f>IF(N11&gt;0, N11 - M11, 0)</f>
        <v>150</v>
      </c>
      <c r="P11" s="107">
        <f>IF(N11 = 0, K11 * B6, 0)</f>
        <v>0</v>
      </c>
      <c r="Q11" s="93"/>
      <c r="R11" s="93"/>
    </row>
    <row r="12" spans="1:18" x14ac:dyDescent="0.25">
      <c r="A12" s="96">
        <v>45735</v>
      </c>
      <c r="B12" s="93">
        <v>9595</v>
      </c>
      <c r="C12" s="93">
        <v>24028</v>
      </c>
      <c r="D12" s="93" t="s">
        <v>257</v>
      </c>
      <c r="E12" s="93" t="s">
        <v>258</v>
      </c>
      <c r="F12" s="93">
        <v>24</v>
      </c>
      <c r="G12" s="93" t="s">
        <v>1319</v>
      </c>
      <c r="H12" s="93" t="s">
        <v>1354</v>
      </c>
      <c r="I12" s="93" t="s">
        <v>59</v>
      </c>
      <c r="J12" s="107">
        <v>692</v>
      </c>
      <c r="K12" s="107">
        <v>-1630</v>
      </c>
      <c r="L12" s="93">
        <v>1</v>
      </c>
      <c r="M12" s="107">
        <v>200</v>
      </c>
      <c r="N12" s="107">
        <f>IF(M12&lt;=251, VLOOKUP(B3, 'Look Up Table'!I:J, 2, TRUE) * L12, 0)</f>
        <v>350</v>
      </c>
      <c r="O12" s="107">
        <f>IF(N12&gt;0, N12 - M12, 0)</f>
        <v>150</v>
      </c>
      <c r="P12" s="107">
        <f>IF(N12 = 0, K12 * B6, 0)</f>
        <v>0</v>
      </c>
      <c r="Q12" s="93"/>
      <c r="R12" s="93"/>
    </row>
    <row r="13" spans="1:18" x14ac:dyDescent="0.25">
      <c r="A13" s="96">
        <v>45735</v>
      </c>
      <c r="B13" s="93">
        <v>9034</v>
      </c>
      <c r="C13" s="93">
        <v>23171</v>
      </c>
      <c r="D13" s="93" t="s">
        <v>262</v>
      </c>
      <c r="E13" s="93" t="s">
        <v>263</v>
      </c>
      <c r="F13" s="93">
        <v>25</v>
      </c>
      <c r="G13" s="93" t="s">
        <v>1321</v>
      </c>
      <c r="H13" s="93" t="s">
        <v>1355</v>
      </c>
      <c r="I13" s="93" t="s">
        <v>59</v>
      </c>
      <c r="J13" s="107">
        <v>2994.43</v>
      </c>
      <c r="K13" s="107">
        <v>3371.01</v>
      </c>
      <c r="L13" s="93">
        <v>0.5</v>
      </c>
      <c r="M13" s="107">
        <v>606.78</v>
      </c>
      <c r="N13" s="107">
        <f>IF(M13&lt;=251, VLOOKUP(B3, 'Look Up Table'!I:J, 2, TRUE) * L13, 0)</f>
        <v>0</v>
      </c>
      <c r="O13" s="107">
        <f>IF(N13&gt;0, N13 - M13, 0)</f>
        <v>0</v>
      </c>
      <c r="P13" s="107">
        <f>IF(N13 = 0, K13 * B6, 0)</f>
        <v>134.84040000000002</v>
      </c>
      <c r="Q13" s="93"/>
      <c r="R13" s="93"/>
    </row>
    <row r="14" spans="1:18" x14ac:dyDescent="0.25">
      <c r="A14" s="96">
        <v>45736</v>
      </c>
      <c r="B14" s="93">
        <v>9387</v>
      </c>
      <c r="C14" s="93">
        <v>243669</v>
      </c>
      <c r="D14" s="93" t="s">
        <v>265</v>
      </c>
      <c r="E14" s="93" t="s">
        <v>266</v>
      </c>
      <c r="F14" s="93">
        <v>22</v>
      </c>
      <c r="G14" s="93" t="s">
        <v>1321</v>
      </c>
      <c r="H14" s="93" t="s">
        <v>1356</v>
      </c>
      <c r="I14" s="93" t="s">
        <v>86</v>
      </c>
      <c r="J14" s="107">
        <v>0</v>
      </c>
      <c r="K14" s="107">
        <v>750</v>
      </c>
      <c r="L14" s="93">
        <v>1</v>
      </c>
      <c r="M14" s="107">
        <v>200</v>
      </c>
      <c r="N14" s="107">
        <f>IF(M14&lt;=251, VLOOKUP(B3, 'Look Up Table'!I:J, 2, TRUE) * L14, 0)</f>
        <v>350</v>
      </c>
      <c r="O14" s="107">
        <f>IF(N14&gt;0, N14 - M14, 0)</f>
        <v>150</v>
      </c>
      <c r="P14" s="107">
        <f>IF(N14 = 0, K14 * B6, 0)</f>
        <v>0</v>
      </c>
      <c r="Q14" s="93"/>
      <c r="R14" s="93"/>
    </row>
    <row r="15" spans="1:18" x14ac:dyDescent="0.25">
      <c r="A15" s="96">
        <v>45741</v>
      </c>
      <c r="B15" s="93" t="s">
        <v>271</v>
      </c>
      <c r="C15" s="93">
        <v>11737</v>
      </c>
      <c r="D15" s="93" t="s">
        <v>268</v>
      </c>
      <c r="E15" s="93" t="s">
        <v>269</v>
      </c>
      <c r="F15" s="93">
        <v>24</v>
      </c>
      <c r="G15" s="93" t="s">
        <v>1319</v>
      </c>
      <c r="H15" s="93" t="s">
        <v>1323</v>
      </c>
      <c r="I15" s="93" t="s">
        <v>59</v>
      </c>
      <c r="J15" s="107">
        <v>500</v>
      </c>
      <c r="K15" s="107">
        <v>11954.89</v>
      </c>
      <c r="L15" s="93">
        <v>1</v>
      </c>
      <c r="M15" s="107">
        <v>2151.88</v>
      </c>
      <c r="N15" s="107">
        <f>IF(M15&lt;=251, VLOOKUP(B3, 'Look Up Table'!I:J, 2, TRUE) * L15, 0)</f>
        <v>0</v>
      </c>
      <c r="O15" s="107">
        <f>IF(N15&gt;0, N15 - M15, 0)</f>
        <v>0</v>
      </c>
      <c r="P15" s="107">
        <f>IF(N15 = 0, K15 * B6, 0)</f>
        <v>478.19560000000001</v>
      </c>
      <c r="Q15" s="93"/>
      <c r="R15" s="93"/>
    </row>
    <row r="16" spans="1:18" x14ac:dyDescent="0.25">
      <c r="A16" s="96">
        <v>45742</v>
      </c>
      <c r="B16" s="93">
        <v>9677</v>
      </c>
      <c r="C16" s="93">
        <v>227687</v>
      </c>
      <c r="D16" s="93" t="s">
        <v>272</v>
      </c>
      <c r="E16" s="93" t="s">
        <v>273</v>
      </c>
      <c r="F16" s="93">
        <v>25</v>
      </c>
      <c r="G16" s="93" t="s">
        <v>1321</v>
      </c>
      <c r="H16" s="93" t="s">
        <v>1357</v>
      </c>
      <c r="I16" s="93" t="s">
        <v>59</v>
      </c>
      <c r="J16" s="107">
        <v>2410.16</v>
      </c>
      <c r="K16" s="107">
        <v>1910</v>
      </c>
      <c r="L16" s="93">
        <v>1</v>
      </c>
      <c r="M16" s="107">
        <v>343.8</v>
      </c>
      <c r="N16" s="107">
        <f>IF(M16&lt;=251, VLOOKUP(B3, 'Look Up Table'!I:J, 2, TRUE) * L16, 0)</f>
        <v>0</v>
      </c>
      <c r="O16" s="107">
        <f>IF(N16&gt;0, N16 - M16, 0)</f>
        <v>0</v>
      </c>
      <c r="P16" s="107">
        <f>IF(N16 = 0, K16 * B6, 0)</f>
        <v>76.400000000000006</v>
      </c>
      <c r="Q16" s="93"/>
      <c r="R16" s="93"/>
    </row>
    <row r="17" spans="1:18" x14ac:dyDescent="0.25">
      <c r="A17" s="96">
        <v>45743</v>
      </c>
      <c r="B17" s="93">
        <v>9610</v>
      </c>
      <c r="C17" s="93">
        <v>24040</v>
      </c>
      <c r="D17" s="93" t="s">
        <v>277</v>
      </c>
      <c r="E17" s="93" t="s">
        <v>278</v>
      </c>
      <c r="F17" s="93">
        <v>25</v>
      </c>
      <c r="G17" s="93" t="s">
        <v>1321</v>
      </c>
      <c r="H17" s="93" t="s">
        <v>1358</v>
      </c>
      <c r="I17" s="93" t="s">
        <v>59</v>
      </c>
      <c r="J17" s="107">
        <v>2199.67</v>
      </c>
      <c r="K17" s="107">
        <v>2136</v>
      </c>
      <c r="L17" s="93">
        <v>1</v>
      </c>
      <c r="M17" s="107">
        <v>384.48</v>
      </c>
      <c r="N17" s="107">
        <f>IF(M17&lt;=251, VLOOKUP(B3, 'Look Up Table'!I:J, 2, TRUE) * L17, 0)</f>
        <v>0</v>
      </c>
      <c r="O17" s="107">
        <f>IF(N17&gt;0, N17 - M17, 0)</f>
        <v>0</v>
      </c>
      <c r="P17" s="107">
        <f>IF(N17 = 0, K17 * B6, 0)</f>
        <v>85.44</v>
      </c>
      <c r="Q17" s="93"/>
      <c r="R17" s="93"/>
    </row>
    <row r="18" spans="1:18" x14ac:dyDescent="0.25">
      <c r="A18" s="96">
        <v>45744</v>
      </c>
      <c r="B18" s="93">
        <v>9737</v>
      </c>
      <c r="C18" s="93">
        <v>24257</v>
      </c>
      <c r="D18" s="93" t="s">
        <v>282</v>
      </c>
      <c r="E18" s="93" t="s">
        <v>283</v>
      </c>
      <c r="F18" s="93">
        <v>25</v>
      </c>
      <c r="G18" s="93" t="s">
        <v>1319</v>
      </c>
      <c r="H18" s="93" t="s">
        <v>1333</v>
      </c>
      <c r="I18" s="93" t="s">
        <v>59</v>
      </c>
      <c r="J18" s="107">
        <v>3162.1</v>
      </c>
      <c r="K18" s="107">
        <v>-3250</v>
      </c>
      <c r="L18" s="93">
        <v>1</v>
      </c>
      <c r="M18" s="107">
        <v>200</v>
      </c>
      <c r="N18" s="107">
        <f>IF(M18&lt;=251, VLOOKUP(B3, 'Look Up Table'!I:J, 2, TRUE) * L18, 0)</f>
        <v>350</v>
      </c>
      <c r="O18" s="107">
        <f>IF(N18&gt;0, N18 - M18, 0)</f>
        <v>150</v>
      </c>
      <c r="P18" s="107">
        <f>IF(N18 = 0, K18 * B6, 0)</f>
        <v>0</v>
      </c>
      <c r="Q18" s="93"/>
      <c r="R18" s="93"/>
    </row>
    <row r="19" spans="1:18" x14ac:dyDescent="0.25">
      <c r="A19" s="96">
        <v>45746</v>
      </c>
      <c r="B19" s="93">
        <v>9460</v>
      </c>
      <c r="C19" s="93">
        <v>11086</v>
      </c>
      <c r="D19" s="93" t="s">
        <v>286</v>
      </c>
      <c r="E19" s="93" t="s">
        <v>287</v>
      </c>
      <c r="F19" s="93">
        <v>25</v>
      </c>
      <c r="G19" s="93" t="s">
        <v>1321</v>
      </c>
      <c r="H19" s="93" t="s">
        <v>1324</v>
      </c>
      <c r="I19" s="93" t="s">
        <v>59</v>
      </c>
      <c r="J19" s="107">
        <v>108</v>
      </c>
      <c r="K19" s="107">
        <v>-2309</v>
      </c>
      <c r="L19" s="93">
        <v>1</v>
      </c>
      <c r="M19" s="107">
        <v>200</v>
      </c>
      <c r="N19" s="107">
        <f>IF(M19&lt;=251, VLOOKUP(B3, 'Look Up Table'!I:J, 2, TRUE) * L19, 0)</f>
        <v>350</v>
      </c>
      <c r="O19" s="107">
        <f>IF(N19&gt;0, N19 - M19, 0)</f>
        <v>150</v>
      </c>
      <c r="P19" s="107">
        <f>IF(N19 = 0, K19 * B6, 0)</f>
        <v>0</v>
      </c>
      <c r="Q19" s="93"/>
      <c r="R19" s="93"/>
    </row>
    <row r="20" spans="1:18" x14ac:dyDescent="0.25">
      <c r="A20" s="96">
        <v>45747</v>
      </c>
      <c r="B20" s="93">
        <v>9889</v>
      </c>
      <c r="C20" s="93">
        <v>17445</v>
      </c>
      <c r="D20" s="93" t="s">
        <v>288</v>
      </c>
      <c r="E20" s="93" t="s">
        <v>290</v>
      </c>
      <c r="F20" s="93">
        <v>25</v>
      </c>
      <c r="G20" s="93" t="s">
        <v>1329</v>
      </c>
      <c r="H20" s="93" t="s">
        <v>1359</v>
      </c>
      <c r="I20" s="93" t="s">
        <v>59</v>
      </c>
      <c r="J20" s="107">
        <v>170</v>
      </c>
      <c r="K20" s="107">
        <v>-48.61</v>
      </c>
      <c r="L20" s="93">
        <v>1</v>
      </c>
      <c r="M20" s="107">
        <v>200</v>
      </c>
      <c r="N20" s="107">
        <f>IF(M20&lt;=251, VLOOKUP(B3, 'Look Up Table'!I:J, 2, TRUE) * L20, 0)</f>
        <v>350</v>
      </c>
      <c r="O20" s="107">
        <f>IF(N20&gt;0, N20 - M20, 0)</f>
        <v>150</v>
      </c>
      <c r="P20" s="107">
        <f>IF(N20 = 0, K20 * B6, 0)</f>
        <v>0</v>
      </c>
      <c r="Q20" s="93"/>
      <c r="R20" s="93"/>
    </row>
    <row r="21" spans="1:18" x14ac:dyDescent="0.25">
      <c r="A21" s="96">
        <v>45747</v>
      </c>
      <c r="B21" s="93">
        <v>9940</v>
      </c>
      <c r="C21" s="93">
        <v>24487</v>
      </c>
      <c r="D21" s="93" t="s">
        <v>294</v>
      </c>
      <c r="E21" s="93" t="s">
        <v>295</v>
      </c>
      <c r="F21" s="93">
        <v>23</v>
      </c>
      <c r="G21" s="93" t="s">
        <v>1360</v>
      </c>
      <c r="H21" s="93" t="s">
        <v>1361</v>
      </c>
      <c r="I21" s="93" t="s">
        <v>86</v>
      </c>
      <c r="J21" s="107">
        <v>4321.04</v>
      </c>
      <c r="K21" s="107">
        <v>-2434.08</v>
      </c>
      <c r="L21" s="93">
        <v>1</v>
      </c>
      <c r="M21" s="107">
        <v>200</v>
      </c>
      <c r="N21" s="107">
        <f>IF(M21&lt;=251, VLOOKUP(B3, 'Look Up Table'!I:J, 2, TRUE) * L21, 0)</f>
        <v>350</v>
      </c>
      <c r="O21" s="107">
        <f>IF(N21&gt;0, N21 - M21, 0)</f>
        <v>150</v>
      </c>
      <c r="P21" s="107">
        <f>IF(N21 = 0, K21 * B6, 0)</f>
        <v>0</v>
      </c>
      <c r="Q21" s="93"/>
      <c r="R21" s="93"/>
    </row>
    <row r="22" spans="1:18" x14ac:dyDescent="0.25">
      <c r="A22" s="104"/>
      <c r="B22" s="105"/>
      <c r="C22" s="105"/>
      <c r="D22" s="105"/>
      <c r="E22" s="105"/>
      <c r="F22" s="105"/>
      <c r="G22" s="105"/>
      <c r="H22" s="105"/>
      <c r="I22" s="105"/>
      <c r="J22" s="108">
        <f>SUM(J8:J21)</f>
        <v>22989.05</v>
      </c>
      <c r="K22" s="108">
        <f>SUM(K8:K21)</f>
        <v>2249.5700000000006</v>
      </c>
      <c r="L22" s="105">
        <f>SUM(L8:L21)</f>
        <v>13</v>
      </c>
      <c r="M22" s="108">
        <f>SUM(M8:M21)</f>
        <v>5570.15</v>
      </c>
      <c r="N22" s="108">
        <f>SUM(N8:N21)</f>
        <v>3150</v>
      </c>
      <c r="O22" s="108">
        <f>SUM(O8:O21)</f>
        <v>1350</v>
      </c>
      <c r="P22" s="108">
        <f>SUM(P8:P21)</f>
        <v>837.81</v>
      </c>
      <c r="Q22" s="93"/>
      <c r="R22" s="93"/>
    </row>
    <row r="24" spans="1:18" x14ac:dyDescent="0.25">
      <c r="J24" s="99" t="s">
        <v>1451</v>
      </c>
      <c r="M24" s="106">
        <f>-VLOOKUP(B2, '3213'!A:G, 7, 0)</f>
        <v>-2935.67</v>
      </c>
    </row>
    <row r="25" spans="1:18" x14ac:dyDescent="0.25">
      <c r="J25" s="99"/>
      <c r="M25" s="106"/>
    </row>
    <row r="26" spans="1:18" x14ac:dyDescent="0.25">
      <c r="J26" s="99" t="s">
        <v>1264</v>
      </c>
      <c r="K26" s="92">
        <v>0.18</v>
      </c>
      <c r="M26" s="106">
        <f>M22</f>
        <v>5570.15</v>
      </c>
    </row>
    <row r="27" spans="1:18" x14ac:dyDescent="0.25">
      <c r="J27" s="99"/>
      <c r="M27" s="106"/>
    </row>
    <row r="28" spans="1:18" x14ac:dyDescent="0.25">
      <c r="A28" s="110"/>
      <c r="B28" s="109"/>
      <c r="C28" s="109"/>
      <c r="D28" t="s">
        <v>1448</v>
      </c>
      <c r="J28" s="99" t="s">
        <v>1265</v>
      </c>
      <c r="K28" s="92">
        <f>B6</f>
        <v>0.04</v>
      </c>
      <c r="M28" s="106">
        <f>P22</f>
        <v>837.81</v>
      </c>
    </row>
    <row r="29" spans="1:18" x14ac:dyDescent="0.25">
      <c r="J29" s="99"/>
      <c r="M29" s="106"/>
    </row>
    <row r="30" spans="1:18" x14ac:dyDescent="0.25">
      <c r="J30" s="99" t="s">
        <v>1452</v>
      </c>
      <c r="M30" s="106">
        <f>O22</f>
        <v>1350</v>
      </c>
    </row>
    <row r="31" spans="1:18" x14ac:dyDescent="0.25">
      <c r="J31" s="99"/>
      <c r="M31" s="106"/>
    </row>
    <row r="32" spans="1:18" x14ac:dyDescent="0.25">
      <c r="J32" s="99" t="s">
        <v>1453</v>
      </c>
      <c r="M32" s="106">
        <f>SUM(P22, O22)</f>
        <v>2187.81</v>
      </c>
    </row>
    <row r="33" spans="1:15" x14ac:dyDescent="0.25">
      <c r="J33" s="99"/>
      <c r="M33" s="106"/>
    </row>
    <row r="34" spans="1:15" x14ac:dyDescent="0.25">
      <c r="A34" s="110"/>
      <c r="B34" s="109"/>
      <c r="C34" s="109"/>
      <c r="D34" t="s">
        <v>1449</v>
      </c>
      <c r="J34" s="99" t="s">
        <v>1454</v>
      </c>
      <c r="M34" s="106">
        <f>J22</f>
        <v>22989.05</v>
      </c>
    </row>
    <row r="35" spans="1:15" x14ac:dyDescent="0.25">
      <c r="J35" s="99"/>
      <c r="M35" s="106"/>
    </row>
    <row r="36" spans="1:15" x14ac:dyDescent="0.25">
      <c r="J36" s="99" t="s">
        <v>1455</v>
      </c>
      <c r="K36" s="92">
        <v>-0.25</v>
      </c>
      <c r="M36" s="106">
        <f>K36 * M34</f>
        <v>-5747.2624999999998</v>
      </c>
    </row>
    <row r="37" spans="1:15" x14ac:dyDescent="0.25">
      <c r="J37" s="99"/>
      <c r="M37" s="106"/>
    </row>
    <row r="38" spans="1:15" x14ac:dyDescent="0.25">
      <c r="J38" s="99" t="s">
        <v>1456</v>
      </c>
      <c r="M38" s="106">
        <f>M34 + M36</f>
        <v>17241.787499999999</v>
      </c>
    </row>
    <row r="39" spans="1:15" x14ac:dyDescent="0.25">
      <c r="J39" s="99"/>
      <c r="M39" s="106"/>
    </row>
    <row r="40" spans="1:15" x14ac:dyDescent="0.25">
      <c r="J40" s="99" t="s">
        <v>1457</v>
      </c>
      <c r="K40" s="92">
        <v>0.05</v>
      </c>
      <c r="M40" s="106">
        <f>K40 * M38</f>
        <v>862.08937500000002</v>
      </c>
    </row>
    <row r="41" spans="1:15" x14ac:dyDescent="0.25">
      <c r="J41" s="99"/>
      <c r="M41" s="106"/>
    </row>
    <row r="42" spans="1:15" x14ac:dyDescent="0.25">
      <c r="J42" s="99" t="s">
        <v>1458</v>
      </c>
      <c r="K42" t="str">
        <f>VLOOKUP(B2,'Pay Summary'!A:D,4,0)</f>
        <v/>
      </c>
      <c r="M42" s="106">
        <f>IF(K42 = 1, 500, 0)</f>
        <v>0</v>
      </c>
    </row>
    <row r="43" spans="1:15" x14ac:dyDescent="0.25">
      <c r="J43" s="99"/>
      <c r="M43" s="106"/>
    </row>
    <row r="44" spans="1:15" x14ac:dyDescent="0.25">
      <c r="J44" s="99" t="s">
        <v>1450</v>
      </c>
      <c r="K44">
        <f>L22</f>
        <v>13</v>
      </c>
      <c r="M44" s="106">
        <f>VLOOKUP(K44, 'Look Up Table'!E:F, 2, TRUE)</f>
        <v>750</v>
      </c>
    </row>
    <row r="45" spans="1:15" x14ac:dyDescent="0.25">
      <c r="J45" s="99"/>
      <c r="M45" s="106"/>
    </row>
    <row r="46" spans="1:15" x14ac:dyDescent="0.25">
      <c r="J46" s="99" t="s">
        <v>1306</v>
      </c>
      <c r="K46" s="111" t="str">
        <f>B4</f>
        <v>3P</v>
      </c>
      <c r="M46" s="106">
        <f>IF(B5&gt;=3,IF(B4="3P",L22*50,IF(B4="A",0,IF(B4="B",L22*-50))),0)</f>
        <v>650</v>
      </c>
      <c r="N46" s="99" t="s">
        <v>1463</v>
      </c>
      <c r="O46" s="112">
        <f>'NPS Sheet'!X51</f>
        <v>0.91700000000000004</v>
      </c>
    </row>
    <row r="47" spans="1:15" x14ac:dyDescent="0.25">
      <c r="J47" s="99"/>
      <c r="M47" s="106"/>
    </row>
    <row r="48" spans="1:15" x14ac:dyDescent="0.25">
      <c r="J48" s="99" t="s">
        <v>1459</v>
      </c>
      <c r="M48" s="106">
        <f>SUM(M44, M46, M42)</f>
        <v>1400</v>
      </c>
    </row>
    <row r="49" spans="10:13" x14ac:dyDescent="0.25">
      <c r="J49" s="99"/>
      <c r="M49" s="106"/>
    </row>
    <row r="50" spans="10:13" x14ac:dyDescent="0.25">
      <c r="J50" s="99" t="s">
        <v>1460</v>
      </c>
      <c r="M50" s="106">
        <f>IFERROR(VLOOKUP(B2,SPIFFS!A:H,8,0),0)</f>
        <v>550</v>
      </c>
    </row>
    <row r="51" spans="10:13" x14ac:dyDescent="0.25">
      <c r="J51" s="99"/>
      <c r="M51" s="106"/>
    </row>
    <row r="52" spans="10:13" x14ac:dyDescent="0.25">
      <c r="J52" s="99" t="s">
        <v>1461</v>
      </c>
      <c r="M52" s="106">
        <f>SUM(M26, M32, M40, M48, M24, M50)</f>
        <v>7634.3793749999986</v>
      </c>
    </row>
    <row r="53" spans="10:13" x14ac:dyDescent="0.25">
      <c r="J53" s="99"/>
      <c r="M53" s="106"/>
    </row>
    <row r="54" spans="10:13" x14ac:dyDescent="0.25">
      <c r="J54" s="99" t="s">
        <v>1462</v>
      </c>
      <c r="M54" s="106">
        <f>IF(M52&lt;0, SUM(M24, M48, M40, M32), 0)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A26E2-B062-48B4-9989-E6109346653D}">
  <dimension ref="A1:R54"/>
  <sheetViews>
    <sheetView workbookViewId="0"/>
  </sheetViews>
  <sheetFormatPr defaultRowHeight="15" x14ac:dyDescent="0.25"/>
  <cols>
    <col min="1" max="1" width="23" style="95" bestFit="1" customWidth="1"/>
    <col min="2" max="2" width="15.5703125" bestFit="1" customWidth="1"/>
    <col min="3" max="3" width="11.42578125" bestFit="1" customWidth="1"/>
    <col min="4" max="4" width="28.28515625" bestFit="1" customWidth="1"/>
    <col min="5" max="5" width="8.7109375" bestFit="1" customWidth="1"/>
    <col min="6" max="6" width="5" bestFit="1" customWidth="1"/>
    <col min="8" max="8" width="10.140625" bestFit="1" customWidth="1"/>
    <col min="9" max="9" width="9.5703125" bestFit="1" customWidth="1"/>
    <col min="10" max="10" width="23.140625" bestFit="1" customWidth="1"/>
    <col min="11" max="11" width="18.42578125" bestFit="1" customWidth="1"/>
    <col min="12" max="12" width="5.7109375" bestFit="1" customWidth="1"/>
    <col min="13" max="13" width="20.140625" bestFit="1" customWidth="1"/>
    <col min="14" max="14" width="13.7109375" bestFit="1" customWidth="1"/>
    <col min="15" max="15" width="11.5703125" bestFit="1" customWidth="1"/>
    <col min="16" max="16" width="24.85546875" bestFit="1" customWidth="1"/>
  </cols>
  <sheetData>
    <row r="1" spans="1:18" x14ac:dyDescent="0.25">
      <c r="A1" s="101" t="s">
        <v>1249</v>
      </c>
      <c r="B1" s="100" t="s">
        <v>13</v>
      </c>
    </row>
    <row r="2" spans="1:18" x14ac:dyDescent="0.25">
      <c r="A2" s="101" t="s">
        <v>1307</v>
      </c>
      <c r="B2" s="100">
        <v>11580</v>
      </c>
    </row>
    <row r="3" spans="1:18" x14ac:dyDescent="0.25">
      <c r="A3" s="101" t="s">
        <v>1305</v>
      </c>
      <c r="B3" s="100">
        <f>VLOOKUP(B2, '90'!A:E, 5, 0)</f>
        <v>23</v>
      </c>
    </row>
    <row r="4" spans="1:18" x14ac:dyDescent="0.25">
      <c r="A4" s="101" t="s">
        <v>1306</v>
      </c>
      <c r="B4" s="100" t="str">
        <f>IFERROR(VLOOKUP(B2, NPS!B:H, 7, 0), 0)</f>
        <v>3P</v>
      </c>
    </row>
    <row r="5" spans="1:18" x14ac:dyDescent="0.25">
      <c r="A5" s="101" t="s">
        <v>1257</v>
      </c>
      <c r="B5" s="100">
        <f>IFERROR(VLOOKUP(B2, NPS!B:H, 3, 0), 0)</f>
        <v>5</v>
      </c>
    </row>
    <row r="6" spans="1:18" x14ac:dyDescent="0.25">
      <c r="A6" s="101" t="s">
        <v>1447</v>
      </c>
      <c r="B6" s="103">
        <f>VLOOKUP(11.5, 'Look Up Table'!A:B, 2, TRUE)</f>
        <v>0</v>
      </c>
    </row>
    <row r="7" spans="1:18" ht="50.1" customHeight="1" x14ac:dyDescent="0.25">
      <c r="A7" s="102" t="s">
        <v>43</v>
      </c>
      <c r="B7" s="80" t="s">
        <v>1308</v>
      </c>
      <c r="C7" s="80" t="s">
        <v>1309</v>
      </c>
      <c r="D7" s="80" t="s">
        <v>48</v>
      </c>
      <c r="E7" s="80" t="s">
        <v>1310</v>
      </c>
      <c r="F7" s="80" t="s">
        <v>1311</v>
      </c>
      <c r="G7" s="80" t="s">
        <v>1312</v>
      </c>
      <c r="H7" s="80" t="s">
        <v>1313</v>
      </c>
      <c r="I7" s="80" t="s">
        <v>51</v>
      </c>
      <c r="J7" s="80" t="s">
        <v>1314</v>
      </c>
      <c r="K7" s="80" t="s">
        <v>1315</v>
      </c>
      <c r="L7" s="80" t="s">
        <v>54</v>
      </c>
      <c r="M7" s="80" t="s">
        <v>55</v>
      </c>
      <c r="N7" s="80" t="s">
        <v>1316</v>
      </c>
      <c r="O7" s="80" t="s">
        <v>1317</v>
      </c>
      <c r="P7" s="80" t="s">
        <v>1318</v>
      </c>
    </row>
    <row r="8" spans="1:18" x14ac:dyDescent="0.25">
      <c r="A8" s="96">
        <v>45727</v>
      </c>
      <c r="B8" s="93">
        <v>9390</v>
      </c>
      <c r="C8" s="93">
        <v>23694</v>
      </c>
      <c r="D8" s="93" t="s">
        <v>297</v>
      </c>
      <c r="E8" s="93" t="s">
        <v>298</v>
      </c>
      <c r="F8" s="93">
        <v>25</v>
      </c>
      <c r="G8" s="93" t="s">
        <v>1321</v>
      </c>
      <c r="H8" s="93" t="s">
        <v>1324</v>
      </c>
      <c r="I8" s="93" t="s">
        <v>59</v>
      </c>
      <c r="J8" s="107">
        <v>0</v>
      </c>
      <c r="K8" s="107">
        <v>615</v>
      </c>
      <c r="L8" s="93">
        <v>1</v>
      </c>
      <c r="M8" s="107">
        <v>200</v>
      </c>
      <c r="N8" s="107">
        <f>IF(M8&lt;=251, VLOOKUP(B3, 'Look Up Table'!I:J, 2, TRUE) * L8, 0)</f>
        <v>350</v>
      </c>
      <c r="O8" s="107">
        <f>IF(N8&gt;0, N8 - M8, 0)</f>
        <v>150</v>
      </c>
      <c r="P8" s="107">
        <f>IF(N8 = 0, K8 * B6, 0)</f>
        <v>0</v>
      </c>
      <c r="Q8" s="93"/>
      <c r="R8" s="93"/>
    </row>
    <row r="9" spans="1:18" x14ac:dyDescent="0.25">
      <c r="A9" s="96">
        <v>45728</v>
      </c>
      <c r="B9" s="93">
        <v>9501</v>
      </c>
      <c r="C9" s="93">
        <v>279520</v>
      </c>
      <c r="D9" s="93" t="s">
        <v>301</v>
      </c>
      <c r="E9" s="93" t="s">
        <v>302</v>
      </c>
      <c r="F9" s="93">
        <v>24</v>
      </c>
      <c r="G9" s="93" t="s">
        <v>1319</v>
      </c>
      <c r="H9" s="93" t="s">
        <v>1354</v>
      </c>
      <c r="I9" s="93" t="s">
        <v>59</v>
      </c>
      <c r="J9" s="107">
        <v>775.4</v>
      </c>
      <c r="K9" s="107">
        <v>3040</v>
      </c>
      <c r="L9" s="93">
        <v>1</v>
      </c>
      <c r="M9" s="107">
        <v>547.20000000000005</v>
      </c>
      <c r="N9" s="107">
        <f>IF(M9&lt;=251, VLOOKUP(B3, 'Look Up Table'!I:J, 2, TRUE) * L9, 0)</f>
        <v>0</v>
      </c>
      <c r="O9" s="107">
        <f>IF(N9&gt;0, N9 - M9, 0)</f>
        <v>0</v>
      </c>
      <c r="P9" s="107">
        <f>IF(N9 = 0, K9 * B6, 0)</f>
        <v>0</v>
      </c>
      <c r="Q9" s="93"/>
      <c r="R9" s="93"/>
    </row>
    <row r="10" spans="1:18" x14ac:dyDescent="0.25">
      <c r="A10" s="96">
        <v>45730</v>
      </c>
      <c r="B10" s="93">
        <v>9021</v>
      </c>
      <c r="C10" s="93">
        <v>23158</v>
      </c>
      <c r="D10" s="93" t="s">
        <v>303</v>
      </c>
      <c r="E10" s="93" t="s">
        <v>304</v>
      </c>
      <c r="F10" s="93">
        <v>25</v>
      </c>
      <c r="G10" s="93" t="s">
        <v>1321</v>
      </c>
      <c r="H10" s="93" t="s">
        <v>1346</v>
      </c>
      <c r="I10" s="93" t="s">
        <v>59</v>
      </c>
      <c r="J10" s="107">
        <v>4487.62</v>
      </c>
      <c r="K10" s="107">
        <v>5565</v>
      </c>
      <c r="L10" s="93">
        <v>1</v>
      </c>
      <c r="M10" s="107">
        <v>1001.7</v>
      </c>
      <c r="N10" s="107">
        <f>IF(M10&lt;=251, VLOOKUP(B3, 'Look Up Table'!I:J, 2, TRUE) * L10, 0)</f>
        <v>0</v>
      </c>
      <c r="O10" s="107">
        <f>IF(N10&gt;0, N10 - M10, 0)</f>
        <v>0</v>
      </c>
      <c r="P10" s="107">
        <f>IF(N10 = 0, K10 * B6, 0)</f>
        <v>0</v>
      </c>
      <c r="Q10" s="93"/>
      <c r="R10" s="93"/>
    </row>
    <row r="11" spans="1:18" x14ac:dyDescent="0.25">
      <c r="A11" s="96">
        <v>45730</v>
      </c>
      <c r="B11" s="93">
        <v>9521</v>
      </c>
      <c r="C11" s="93">
        <v>256091</v>
      </c>
      <c r="D11" s="93" t="s">
        <v>305</v>
      </c>
      <c r="E11" s="93" t="s">
        <v>306</v>
      </c>
      <c r="F11" s="93">
        <v>25</v>
      </c>
      <c r="G11" s="93" t="s">
        <v>1319</v>
      </c>
      <c r="H11" s="93" t="s">
        <v>1344</v>
      </c>
      <c r="I11" s="93" t="s">
        <v>59</v>
      </c>
      <c r="J11" s="107">
        <v>393</v>
      </c>
      <c r="K11" s="107">
        <v>-849</v>
      </c>
      <c r="L11" s="93">
        <v>0.5</v>
      </c>
      <c r="M11" s="107">
        <v>100</v>
      </c>
      <c r="N11" s="107">
        <f>IF(M11&lt;=251, VLOOKUP(B3, 'Look Up Table'!I:J, 2, TRUE) * L11, 0)</f>
        <v>175</v>
      </c>
      <c r="O11" s="107">
        <f>IF(N11&gt;0, N11 - M11, 0)</f>
        <v>75</v>
      </c>
      <c r="P11" s="107">
        <f>IF(N11 = 0, K11 * B6, 0)</f>
        <v>0</v>
      </c>
      <c r="Q11" s="93"/>
      <c r="R11" s="93"/>
    </row>
    <row r="12" spans="1:18" x14ac:dyDescent="0.25">
      <c r="A12" s="96">
        <v>45741</v>
      </c>
      <c r="B12" s="93" t="s">
        <v>312</v>
      </c>
      <c r="C12" s="93">
        <v>266642</v>
      </c>
      <c r="D12" s="93" t="s">
        <v>308</v>
      </c>
      <c r="E12" s="93" t="s">
        <v>309</v>
      </c>
      <c r="F12" s="93">
        <v>25</v>
      </c>
      <c r="G12" s="93" t="s">
        <v>1321</v>
      </c>
      <c r="H12" s="93" t="s">
        <v>1348</v>
      </c>
      <c r="I12" s="93" t="s">
        <v>59</v>
      </c>
      <c r="J12" s="107">
        <v>1785.9</v>
      </c>
      <c r="K12" s="107">
        <v>1470</v>
      </c>
      <c r="L12" s="93">
        <v>0.5</v>
      </c>
      <c r="M12" s="107">
        <v>264.60000000000002</v>
      </c>
      <c r="N12" s="107">
        <f>IF(M12&lt;=251, VLOOKUP(B3, 'Look Up Table'!I:J, 2, TRUE) * L12, 0)</f>
        <v>0</v>
      </c>
      <c r="O12" s="107">
        <f>IF(N12&gt;0, N12 - M12, 0)</f>
        <v>0</v>
      </c>
      <c r="P12" s="107">
        <f>IF(N12 = 0, K12 * B6, 0)</f>
        <v>0</v>
      </c>
      <c r="Q12" s="93"/>
      <c r="R12" s="93"/>
    </row>
    <row r="13" spans="1:18" x14ac:dyDescent="0.25">
      <c r="A13" s="96">
        <v>45743</v>
      </c>
      <c r="B13" s="93">
        <v>9715</v>
      </c>
      <c r="C13" s="93">
        <v>24239</v>
      </c>
      <c r="D13" s="93" t="s">
        <v>313</v>
      </c>
      <c r="E13" s="93" t="s">
        <v>314</v>
      </c>
      <c r="F13" s="93">
        <v>22</v>
      </c>
      <c r="G13" s="93" t="s">
        <v>1321</v>
      </c>
      <c r="H13" s="93" t="s">
        <v>1327</v>
      </c>
      <c r="I13" s="93" t="s">
        <v>86</v>
      </c>
      <c r="J13" s="107">
        <v>4032.11</v>
      </c>
      <c r="K13" s="107">
        <v>345.3</v>
      </c>
      <c r="L13" s="93">
        <v>1</v>
      </c>
      <c r="M13" s="107">
        <v>200</v>
      </c>
      <c r="N13" s="107">
        <f>IF(M13&lt;=251, VLOOKUP(B3, 'Look Up Table'!I:J, 2, TRUE) * L13, 0)</f>
        <v>350</v>
      </c>
      <c r="O13" s="107">
        <f>IF(N13&gt;0, N13 - M13, 0)</f>
        <v>150</v>
      </c>
      <c r="P13" s="107">
        <f>IF(N13 = 0, K13 * B6, 0)</f>
        <v>0</v>
      </c>
      <c r="Q13" s="93"/>
      <c r="R13" s="93"/>
    </row>
    <row r="14" spans="1:18" x14ac:dyDescent="0.25">
      <c r="A14" s="96">
        <v>45744</v>
      </c>
      <c r="B14" s="93">
        <v>9691</v>
      </c>
      <c r="C14" s="93">
        <v>17503</v>
      </c>
      <c r="D14" s="93" t="s">
        <v>315</v>
      </c>
      <c r="E14" s="93" t="s">
        <v>316</v>
      </c>
      <c r="F14" s="93">
        <v>25</v>
      </c>
      <c r="G14" s="93" t="s">
        <v>1319</v>
      </c>
      <c r="H14" s="93" t="s">
        <v>1362</v>
      </c>
      <c r="I14" s="93" t="s">
        <v>86</v>
      </c>
      <c r="J14" s="107">
        <v>1600</v>
      </c>
      <c r="K14" s="107">
        <v>300</v>
      </c>
      <c r="L14" s="93">
        <v>1</v>
      </c>
      <c r="M14" s="107">
        <v>200</v>
      </c>
      <c r="N14" s="107">
        <f>IF(M14&lt;=251, VLOOKUP(B3, 'Look Up Table'!I:J, 2, TRUE) * L14, 0)</f>
        <v>350</v>
      </c>
      <c r="O14" s="107">
        <f>IF(N14&gt;0, N14 - M14, 0)</f>
        <v>150</v>
      </c>
      <c r="P14" s="107">
        <f>IF(N14 = 0, K14 * B6, 0)</f>
        <v>0</v>
      </c>
      <c r="Q14" s="93"/>
      <c r="R14" s="93"/>
    </row>
    <row r="15" spans="1:18" x14ac:dyDescent="0.25">
      <c r="A15" s="96">
        <v>45747</v>
      </c>
      <c r="B15" s="93">
        <v>9750</v>
      </c>
      <c r="C15" s="93">
        <v>17739</v>
      </c>
      <c r="D15" s="93" t="s">
        <v>318</v>
      </c>
      <c r="E15" s="93" t="s">
        <v>319</v>
      </c>
      <c r="F15" s="93">
        <v>25</v>
      </c>
      <c r="G15" s="93" t="s">
        <v>1319</v>
      </c>
      <c r="H15" s="93" t="s">
        <v>1333</v>
      </c>
      <c r="I15" s="93" t="s">
        <v>59</v>
      </c>
      <c r="J15" s="107">
        <v>599.5</v>
      </c>
      <c r="K15" s="107">
        <v>-3041.15</v>
      </c>
      <c r="L15" s="93">
        <v>0.5</v>
      </c>
      <c r="M15" s="107">
        <v>100</v>
      </c>
      <c r="N15" s="107">
        <f>IF(M15&lt;=251, VLOOKUP(B3, 'Look Up Table'!I:J, 2, TRUE) * L15, 0)</f>
        <v>175</v>
      </c>
      <c r="O15" s="107">
        <f>IF(N15&gt;0, N15 - M15, 0)</f>
        <v>75</v>
      </c>
      <c r="P15" s="107">
        <f>IF(N15 = 0, K15 * B6, 0)</f>
        <v>0</v>
      </c>
      <c r="Q15" s="93"/>
      <c r="R15" s="93"/>
    </row>
    <row r="16" spans="1:18" x14ac:dyDescent="0.25">
      <c r="A16" s="96">
        <v>45747</v>
      </c>
      <c r="B16" s="93">
        <v>9742</v>
      </c>
      <c r="C16" s="93">
        <v>279748</v>
      </c>
      <c r="D16" s="93" t="s">
        <v>322</v>
      </c>
      <c r="E16" s="93" t="s">
        <v>323</v>
      </c>
      <c r="F16" s="93">
        <v>25</v>
      </c>
      <c r="G16" s="93" t="s">
        <v>1321</v>
      </c>
      <c r="H16" s="93" t="s">
        <v>1328</v>
      </c>
      <c r="I16" s="93" t="s">
        <v>59</v>
      </c>
      <c r="J16" s="107">
        <v>3133.46</v>
      </c>
      <c r="K16" s="107">
        <v>908.99</v>
      </c>
      <c r="L16" s="93">
        <v>0.5</v>
      </c>
      <c r="M16" s="107">
        <v>163.62</v>
      </c>
      <c r="N16" s="107">
        <f>IF(M16&lt;=251, VLOOKUP(B3, 'Look Up Table'!I:J, 2, TRUE) * L16, 0)</f>
        <v>175</v>
      </c>
      <c r="O16" s="107">
        <f>IF(N16&gt;0, N16 - M16, 0)</f>
        <v>11.379999999999995</v>
      </c>
      <c r="P16" s="107">
        <f>IF(N16 = 0, K16 * B6, 0)</f>
        <v>0</v>
      </c>
      <c r="Q16" s="93"/>
      <c r="R16" s="93"/>
    </row>
    <row r="17" spans="1:18" x14ac:dyDescent="0.25">
      <c r="A17" s="96">
        <v>45747</v>
      </c>
      <c r="B17" s="93">
        <v>7210</v>
      </c>
      <c r="C17" s="93">
        <v>20671</v>
      </c>
      <c r="D17" s="93" t="s">
        <v>325</v>
      </c>
      <c r="E17" s="93" t="s">
        <v>326</v>
      </c>
      <c r="F17" s="93">
        <v>25</v>
      </c>
      <c r="G17" s="93" t="s">
        <v>1319</v>
      </c>
      <c r="H17" s="93" t="s">
        <v>1363</v>
      </c>
      <c r="I17" s="93" t="s">
        <v>59</v>
      </c>
      <c r="J17" s="107">
        <v>1000</v>
      </c>
      <c r="K17" s="107">
        <v>3826</v>
      </c>
      <c r="L17" s="93">
        <v>1</v>
      </c>
      <c r="M17" s="107">
        <v>688.68</v>
      </c>
      <c r="N17" s="107">
        <f>IF(M17&lt;=251, VLOOKUP(B3, 'Look Up Table'!I:J, 2, TRUE) * L17, 0)</f>
        <v>0</v>
      </c>
      <c r="O17" s="107">
        <f>IF(N17&gt;0, N17 - M17, 0)</f>
        <v>0</v>
      </c>
      <c r="P17" s="107">
        <f>IF(N17 = 0, K17 * B6, 0)</f>
        <v>0</v>
      </c>
      <c r="Q17" s="93"/>
      <c r="R17" s="93"/>
    </row>
    <row r="18" spans="1:18" x14ac:dyDescent="0.25">
      <c r="A18" s="96">
        <v>45747</v>
      </c>
      <c r="B18" s="93">
        <v>9913</v>
      </c>
      <c r="C18" s="93">
        <v>266260</v>
      </c>
      <c r="D18" s="93" t="s">
        <v>328</v>
      </c>
      <c r="E18" s="93" t="s">
        <v>329</v>
      </c>
      <c r="F18" s="93">
        <v>25</v>
      </c>
      <c r="G18" s="93" t="s">
        <v>1321</v>
      </c>
      <c r="H18" s="93" t="s">
        <v>1346</v>
      </c>
      <c r="I18" s="93" t="s">
        <v>59</v>
      </c>
      <c r="J18" s="107">
        <v>8617.2000000000007</v>
      </c>
      <c r="K18" s="107">
        <v>2400</v>
      </c>
      <c r="L18" s="93">
        <v>1</v>
      </c>
      <c r="M18" s="107">
        <v>432</v>
      </c>
      <c r="N18" s="107">
        <f>IF(M18&lt;=251, VLOOKUP(B3, 'Look Up Table'!I:J, 2, TRUE) * L18, 0)</f>
        <v>0</v>
      </c>
      <c r="O18" s="107">
        <f>IF(N18&gt;0, N18 - M18, 0)</f>
        <v>0</v>
      </c>
      <c r="P18" s="107">
        <f>IF(N18 = 0, K18 * B6, 0)</f>
        <v>0</v>
      </c>
      <c r="Q18" s="93"/>
      <c r="R18" s="93"/>
    </row>
    <row r="19" spans="1:18" x14ac:dyDescent="0.25">
      <c r="A19" s="96">
        <v>45747</v>
      </c>
      <c r="B19" s="93">
        <v>9748</v>
      </c>
      <c r="C19" s="93">
        <v>24273</v>
      </c>
      <c r="D19" s="93" t="s">
        <v>330</v>
      </c>
      <c r="E19" s="93" t="s">
        <v>331</v>
      </c>
      <c r="F19" s="93">
        <v>25</v>
      </c>
      <c r="G19" s="93" t="s">
        <v>1321</v>
      </c>
      <c r="H19" s="93" t="s">
        <v>1346</v>
      </c>
      <c r="I19" s="93" t="s">
        <v>59</v>
      </c>
      <c r="J19" s="107">
        <v>3062.54</v>
      </c>
      <c r="K19" s="107">
        <v>-1820.49</v>
      </c>
      <c r="L19" s="93">
        <v>0.5</v>
      </c>
      <c r="M19" s="107">
        <v>100</v>
      </c>
      <c r="N19" s="107">
        <f>IF(M19&lt;=251, VLOOKUP(B3, 'Look Up Table'!I:J, 2, TRUE) * L19, 0)</f>
        <v>175</v>
      </c>
      <c r="O19" s="107">
        <f>IF(N19&gt;0, N19 - M19, 0)</f>
        <v>75</v>
      </c>
      <c r="P19" s="107">
        <f>IF(N19 = 0, K19 * B6, 0)</f>
        <v>0</v>
      </c>
      <c r="Q19" s="93"/>
      <c r="R19" s="93"/>
    </row>
    <row r="20" spans="1:18" x14ac:dyDescent="0.25">
      <c r="A20" s="96">
        <v>45747</v>
      </c>
      <c r="B20" s="93">
        <v>9978</v>
      </c>
      <c r="C20" s="93">
        <v>273121</v>
      </c>
      <c r="D20" s="93" t="s">
        <v>334</v>
      </c>
      <c r="E20" s="93" t="s">
        <v>335</v>
      </c>
      <c r="F20" s="93">
        <v>25</v>
      </c>
      <c r="G20" s="93" t="s">
        <v>1321</v>
      </c>
      <c r="H20" s="93" t="s">
        <v>1324</v>
      </c>
      <c r="I20" s="93" t="s">
        <v>59</v>
      </c>
      <c r="J20" s="107">
        <v>1332</v>
      </c>
      <c r="K20" s="107">
        <v>1950</v>
      </c>
      <c r="L20" s="93">
        <v>1</v>
      </c>
      <c r="M20" s="107">
        <v>351</v>
      </c>
      <c r="N20" s="107">
        <f>IF(M20&lt;=251, VLOOKUP(B3, 'Look Up Table'!I:J, 2, TRUE) * L20, 0)</f>
        <v>0</v>
      </c>
      <c r="O20" s="107">
        <f>IF(N20&gt;0, N20 - M20, 0)</f>
        <v>0</v>
      </c>
      <c r="P20" s="107">
        <f>IF(N20 = 0, K20 * B6, 0)</f>
        <v>0</v>
      </c>
      <c r="Q20" s="93"/>
      <c r="R20" s="93"/>
    </row>
    <row r="21" spans="1:18" x14ac:dyDescent="0.25">
      <c r="A21" s="96">
        <v>45747</v>
      </c>
      <c r="B21" s="93">
        <v>9835</v>
      </c>
      <c r="C21" s="93">
        <v>266977</v>
      </c>
      <c r="D21" s="93" t="s">
        <v>336</v>
      </c>
      <c r="E21" s="93" t="s">
        <v>337</v>
      </c>
      <c r="F21" s="93">
        <v>23</v>
      </c>
      <c r="G21" s="93" t="s">
        <v>1321</v>
      </c>
      <c r="H21" s="93" t="s">
        <v>1343</v>
      </c>
      <c r="I21" s="93" t="s">
        <v>86</v>
      </c>
      <c r="J21" s="107">
        <v>4826.74</v>
      </c>
      <c r="K21" s="107">
        <v>2292.0500000000002</v>
      </c>
      <c r="L21" s="93">
        <v>1</v>
      </c>
      <c r="M21" s="107">
        <v>412.57</v>
      </c>
      <c r="N21" s="107">
        <f>IF(M21&lt;=251, VLOOKUP(B3, 'Look Up Table'!I:J, 2, TRUE) * L21, 0)</f>
        <v>0</v>
      </c>
      <c r="O21" s="107">
        <f>IF(N21&gt;0, N21 - M21, 0)</f>
        <v>0</v>
      </c>
      <c r="P21" s="107">
        <f>IF(N21 = 0, K21 * B6, 0)</f>
        <v>0</v>
      </c>
      <c r="Q21" s="93"/>
      <c r="R21" s="93"/>
    </row>
    <row r="22" spans="1:18" x14ac:dyDescent="0.25">
      <c r="A22" s="104"/>
      <c r="B22" s="105"/>
      <c r="C22" s="105"/>
      <c r="D22" s="105"/>
      <c r="E22" s="105"/>
      <c r="F22" s="105"/>
      <c r="G22" s="105"/>
      <c r="H22" s="105"/>
      <c r="I22" s="105"/>
      <c r="J22" s="108">
        <f>SUM(J8:J21)</f>
        <v>35645.47</v>
      </c>
      <c r="K22" s="108">
        <f>SUM(K8:K21)</f>
        <v>17001.7</v>
      </c>
      <c r="L22" s="105">
        <f>SUM(L8:L21)</f>
        <v>11.5</v>
      </c>
      <c r="M22" s="108">
        <f>SUM(M8:M21)</f>
        <v>4761.369999999999</v>
      </c>
      <c r="N22" s="108">
        <f>SUM(N8:N21)</f>
        <v>1750</v>
      </c>
      <c r="O22" s="108">
        <f>SUM(O8:O21)</f>
        <v>686.38</v>
      </c>
      <c r="P22" s="108">
        <f>SUM(P8:P21)</f>
        <v>0</v>
      </c>
      <c r="Q22" s="93"/>
      <c r="R22" s="93"/>
    </row>
    <row r="24" spans="1:18" x14ac:dyDescent="0.25">
      <c r="J24" s="99" t="s">
        <v>1451</v>
      </c>
      <c r="M24" s="106">
        <f>-VLOOKUP(B2, '3213'!A:G, 7, 0)</f>
        <v>-2612.61</v>
      </c>
    </row>
    <row r="25" spans="1:18" x14ac:dyDescent="0.25">
      <c r="J25" s="99"/>
      <c r="M25" s="106"/>
    </row>
    <row r="26" spans="1:18" x14ac:dyDescent="0.25">
      <c r="J26" s="99" t="s">
        <v>1264</v>
      </c>
      <c r="K26" s="92">
        <v>0.18</v>
      </c>
      <c r="M26" s="106">
        <f>M22</f>
        <v>4761.369999999999</v>
      </c>
    </row>
    <row r="27" spans="1:18" x14ac:dyDescent="0.25">
      <c r="J27" s="99"/>
      <c r="M27" s="106"/>
    </row>
    <row r="28" spans="1:18" x14ac:dyDescent="0.25">
      <c r="A28" s="110"/>
      <c r="B28" s="109"/>
      <c r="C28" s="109"/>
      <c r="D28" t="s">
        <v>1448</v>
      </c>
      <c r="J28" s="99" t="s">
        <v>1265</v>
      </c>
      <c r="K28" s="92">
        <f>B6</f>
        <v>0</v>
      </c>
      <c r="M28" s="106">
        <f>P22</f>
        <v>0</v>
      </c>
    </row>
    <row r="29" spans="1:18" x14ac:dyDescent="0.25">
      <c r="J29" s="99"/>
      <c r="M29" s="106"/>
    </row>
    <row r="30" spans="1:18" x14ac:dyDescent="0.25">
      <c r="J30" s="99" t="s">
        <v>1452</v>
      </c>
      <c r="M30" s="106">
        <f>O22</f>
        <v>686.38</v>
      </c>
    </row>
    <row r="31" spans="1:18" x14ac:dyDescent="0.25">
      <c r="J31" s="99"/>
      <c r="M31" s="106"/>
    </row>
    <row r="32" spans="1:18" x14ac:dyDescent="0.25">
      <c r="J32" s="99" t="s">
        <v>1453</v>
      </c>
      <c r="M32" s="106">
        <f>SUM(P22, O22)</f>
        <v>686.38</v>
      </c>
    </row>
    <row r="33" spans="1:15" x14ac:dyDescent="0.25">
      <c r="J33" s="99"/>
      <c r="M33" s="106"/>
    </row>
    <row r="34" spans="1:15" x14ac:dyDescent="0.25">
      <c r="A34" s="110"/>
      <c r="B34" s="109"/>
      <c r="C34" s="109"/>
      <c r="D34" t="s">
        <v>1449</v>
      </c>
      <c r="J34" s="99" t="s">
        <v>1454</v>
      </c>
      <c r="M34" s="106">
        <f>J22</f>
        <v>35645.47</v>
      </c>
    </row>
    <row r="35" spans="1:15" x14ac:dyDescent="0.25">
      <c r="J35" s="99"/>
      <c r="M35" s="106"/>
    </row>
    <row r="36" spans="1:15" x14ac:dyDescent="0.25">
      <c r="J36" s="99" t="s">
        <v>1455</v>
      </c>
      <c r="K36" s="92">
        <v>-0.25</v>
      </c>
      <c r="M36" s="106">
        <f>K36 * M34</f>
        <v>-8911.3675000000003</v>
      </c>
    </row>
    <row r="37" spans="1:15" x14ac:dyDescent="0.25">
      <c r="J37" s="99"/>
      <c r="M37" s="106"/>
    </row>
    <row r="38" spans="1:15" x14ac:dyDescent="0.25">
      <c r="J38" s="99" t="s">
        <v>1456</v>
      </c>
      <c r="M38" s="106">
        <f>M34 + M36</f>
        <v>26734.102500000001</v>
      </c>
    </row>
    <row r="39" spans="1:15" x14ac:dyDescent="0.25">
      <c r="J39" s="99"/>
      <c r="M39" s="106"/>
    </row>
    <row r="40" spans="1:15" x14ac:dyDescent="0.25">
      <c r="J40" s="99" t="s">
        <v>1457</v>
      </c>
      <c r="K40" s="92">
        <v>0.05</v>
      </c>
      <c r="M40" s="106">
        <f>K40 * M38</f>
        <v>1336.7051250000002</v>
      </c>
    </row>
    <row r="41" spans="1:15" x14ac:dyDescent="0.25">
      <c r="J41" s="99"/>
      <c r="M41" s="106"/>
    </row>
    <row r="42" spans="1:15" x14ac:dyDescent="0.25">
      <c r="J42" s="99" t="s">
        <v>1458</v>
      </c>
      <c r="K42" t="str">
        <f>VLOOKUP(B2,'Pay Summary'!A:D,4,0)</f>
        <v/>
      </c>
      <c r="M42" s="106">
        <f>IF(K42 = 1, 500, 0)</f>
        <v>0</v>
      </c>
    </row>
    <row r="43" spans="1:15" x14ac:dyDescent="0.25">
      <c r="J43" s="99"/>
      <c r="M43" s="106"/>
    </row>
    <row r="44" spans="1:15" x14ac:dyDescent="0.25">
      <c r="J44" s="99" t="s">
        <v>1450</v>
      </c>
      <c r="K44">
        <f>L22</f>
        <v>11.5</v>
      </c>
      <c r="M44" s="106">
        <f>VLOOKUP(K44, 'Look Up Table'!E:F, 2, TRUE)</f>
        <v>375</v>
      </c>
    </row>
    <row r="45" spans="1:15" x14ac:dyDescent="0.25">
      <c r="J45" s="99"/>
      <c r="M45" s="106"/>
    </row>
    <row r="46" spans="1:15" x14ac:dyDescent="0.25">
      <c r="J46" s="99" t="s">
        <v>1306</v>
      </c>
      <c r="K46" s="111" t="str">
        <f>B4</f>
        <v>3P</v>
      </c>
      <c r="M46" s="106">
        <f>IF(B5&gt;=3,IF(B4="3P",L22*50,IF(B4="A",0,IF(B4="B",L22*-50))),0)</f>
        <v>575</v>
      </c>
      <c r="N46" s="99" t="s">
        <v>1463</v>
      </c>
      <c r="O46" s="112">
        <f>'NPS Sheet'!X51</f>
        <v>0.91700000000000004</v>
      </c>
    </row>
    <row r="47" spans="1:15" x14ac:dyDescent="0.25">
      <c r="J47" s="99"/>
      <c r="M47" s="106"/>
    </row>
    <row r="48" spans="1:15" x14ac:dyDescent="0.25">
      <c r="J48" s="99" t="s">
        <v>1459</v>
      </c>
      <c r="M48" s="106">
        <f>SUM(M44, M46, M42)</f>
        <v>950</v>
      </c>
    </row>
    <row r="49" spans="10:13" x14ac:dyDescent="0.25">
      <c r="J49" s="99"/>
      <c r="M49" s="106"/>
    </row>
    <row r="50" spans="10:13" x14ac:dyDescent="0.25">
      <c r="J50" s="99" t="s">
        <v>1460</v>
      </c>
      <c r="M50" s="106">
        <f>IFERROR(VLOOKUP(B2,SPIFFS!A:H,8,0),0)</f>
        <v>1050</v>
      </c>
    </row>
    <row r="51" spans="10:13" x14ac:dyDescent="0.25">
      <c r="J51" s="99"/>
      <c r="M51" s="106"/>
    </row>
    <row r="52" spans="10:13" x14ac:dyDescent="0.25">
      <c r="J52" s="99" t="s">
        <v>1461</v>
      </c>
      <c r="M52" s="106">
        <f>SUM(M26, M32, M40, M48, M24, M50)</f>
        <v>6171.8451249999998</v>
      </c>
    </row>
    <row r="53" spans="10:13" x14ac:dyDescent="0.25">
      <c r="J53" s="99"/>
      <c r="M53" s="106"/>
    </row>
    <row r="54" spans="10:13" x14ac:dyDescent="0.25">
      <c r="J54" s="99" t="s">
        <v>1462</v>
      </c>
      <c r="M54" s="106">
        <f>IF(M52&lt;0, SUM(M24, M48, M40, M32), 0)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2D572-50F7-4A9F-A280-3B9E9A8F2F27}">
  <dimension ref="A1:R61"/>
  <sheetViews>
    <sheetView workbookViewId="0"/>
  </sheetViews>
  <sheetFormatPr defaultRowHeight="15" x14ac:dyDescent="0.25"/>
  <cols>
    <col min="1" max="1" width="23" style="95" bestFit="1" customWidth="1"/>
    <col min="2" max="2" width="14.42578125" bestFit="1" customWidth="1"/>
    <col min="3" max="3" width="11.42578125" bestFit="1" customWidth="1"/>
    <col min="4" max="4" width="24" bestFit="1" customWidth="1"/>
    <col min="5" max="5" width="9.5703125" bestFit="1" customWidth="1"/>
    <col min="6" max="6" width="5" bestFit="1" customWidth="1"/>
    <col min="8" max="8" width="15.42578125" bestFit="1" customWidth="1"/>
    <col min="9" max="9" width="9.5703125" bestFit="1" customWidth="1"/>
    <col min="10" max="10" width="23.140625" bestFit="1" customWidth="1"/>
    <col min="11" max="11" width="18.42578125" bestFit="1" customWidth="1"/>
    <col min="12" max="12" width="5.7109375" bestFit="1" customWidth="1"/>
    <col min="13" max="13" width="20.140625" bestFit="1" customWidth="1"/>
    <col min="14" max="14" width="13.7109375" bestFit="1" customWidth="1"/>
    <col min="15" max="15" width="11.5703125" bestFit="1" customWidth="1"/>
    <col min="16" max="16" width="24.85546875" bestFit="1" customWidth="1"/>
  </cols>
  <sheetData>
    <row r="1" spans="1:18" x14ac:dyDescent="0.25">
      <c r="A1" s="101" t="s">
        <v>1249</v>
      </c>
      <c r="B1" s="100" t="s">
        <v>14</v>
      </c>
    </row>
    <row r="2" spans="1:18" x14ac:dyDescent="0.25">
      <c r="A2" s="101" t="s">
        <v>1307</v>
      </c>
      <c r="B2" s="100">
        <v>11809</v>
      </c>
    </row>
    <row r="3" spans="1:18" x14ac:dyDescent="0.25">
      <c r="A3" s="101" t="s">
        <v>1305</v>
      </c>
      <c r="B3" s="100">
        <f>VLOOKUP(B2, '90'!A:E, 5, 0)</f>
        <v>31</v>
      </c>
    </row>
    <row r="4" spans="1:18" x14ac:dyDescent="0.25">
      <c r="A4" s="101" t="s">
        <v>1306</v>
      </c>
      <c r="B4" s="100" t="str">
        <f>IFERROR(VLOOKUP(B2, NPS!B:H, 7, 0), 0)</f>
        <v>3P</v>
      </c>
    </row>
    <row r="5" spans="1:18" x14ac:dyDescent="0.25">
      <c r="A5" s="101" t="s">
        <v>1257</v>
      </c>
      <c r="B5" s="100">
        <f>IFERROR(VLOOKUP(B2, NPS!B:H, 3, 0), 0)</f>
        <v>6</v>
      </c>
    </row>
    <row r="6" spans="1:18" x14ac:dyDescent="0.25">
      <c r="A6" s="101" t="s">
        <v>1447</v>
      </c>
      <c r="B6" s="103">
        <f>VLOOKUP(17.5, 'Look Up Table'!A:B, 2, TRUE)</f>
        <v>7.0000000000000007E-2</v>
      </c>
    </row>
    <row r="7" spans="1:18" ht="50.1" customHeight="1" x14ac:dyDescent="0.25">
      <c r="A7" s="102" t="s">
        <v>43</v>
      </c>
      <c r="B7" s="80" t="s">
        <v>1308</v>
      </c>
      <c r="C7" s="80" t="s">
        <v>1309</v>
      </c>
      <c r="D7" s="80" t="s">
        <v>48</v>
      </c>
      <c r="E7" s="80" t="s">
        <v>1310</v>
      </c>
      <c r="F7" s="80" t="s">
        <v>1311</v>
      </c>
      <c r="G7" s="80" t="s">
        <v>1312</v>
      </c>
      <c r="H7" s="80" t="s">
        <v>1313</v>
      </c>
      <c r="I7" s="80" t="s">
        <v>51</v>
      </c>
      <c r="J7" s="80" t="s">
        <v>1314</v>
      </c>
      <c r="K7" s="80" t="s">
        <v>1315</v>
      </c>
      <c r="L7" s="80" t="s">
        <v>54</v>
      </c>
      <c r="M7" s="80" t="s">
        <v>55</v>
      </c>
      <c r="N7" s="80" t="s">
        <v>1316</v>
      </c>
      <c r="O7" s="80" t="s">
        <v>1317</v>
      </c>
      <c r="P7" s="80" t="s">
        <v>1318</v>
      </c>
    </row>
    <row r="8" spans="1:18" x14ac:dyDescent="0.25">
      <c r="A8" s="96">
        <v>45721</v>
      </c>
      <c r="B8" s="93">
        <v>9345</v>
      </c>
      <c r="C8" s="93">
        <v>23590</v>
      </c>
      <c r="D8" s="93" t="s">
        <v>339</v>
      </c>
      <c r="E8" s="93" t="s">
        <v>340</v>
      </c>
      <c r="F8" s="93">
        <v>25</v>
      </c>
      <c r="G8" s="93" t="s">
        <v>1321</v>
      </c>
      <c r="H8" s="93" t="s">
        <v>1326</v>
      </c>
      <c r="I8" s="93" t="s">
        <v>59</v>
      </c>
      <c r="J8" s="107">
        <v>10900.4</v>
      </c>
      <c r="K8" s="107">
        <v>-312</v>
      </c>
      <c r="L8" s="93">
        <v>1</v>
      </c>
      <c r="M8" s="107">
        <v>200</v>
      </c>
      <c r="N8" s="107">
        <f>IF(M8&lt;=251, VLOOKUP(B3, 'Look Up Table'!I:J, 2, TRUE) * L8, 0)</f>
        <v>400</v>
      </c>
      <c r="O8" s="107">
        <f>IF(N8&gt;0, N8 - M8, 0)</f>
        <v>200</v>
      </c>
      <c r="P8" s="107">
        <f>IF(N8 = 0, K8 * B6, 0)</f>
        <v>0</v>
      </c>
      <c r="Q8" s="93"/>
      <c r="R8" s="93"/>
    </row>
    <row r="9" spans="1:18" x14ac:dyDescent="0.25">
      <c r="A9" s="96">
        <v>45728</v>
      </c>
      <c r="B9" s="93">
        <v>9217</v>
      </c>
      <c r="C9" s="93">
        <v>23449</v>
      </c>
      <c r="D9" s="93" t="s">
        <v>341</v>
      </c>
      <c r="E9" s="93" t="s">
        <v>342</v>
      </c>
      <c r="F9" s="93">
        <v>25</v>
      </c>
      <c r="G9" s="93" t="s">
        <v>1321</v>
      </c>
      <c r="H9" s="93" t="s">
        <v>1358</v>
      </c>
      <c r="I9" s="93" t="s">
        <v>59</v>
      </c>
      <c r="J9" s="107">
        <v>1595.89</v>
      </c>
      <c r="K9" s="107">
        <v>5152.75</v>
      </c>
      <c r="L9" s="93">
        <v>0.5</v>
      </c>
      <c r="M9" s="107">
        <v>927.5</v>
      </c>
      <c r="N9" s="107">
        <f>IF(M9&lt;=251, VLOOKUP(B3, 'Look Up Table'!I:J, 2, TRUE) * L9, 0)</f>
        <v>0</v>
      </c>
      <c r="O9" s="107">
        <f>IF(N9&gt;0, N9 - M9, 0)</f>
        <v>0</v>
      </c>
      <c r="P9" s="107">
        <f>IF(N9 = 0, K9 * B6, 0)</f>
        <v>360.69250000000005</v>
      </c>
      <c r="Q9" s="93"/>
      <c r="R9" s="93"/>
    </row>
    <row r="10" spans="1:18" x14ac:dyDescent="0.25">
      <c r="A10" s="96">
        <v>45730</v>
      </c>
      <c r="B10" s="93">
        <v>9444</v>
      </c>
      <c r="C10" s="93">
        <v>21981</v>
      </c>
      <c r="D10" s="93" t="s">
        <v>343</v>
      </c>
      <c r="E10" s="93" t="s">
        <v>344</v>
      </c>
      <c r="F10" s="93">
        <v>25</v>
      </c>
      <c r="G10" s="93" t="s">
        <v>1321</v>
      </c>
      <c r="H10" s="93" t="s">
        <v>1364</v>
      </c>
      <c r="I10" s="93" t="s">
        <v>59</v>
      </c>
      <c r="J10" s="107">
        <v>0</v>
      </c>
      <c r="K10" s="107">
        <v>6356.62</v>
      </c>
      <c r="L10" s="93">
        <v>0.5</v>
      </c>
      <c r="M10" s="107">
        <v>1144.19</v>
      </c>
      <c r="N10" s="107">
        <f>IF(M10&lt;=251, VLOOKUP(B3, 'Look Up Table'!I:J, 2, TRUE) * L10, 0)</f>
        <v>0</v>
      </c>
      <c r="O10" s="107">
        <f>IF(N10&gt;0, N10 - M10, 0)</f>
        <v>0</v>
      </c>
      <c r="P10" s="107">
        <f>IF(N10 = 0, K10 * B6, 0)</f>
        <v>444.96340000000004</v>
      </c>
      <c r="Q10" s="93"/>
      <c r="R10" s="93"/>
    </row>
    <row r="11" spans="1:18" x14ac:dyDescent="0.25">
      <c r="A11" s="96">
        <v>45733</v>
      </c>
      <c r="B11" s="93" t="s">
        <v>351</v>
      </c>
      <c r="C11" s="93">
        <v>23943</v>
      </c>
      <c r="D11" s="93" t="s">
        <v>348</v>
      </c>
      <c r="E11" s="93" t="s">
        <v>349</v>
      </c>
      <c r="F11" s="93">
        <v>23</v>
      </c>
      <c r="G11" s="93" t="s">
        <v>1321</v>
      </c>
      <c r="H11" s="93" t="s">
        <v>1365</v>
      </c>
      <c r="I11" s="93" t="s">
        <v>86</v>
      </c>
      <c r="J11" s="107">
        <v>165</v>
      </c>
      <c r="K11" s="107">
        <v>-4903.1000000000004</v>
      </c>
      <c r="L11" s="93">
        <v>1</v>
      </c>
      <c r="M11" s="107">
        <v>200</v>
      </c>
      <c r="N11" s="107">
        <f>IF(M11&lt;=251, VLOOKUP(B3, 'Look Up Table'!I:J, 2, TRUE) * L11, 0)</f>
        <v>400</v>
      </c>
      <c r="O11" s="107">
        <f>IF(N11&gt;0, N11 - M11, 0)</f>
        <v>200</v>
      </c>
      <c r="P11" s="107">
        <f>IF(N11 = 0, K11 * B6, 0)</f>
        <v>0</v>
      </c>
      <c r="Q11" s="93"/>
      <c r="R11" s="93"/>
    </row>
    <row r="12" spans="1:18" x14ac:dyDescent="0.25">
      <c r="A12" s="96">
        <v>45734</v>
      </c>
      <c r="B12" s="93">
        <v>9576</v>
      </c>
      <c r="C12" s="93">
        <v>265393</v>
      </c>
      <c r="D12" s="93" t="s">
        <v>352</v>
      </c>
      <c r="E12" s="93" t="s">
        <v>353</v>
      </c>
      <c r="F12" s="93">
        <v>25</v>
      </c>
      <c r="G12" s="93" t="s">
        <v>1319</v>
      </c>
      <c r="H12" s="93" t="s">
        <v>1344</v>
      </c>
      <c r="I12" s="93" t="s">
        <v>59</v>
      </c>
      <c r="J12" s="107">
        <v>308</v>
      </c>
      <c r="K12" s="107">
        <v>-6721.49</v>
      </c>
      <c r="L12" s="93">
        <v>1</v>
      </c>
      <c r="M12" s="107">
        <v>200</v>
      </c>
      <c r="N12" s="107">
        <f>IF(M12&lt;=251, VLOOKUP(B3, 'Look Up Table'!I:J, 2, TRUE) * L12, 0)</f>
        <v>400</v>
      </c>
      <c r="O12" s="107">
        <f>IF(N12&gt;0, N12 - M12, 0)</f>
        <v>200</v>
      </c>
      <c r="P12" s="107">
        <f>IF(N12 = 0, K12 * B6, 0)</f>
        <v>0</v>
      </c>
      <c r="Q12" s="93"/>
      <c r="R12" s="93"/>
    </row>
    <row r="13" spans="1:18" x14ac:dyDescent="0.25">
      <c r="A13" s="96">
        <v>45735</v>
      </c>
      <c r="B13" s="93">
        <v>9034</v>
      </c>
      <c r="C13" s="93">
        <v>23171</v>
      </c>
      <c r="D13" s="93" t="s">
        <v>262</v>
      </c>
      <c r="E13" s="93" t="s">
        <v>263</v>
      </c>
      <c r="F13" s="93">
        <v>25</v>
      </c>
      <c r="G13" s="93" t="s">
        <v>1321</v>
      </c>
      <c r="H13" s="93" t="s">
        <v>1355</v>
      </c>
      <c r="I13" s="93" t="s">
        <v>59</v>
      </c>
      <c r="J13" s="107">
        <v>2994.43</v>
      </c>
      <c r="K13" s="107">
        <v>3371.01</v>
      </c>
      <c r="L13" s="93">
        <v>0.5</v>
      </c>
      <c r="M13" s="107">
        <v>606.78</v>
      </c>
      <c r="N13" s="107">
        <f>IF(M13&lt;=251, VLOOKUP(B3, 'Look Up Table'!I:J, 2, TRUE) * L13, 0)</f>
        <v>0</v>
      </c>
      <c r="O13" s="107">
        <f>IF(N13&gt;0, N13 - M13, 0)</f>
        <v>0</v>
      </c>
      <c r="P13" s="107">
        <f>IF(N13 = 0, K13 * B6, 0)</f>
        <v>235.97070000000005</v>
      </c>
      <c r="Q13" s="93"/>
      <c r="R13" s="93"/>
    </row>
    <row r="14" spans="1:18" x14ac:dyDescent="0.25">
      <c r="A14" s="96">
        <v>45736</v>
      </c>
      <c r="B14" s="93">
        <v>9443</v>
      </c>
      <c r="C14" s="93">
        <v>23784</v>
      </c>
      <c r="D14" s="93" t="s">
        <v>356</v>
      </c>
      <c r="E14" s="93" t="s">
        <v>357</v>
      </c>
      <c r="F14" s="93">
        <v>25</v>
      </c>
      <c r="G14" s="93" t="s">
        <v>1319</v>
      </c>
      <c r="H14" s="93" t="s">
        <v>1352</v>
      </c>
      <c r="I14" s="93" t="s">
        <v>59</v>
      </c>
      <c r="J14" s="107">
        <v>1117.25</v>
      </c>
      <c r="K14" s="107">
        <v>-1132.71</v>
      </c>
      <c r="L14" s="93">
        <v>1</v>
      </c>
      <c r="M14" s="107">
        <v>200</v>
      </c>
      <c r="N14" s="107">
        <f>IF(M14&lt;=251, VLOOKUP(B3, 'Look Up Table'!I:J, 2, TRUE) * L14, 0)</f>
        <v>400</v>
      </c>
      <c r="O14" s="107">
        <f>IF(N14&gt;0, N14 - M14, 0)</f>
        <v>200</v>
      </c>
      <c r="P14" s="107">
        <f>IF(N14 = 0, K14 * B6, 0)</f>
        <v>0</v>
      </c>
      <c r="Q14" s="93"/>
      <c r="R14" s="93"/>
    </row>
    <row r="15" spans="1:18" x14ac:dyDescent="0.25">
      <c r="A15" s="96">
        <v>45741</v>
      </c>
      <c r="B15" s="93">
        <v>9488</v>
      </c>
      <c r="C15" s="93">
        <v>23834</v>
      </c>
      <c r="D15" s="93" t="s">
        <v>358</v>
      </c>
      <c r="E15" s="93" t="s">
        <v>359</v>
      </c>
      <c r="F15" s="93">
        <v>25</v>
      </c>
      <c r="G15" s="93" t="s">
        <v>1321</v>
      </c>
      <c r="H15" s="93" t="s">
        <v>1346</v>
      </c>
      <c r="I15" s="93" t="s">
        <v>59</v>
      </c>
      <c r="J15" s="107">
        <v>1000</v>
      </c>
      <c r="K15" s="107">
        <v>1940</v>
      </c>
      <c r="L15" s="93">
        <v>1</v>
      </c>
      <c r="M15" s="107">
        <v>349.2</v>
      </c>
      <c r="N15" s="107">
        <f>IF(M15&lt;=251, VLOOKUP(B3, 'Look Up Table'!I:J, 2, TRUE) * L15, 0)</f>
        <v>0</v>
      </c>
      <c r="O15" s="107">
        <f>IF(N15&gt;0, N15 - M15, 0)</f>
        <v>0</v>
      </c>
      <c r="P15" s="107">
        <f>IF(N15 = 0, K15 * B6, 0)</f>
        <v>135.80000000000001</v>
      </c>
      <c r="Q15" s="93"/>
      <c r="R15" s="93"/>
    </row>
    <row r="16" spans="1:18" x14ac:dyDescent="0.25">
      <c r="A16" s="96">
        <v>45742</v>
      </c>
      <c r="B16" s="93">
        <v>9653</v>
      </c>
      <c r="C16" s="93">
        <v>24126</v>
      </c>
      <c r="D16" s="93" t="s">
        <v>360</v>
      </c>
      <c r="E16" s="93" t="s">
        <v>361</v>
      </c>
      <c r="F16" s="93">
        <v>25</v>
      </c>
      <c r="G16" s="93" t="s">
        <v>1321</v>
      </c>
      <c r="H16" s="93" t="s">
        <v>1348</v>
      </c>
      <c r="I16" s="93" t="s">
        <v>59</v>
      </c>
      <c r="J16" s="107">
        <v>425.5</v>
      </c>
      <c r="K16" s="107">
        <v>-2086</v>
      </c>
      <c r="L16" s="93">
        <v>0.5</v>
      </c>
      <c r="M16" s="107">
        <v>100</v>
      </c>
      <c r="N16" s="107">
        <f>IF(M16&lt;=251, VLOOKUP(B3, 'Look Up Table'!I:J, 2, TRUE) * L16, 0)</f>
        <v>200</v>
      </c>
      <c r="O16" s="107">
        <f>IF(N16&gt;0, N16 - M16, 0)</f>
        <v>100</v>
      </c>
      <c r="P16" s="107">
        <f>IF(N16 = 0, K16 * B6, 0)</f>
        <v>0</v>
      </c>
      <c r="Q16" s="93"/>
      <c r="R16" s="93"/>
    </row>
    <row r="17" spans="1:18" x14ac:dyDescent="0.25">
      <c r="A17" s="96">
        <v>45743</v>
      </c>
      <c r="B17" s="93">
        <v>9689</v>
      </c>
      <c r="C17" s="93">
        <v>24198</v>
      </c>
      <c r="D17" s="93" t="s">
        <v>363</v>
      </c>
      <c r="E17" s="93" t="s">
        <v>364</v>
      </c>
      <c r="F17" s="93">
        <v>25</v>
      </c>
      <c r="G17" s="93" t="s">
        <v>1321</v>
      </c>
      <c r="H17" s="93" t="s">
        <v>1346</v>
      </c>
      <c r="I17" s="93" t="s">
        <v>59</v>
      </c>
      <c r="J17" s="107">
        <v>672.3</v>
      </c>
      <c r="K17" s="107">
        <v>-2279.2800000000002</v>
      </c>
      <c r="L17" s="93">
        <v>0.5</v>
      </c>
      <c r="M17" s="107">
        <v>100</v>
      </c>
      <c r="N17" s="107">
        <f>IF(M17&lt;=251, VLOOKUP(B3, 'Look Up Table'!I:J, 2, TRUE) * L17, 0)</f>
        <v>200</v>
      </c>
      <c r="O17" s="107">
        <f>IF(N17&gt;0, N17 - M17, 0)</f>
        <v>100</v>
      </c>
      <c r="P17" s="107">
        <f>IF(N17 = 0, K17 * B6, 0)</f>
        <v>0</v>
      </c>
      <c r="Q17" s="93"/>
      <c r="R17" s="93"/>
    </row>
    <row r="18" spans="1:18" x14ac:dyDescent="0.25">
      <c r="A18" s="96">
        <v>45743</v>
      </c>
      <c r="B18" s="93">
        <v>9693</v>
      </c>
      <c r="C18" s="93">
        <v>24209</v>
      </c>
      <c r="D18" s="93" t="s">
        <v>367</v>
      </c>
      <c r="E18" s="93" t="s">
        <v>368</v>
      </c>
      <c r="F18" s="93">
        <v>25</v>
      </c>
      <c r="G18" s="93" t="s">
        <v>1319</v>
      </c>
      <c r="H18" s="93" t="s">
        <v>1366</v>
      </c>
      <c r="I18" s="93" t="s">
        <v>59</v>
      </c>
      <c r="J18" s="107">
        <v>1546.34</v>
      </c>
      <c r="K18" s="107">
        <v>-5399</v>
      </c>
      <c r="L18" s="93">
        <v>1</v>
      </c>
      <c r="M18" s="107">
        <v>200</v>
      </c>
      <c r="N18" s="107">
        <f>IF(M18&lt;=251, VLOOKUP(B3, 'Look Up Table'!I:J, 2, TRUE) * L18, 0)</f>
        <v>400</v>
      </c>
      <c r="O18" s="107">
        <f>IF(N18&gt;0, N18 - M18, 0)</f>
        <v>200</v>
      </c>
      <c r="P18" s="107">
        <f>IF(N18 = 0, K18 * B6, 0)</f>
        <v>0</v>
      </c>
      <c r="Q18" s="93"/>
      <c r="R18" s="93"/>
    </row>
    <row r="19" spans="1:18" x14ac:dyDescent="0.25">
      <c r="A19" s="96">
        <v>45744</v>
      </c>
      <c r="B19" s="93">
        <v>9753</v>
      </c>
      <c r="C19" s="93">
        <v>18444</v>
      </c>
      <c r="D19" s="93" t="s">
        <v>371</v>
      </c>
      <c r="E19" s="93" t="s">
        <v>372</v>
      </c>
      <c r="F19" s="93">
        <v>25</v>
      </c>
      <c r="G19" s="93" t="s">
        <v>1321</v>
      </c>
      <c r="H19" s="93" t="s">
        <v>1346</v>
      </c>
      <c r="I19" s="93" t="s">
        <v>59</v>
      </c>
      <c r="J19" s="107">
        <v>587</v>
      </c>
      <c r="K19" s="107">
        <v>1125</v>
      </c>
      <c r="L19" s="93">
        <v>0.5</v>
      </c>
      <c r="M19" s="107">
        <v>202.5</v>
      </c>
      <c r="N19" s="107">
        <f>IF(M19&lt;=251, VLOOKUP(B3, 'Look Up Table'!I:J, 2, TRUE) * L19, 0)</f>
        <v>200</v>
      </c>
      <c r="O19" s="107">
        <f>IF(N19&gt;0, N19 - M19, 0)</f>
        <v>-2.5</v>
      </c>
      <c r="P19" s="107">
        <f>IF(N19 = 0, K19 * B6, 0)</f>
        <v>0</v>
      </c>
      <c r="Q19" s="93"/>
      <c r="R19" s="93"/>
    </row>
    <row r="20" spans="1:18" x14ac:dyDescent="0.25">
      <c r="A20" s="96">
        <v>45744</v>
      </c>
      <c r="B20" s="93">
        <v>9664</v>
      </c>
      <c r="C20" s="93">
        <v>260087</v>
      </c>
      <c r="D20" s="93" t="s">
        <v>373</v>
      </c>
      <c r="E20" s="93" t="s">
        <v>374</v>
      </c>
      <c r="F20" s="93">
        <v>22</v>
      </c>
      <c r="G20" s="93" t="s">
        <v>1319</v>
      </c>
      <c r="H20" s="93" t="s">
        <v>1367</v>
      </c>
      <c r="I20" s="93" t="s">
        <v>86</v>
      </c>
      <c r="J20" s="107">
        <v>9665.26</v>
      </c>
      <c r="K20" s="107">
        <v>750</v>
      </c>
      <c r="L20" s="93">
        <v>1</v>
      </c>
      <c r="M20" s="107">
        <v>200</v>
      </c>
      <c r="N20" s="107">
        <f>IF(M20&lt;=251, VLOOKUP(B3, 'Look Up Table'!I:J, 2, TRUE) * L20, 0)</f>
        <v>400</v>
      </c>
      <c r="O20" s="107">
        <f>IF(N20&gt;0, N20 - M20, 0)</f>
        <v>200</v>
      </c>
      <c r="P20" s="107">
        <f>IF(N20 = 0, K20 * B6, 0)</f>
        <v>0</v>
      </c>
      <c r="Q20" s="93"/>
      <c r="R20" s="93"/>
    </row>
    <row r="21" spans="1:18" x14ac:dyDescent="0.25">
      <c r="A21" s="96">
        <v>45747</v>
      </c>
      <c r="B21" s="93">
        <v>9709</v>
      </c>
      <c r="C21" s="93">
        <v>265503</v>
      </c>
      <c r="D21" s="93" t="s">
        <v>376</v>
      </c>
      <c r="E21" s="93" t="s">
        <v>377</v>
      </c>
      <c r="F21" s="93">
        <v>25</v>
      </c>
      <c r="G21" s="93" t="s">
        <v>1321</v>
      </c>
      <c r="H21" s="93" t="s">
        <v>1368</v>
      </c>
      <c r="I21" s="93" t="s">
        <v>59</v>
      </c>
      <c r="J21" s="107">
        <v>8437.32</v>
      </c>
      <c r="K21" s="107">
        <v>12406</v>
      </c>
      <c r="L21" s="93">
        <v>1</v>
      </c>
      <c r="M21" s="107">
        <v>2233.08</v>
      </c>
      <c r="N21" s="107">
        <f>IF(M21&lt;=251, VLOOKUP(B3, 'Look Up Table'!I:J, 2, TRUE) * L21, 0)</f>
        <v>0</v>
      </c>
      <c r="O21" s="107">
        <f>IF(N21&gt;0, N21 - M21, 0)</f>
        <v>0</v>
      </c>
      <c r="P21" s="107">
        <f>IF(N21 = 0, K21 * B6, 0)</f>
        <v>868.42000000000007</v>
      </c>
      <c r="Q21" s="93"/>
      <c r="R21" s="93"/>
    </row>
    <row r="22" spans="1:18" x14ac:dyDescent="0.25">
      <c r="A22" s="96">
        <v>45747</v>
      </c>
      <c r="B22" s="93">
        <v>9902</v>
      </c>
      <c r="C22" s="93">
        <v>24449</v>
      </c>
      <c r="D22" s="93" t="s">
        <v>381</v>
      </c>
      <c r="E22" s="93" t="s">
        <v>382</v>
      </c>
      <c r="F22" s="93">
        <v>25</v>
      </c>
      <c r="G22" s="93" t="s">
        <v>1319</v>
      </c>
      <c r="H22" s="93" t="s">
        <v>1369</v>
      </c>
      <c r="I22" s="93" t="s">
        <v>59</v>
      </c>
      <c r="J22" s="107">
        <v>6320.56</v>
      </c>
      <c r="K22" s="107">
        <v>5099</v>
      </c>
      <c r="L22" s="93">
        <v>1</v>
      </c>
      <c r="M22" s="107">
        <v>917.82</v>
      </c>
      <c r="N22" s="107">
        <f>IF(M22&lt;=251, VLOOKUP(B3, 'Look Up Table'!I:J, 2, TRUE) * L22, 0)</f>
        <v>0</v>
      </c>
      <c r="O22" s="107">
        <f>IF(N22&gt;0, N22 - M22, 0)</f>
        <v>0</v>
      </c>
      <c r="P22" s="107">
        <f>IF(N22 = 0, K22 * B6, 0)</f>
        <v>356.93</v>
      </c>
      <c r="Q22" s="93"/>
      <c r="R22" s="93"/>
    </row>
    <row r="23" spans="1:18" x14ac:dyDescent="0.25">
      <c r="A23" s="96">
        <v>45747</v>
      </c>
      <c r="B23" s="93">
        <v>9935</v>
      </c>
      <c r="C23" s="93">
        <v>24483</v>
      </c>
      <c r="D23" s="93" t="s">
        <v>384</v>
      </c>
      <c r="E23" s="93" t="s">
        <v>385</v>
      </c>
      <c r="F23" s="93">
        <v>25</v>
      </c>
      <c r="G23" s="93" t="s">
        <v>1321</v>
      </c>
      <c r="H23" s="93" t="s">
        <v>1328</v>
      </c>
      <c r="I23" s="93" t="s">
        <v>59</v>
      </c>
      <c r="J23" s="107">
        <v>1520.32</v>
      </c>
      <c r="K23" s="107">
        <v>1179</v>
      </c>
      <c r="L23" s="93">
        <v>1</v>
      </c>
      <c r="M23" s="107">
        <v>212.22</v>
      </c>
      <c r="N23" s="107">
        <f>IF(M23&lt;=251, VLOOKUP(B3, 'Look Up Table'!I:J, 2, TRUE) * L23, 0)</f>
        <v>400</v>
      </c>
      <c r="O23" s="107">
        <f>IF(N23&gt;0, N23 - M23, 0)</f>
        <v>187.78</v>
      </c>
      <c r="P23" s="107">
        <f>IF(N23 = 0, K23 * B6, 0)</f>
        <v>0</v>
      </c>
      <c r="Q23" s="93"/>
      <c r="R23" s="93"/>
    </row>
    <row r="24" spans="1:18" x14ac:dyDescent="0.25">
      <c r="A24" s="96">
        <v>45747</v>
      </c>
      <c r="B24" s="93">
        <v>9983</v>
      </c>
      <c r="C24" s="93">
        <v>11986</v>
      </c>
      <c r="D24" s="93" t="s">
        <v>386</v>
      </c>
      <c r="E24" s="93" t="s">
        <v>387</v>
      </c>
      <c r="F24" s="93">
        <v>25</v>
      </c>
      <c r="G24" s="93" t="s">
        <v>1319</v>
      </c>
      <c r="H24" s="93" t="s">
        <v>1342</v>
      </c>
      <c r="I24" s="93" t="s">
        <v>59</v>
      </c>
      <c r="J24" s="107">
        <v>6102.35</v>
      </c>
      <c r="K24" s="107">
        <v>8913</v>
      </c>
      <c r="L24" s="93">
        <v>1</v>
      </c>
      <c r="M24" s="107">
        <v>1604.34</v>
      </c>
      <c r="N24" s="107">
        <f>IF(M24&lt;=251, VLOOKUP(B3, 'Look Up Table'!I:J, 2, TRUE) * L24, 0)</f>
        <v>0</v>
      </c>
      <c r="O24" s="107">
        <f>IF(N24&gt;0, N24 - M24, 0)</f>
        <v>0</v>
      </c>
      <c r="P24" s="107">
        <f>IF(N24 = 0, K24 * B6, 0)</f>
        <v>623.91000000000008</v>
      </c>
      <c r="Q24" s="93"/>
      <c r="R24" s="93"/>
    </row>
    <row r="25" spans="1:18" x14ac:dyDescent="0.25">
      <c r="A25" s="96">
        <v>45747</v>
      </c>
      <c r="B25" s="93">
        <v>9771</v>
      </c>
      <c r="C25" s="93">
        <v>24284</v>
      </c>
      <c r="D25" s="93" t="s">
        <v>390</v>
      </c>
      <c r="E25" s="93" t="s">
        <v>391</v>
      </c>
      <c r="F25" s="93">
        <v>25</v>
      </c>
      <c r="G25" s="93" t="s">
        <v>1319</v>
      </c>
      <c r="H25" s="93" t="s">
        <v>1344</v>
      </c>
      <c r="I25" s="93" t="s">
        <v>59</v>
      </c>
      <c r="J25" s="107">
        <v>481</v>
      </c>
      <c r="K25" s="107">
        <v>752.5</v>
      </c>
      <c r="L25" s="93">
        <v>0.5</v>
      </c>
      <c r="M25" s="107">
        <v>135.44999999999999</v>
      </c>
      <c r="N25" s="107">
        <f>IF(M25&lt;=251, VLOOKUP(B3, 'Look Up Table'!I:J, 2, TRUE) * L25, 0)</f>
        <v>200</v>
      </c>
      <c r="O25" s="107">
        <f>IF(N25&gt;0, N25 - M25, 0)</f>
        <v>64.550000000000011</v>
      </c>
      <c r="P25" s="107">
        <f>IF(N25 = 0, K25 * B6, 0)</f>
        <v>0</v>
      </c>
      <c r="Q25" s="93"/>
      <c r="R25" s="93"/>
    </row>
    <row r="26" spans="1:18" x14ac:dyDescent="0.25">
      <c r="A26" s="96">
        <v>45747</v>
      </c>
      <c r="B26" s="93">
        <v>9863</v>
      </c>
      <c r="C26" s="93">
        <v>24406</v>
      </c>
      <c r="D26" s="93" t="s">
        <v>394</v>
      </c>
      <c r="E26" s="93" t="s">
        <v>395</v>
      </c>
      <c r="F26" s="93">
        <v>25</v>
      </c>
      <c r="G26" s="93" t="s">
        <v>1319</v>
      </c>
      <c r="H26" s="93" t="s">
        <v>1323</v>
      </c>
      <c r="I26" s="93" t="s">
        <v>59</v>
      </c>
      <c r="J26" s="107">
        <v>1139</v>
      </c>
      <c r="K26" s="107">
        <v>1593.26</v>
      </c>
      <c r="L26" s="93">
        <v>1</v>
      </c>
      <c r="M26" s="107">
        <v>286.79000000000002</v>
      </c>
      <c r="N26" s="107">
        <f>IF(M26&lt;=251, VLOOKUP(B3, 'Look Up Table'!I:J, 2, TRUE) * L26, 0)</f>
        <v>0</v>
      </c>
      <c r="O26" s="107">
        <f>IF(N26&gt;0, N26 - M26, 0)</f>
        <v>0</v>
      </c>
      <c r="P26" s="107">
        <f>IF(N26 = 0, K26 * B6, 0)</f>
        <v>111.52820000000001</v>
      </c>
      <c r="Q26" s="93"/>
      <c r="R26" s="93"/>
    </row>
    <row r="27" spans="1:18" x14ac:dyDescent="0.25">
      <c r="A27" s="96">
        <v>45747</v>
      </c>
      <c r="B27" s="93">
        <v>9919</v>
      </c>
      <c r="C27" s="93">
        <v>24470</v>
      </c>
      <c r="D27" s="93" t="s">
        <v>398</v>
      </c>
      <c r="E27" s="93" t="s">
        <v>399</v>
      </c>
      <c r="F27" s="93">
        <v>25</v>
      </c>
      <c r="G27" s="93" t="s">
        <v>1319</v>
      </c>
      <c r="H27" s="93" t="s">
        <v>1366</v>
      </c>
      <c r="I27" s="93" t="s">
        <v>59</v>
      </c>
      <c r="J27" s="107">
        <v>1532.19</v>
      </c>
      <c r="K27" s="107">
        <v>-4065</v>
      </c>
      <c r="L27" s="93">
        <v>1</v>
      </c>
      <c r="M27" s="107">
        <v>200</v>
      </c>
      <c r="N27" s="107">
        <f>IF(M27&lt;=251, VLOOKUP(B3, 'Look Up Table'!I:J, 2, TRUE) * L27, 0)</f>
        <v>400</v>
      </c>
      <c r="O27" s="107">
        <f>IF(N27&gt;0, N27 - M27, 0)</f>
        <v>200</v>
      </c>
      <c r="P27" s="107">
        <f>IF(N27 = 0, K27 * B6, 0)</f>
        <v>0</v>
      </c>
      <c r="Q27" s="93"/>
      <c r="R27" s="93"/>
    </row>
    <row r="28" spans="1:18" x14ac:dyDescent="0.25">
      <c r="A28" s="96">
        <v>45747</v>
      </c>
      <c r="B28" s="93" t="s">
        <v>400</v>
      </c>
      <c r="C28" s="93">
        <v>24047</v>
      </c>
      <c r="D28" s="93" t="s">
        <v>388</v>
      </c>
      <c r="E28" s="93" t="s">
        <v>389</v>
      </c>
      <c r="F28" s="93">
        <v>24</v>
      </c>
      <c r="G28" s="93" t="s">
        <v>1319</v>
      </c>
      <c r="H28" s="93" t="s">
        <v>1323</v>
      </c>
      <c r="I28" s="93" t="s">
        <v>59</v>
      </c>
      <c r="J28" s="107">
        <v>1852.23</v>
      </c>
      <c r="K28" s="107">
        <v>-11.62</v>
      </c>
      <c r="L28" s="93">
        <v>1</v>
      </c>
      <c r="M28" s="107">
        <v>200</v>
      </c>
      <c r="N28" s="107">
        <f>IF(M28&lt;=251, VLOOKUP(B3, 'Look Up Table'!I:J, 2, TRUE) * L28, 0)</f>
        <v>400</v>
      </c>
      <c r="O28" s="107">
        <f>IF(N28&gt;0, N28 - M28, 0)</f>
        <v>200</v>
      </c>
      <c r="P28" s="107">
        <f>IF(N28 = 0, K28 * B6, 0)</f>
        <v>0</v>
      </c>
      <c r="Q28" s="93"/>
      <c r="R28" s="93"/>
    </row>
    <row r="29" spans="1:18" x14ac:dyDescent="0.25">
      <c r="A29" s="104"/>
      <c r="B29" s="105"/>
      <c r="C29" s="105"/>
      <c r="D29" s="105"/>
      <c r="E29" s="105"/>
      <c r="F29" s="105"/>
      <c r="G29" s="105"/>
      <c r="H29" s="105"/>
      <c r="I29" s="105"/>
      <c r="J29" s="108">
        <f>SUM(J8:J28)</f>
        <v>58362.340000000004</v>
      </c>
      <c r="K29" s="108">
        <f>SUM(K8:K28)</f>
        <v>21727.94</v>
      </c>
      <c r="L29" s="105">
        <f>SUM(L8:L28)</f>
        <v>17.5</v>
      </c>
      <c r="M29" s="108">
        <f>SUM(M8:M28)</f>
        <v>10419.870000000001</v>
      </c>
      <c r="N29" s="108">
        <f>SUM(N8:N28)</f>
        <v>4400</v>
      </c>
      <c r="O29" s="108">
        <f>SUM(O8:O28)</f>
        <v>2049.83</v>
      </c>
      <c r="P29" s="108">
        <f>SUM(P8:P28)</f>
        <v>3138.2148000000002</v>
      </c>
      <c r="Q29" s="93"/>
      <c r="R29" s="93"/>
    </row>
    <row r="31" spans="1:18" x14ac:dyDescent="0.25">
      <c r="J31" s="99" t="s">
        <v>1451</v>
      </c>
      <c r="M31" s="106">
        <f>-VLOOKUP(B2, '3213'!A:G, 7, 0)</f>
        <v>-2728.31</v>
      </c>
    </row>
    <row r="32" spans="1:18" x14ac:dyDescent="0.25">
      <c r="J32" s="99"/>
      <c r="M32" s="106"/>
    </row>
    <row r="33" spans="1:13" x14ac:dyDescent="0.25">
      <c r="J33" s="99" t="s">
        <v>1264</v>
      </c>
      <c r="K33" s="92">
        <v>0.18</v>
      </c>
      <c r="M33" s="106">
        <f>M29</f>
        <v>10419.870000000001</v>
      </c>
    </row>
    <row r="34" spans="1:13" x14ac:dyDescent="0.25">
      <c r="J34" s="99"/>
      <c r="M34" s="106"/>
    </row>
    <row r="35" spans="1:13" x14ac:dyDescent="0.25">
      <c r="A35" s="110"/>
      <c r="B35" s="109"/>
      <c r="C35" s="109"/>
      <c r="D35" t="s">
        <v>1448</v>
      </c>
      <c r="J35" s="99" t="s">
        <v>1265</v>
      </c>
      <c r="K35" s="92">
        <f>B6</f>
        <v>7.0000000000000007E-2</v>
      </c>
      <c r="M35" s="106">
        <f>P29</f>
        <v>3138.2148000000002</v>
      </c>
    </row>
    <row r="36" spans="1:13" x14ac:dyDescent="0.25">
      <c r="J36" s="99"/>
      <c r="M36" s="106"/>
    </row>
    <row r="37" spans="1:13" x14ac:dyDescent="0.25">
      <c r="J37" s="99" t="s">
        <v>1452</v>
      </c>
      <c r="M37" s="106">
        <f>O29</f>
        <v>2049.83</v>
      </c>
    </row>
    <row r="38" spans="1:13" x14ac:dyDescent="0.25">
      <c r="J38" s="99"/>
      <c r="M38" s="106"/>
    </row>
    <row r="39" spans="1:13" x14ac:dyDescent="0.25">
      <c r="J39" s="99" t="s">
        <v>1453</v>
      </c>
      <c r="M39" s="106">
        <f>SUM(P29, O29)</f>
        <v>5188.0447999999997</v>
      </c>
    </row>
    <row r="40" spans="1:13" x14ac:dyDescent="0.25">
      <c r="J40" s="99"/>
      <c r="M40" s="106"/>
    </row>
    <row r="41" spans="1:13" x14ac:dyDescent="0.25">
      <c r="A41" s="110"/>
      <c r="B41" s="109"/>
      <c r="C41" s="109"/>
      <c r="D41" t="s">
        <v>1449</v>
      </c>
      <c r="J41" s="99" t="s">
        <v>1454</v>
      </c>
      <c r="M41" s="106">
        <f>J29</f>
        <v>58362.340000000004</v>
      </c>
    </row>
    <row r="42" spans="1:13" x14ac:dyDescent="0.25">
      <c r="J42" s="99"/>
      <c r="M42" s="106"/>
    </row>
    <row r="43" spans="1:13" x14ac:dyDescent="0.25">
      <c r="J43" s="99" t="s">
        <v>1455</v>
      </c>
      <c r="K43" s="92">
        <v>-0.25</v>
      </c>
      <c r="M43" s="106">
        <f>K43 * M41</f>
        <v>-14590.585000000001</v>
      </c>
    </row>
    <row r="44" spans="1:13" x14ac:dyDescent="0.25">
      <c r="J44" s="99"/>
      <c r="M44" s="106"/>
    </row>
    <row r="45" spans="1:13" x14ac:dyDescent="0.25">
      <c r="J45" s="99" t="s">
        <v>1456</v>
      </c>
      <c r="M45" s="106">
        <f>M41 + M43</f>
        <v>43771.755000000005</v>
      </c>
    </row>
    <row r="46" spans="1:13" x14ac:dyDescent="0.25">
      <c r="J46" s="99"/>
      <c r="M46" s="106"/>
    </row>
    <row r="47" spans="1:13" x14ac:dyDescent="0.25">
      <c r="J47" s="99" t="s">
        <v>1457</v>
      </c>
      <c r="K47" s="92">
        <v>0.05</v>
      </c>
      <c r="M47" s="106">
        <f>K47 * M45</f>
        <v>2188.5877500000001</v>
      </c>
    </row>
    <row r="48" spans="1:13" x14ac:dyDescent="0.25">
      <c r="J48" s="99"/>
      <c r="M48" s="106"/>
    </row>
    <row r="49" spans="10:15" x14ac:dyDescent="0.25">
      <c r="J49" s="99" t="s">
        <v>1458</v>
      </c>
      <c r="K49">
        <f>VLOOKUP(B2,'Pay Summary'!A:D,4,0)</f>
        <v>2</v>
      </c>
      <c r="M49" s="106">
        <f>IF(K49 = 1, 500, 0)</f>
        <v>0</v>
      </c>
    </row>
    <row r="50" spans="10:15" x14ac:dyDescent="0.25">
      <c r="J50" s="99"/>
      <c r="M50" s="106"/>
    </row>
    <row r="51" spans="10:15" x14ac:dyDescent="0.25">
      <c r="J51" s="99" t="s">
        <v>1450</v>
      </c>
      <c r="K51">
        <f>L29</f>
        <v>17.5</v>
      </c>
      <c r="M51" s="106">
        <f>VLOOKUP(K51, 'Look Up Table'!E:F, 2, TRUE)</f>
        <v>1500</v>
      </c>
    </row>
    <row r="52" spans="10:15" x14ac:dyDescent="0.25">
      <c r="J52" s="99"/>
      <c r="M52" s="106"/>
    </row>
    <row r="53" spans="10:15" x14ac:dyDescent="0.25">
      <c r="J53" s="99" t="s">
        <v>1306</v>
      </c>
      <c r="K53" s="111" t="str">
        <f>B4</f>
        <v>3P</v>
      </c>
      <c r="M53" s="106">
        <f>IF(B5&gt;=3,IF(B4="3P",L29*50,IF(B4="A",0,IF(B4="B",L29*-50))),0)</f>
        <v>875</v>
      </c>
      <c r="N53" s="99" t="s">
        <v>1463</v>
      </c>
      <c r="O53" s="112">
        <f>'NPS Sheet'!X51</f>
        <v>0.91700000000000004</v>
      </c>
    </row>
    <row r="54" spans="10:15" x14ac:dyDescent="0.25">
      <c r="J54" s="99"/>
      <c r="M54" s="106"/>
    </row>
    <row r="55" spans="10:15" x14ac:dyDescent="0.25">
      <c r="J55" s="99" t="s">
        <v>1459</v>
      </c>
      <c r="M55" s="106">
        <f>SUM(M51, M53, M49)</f>
        <v>2375</v>
      </c>
    </row>
    <row r="56" spans="10:15" x14ac:dyDescent="0.25">
      <c r="J56" s="99"/>
      <c r="M56" s="106"/>
    </row>
    <row r="57" spans="10:15" x14ac:dyDescent="0.25">
      <c r="J57" s="99" t="s">
        <v>1460</v>
      </c>
      <c r="M57" s="106">
        <f>IFERROR(VLOOKUP(B2,SPIFFS!A:H,8,0),0)</f>
        <v>1601.51</v>
      </c>
    </row>
    <row r="58" spans="10:15" x14ac:dyDescent="0.25">
      <c r="J58" s="99"/>
      <c r="M58" s="106"/>
    </row>
    <row r="59" spans="10:15" x14ac:dyDescent="0.25">
      <c r="J59" s="99" t="s">
        <v>1461</v>
      </c>
      <c r="M59" s="106">
        <f>SUM(M33, M39, M47, M55, M31, M57)</f>
        <v>19044.702549999998</v>
      </c>
    </row>
    <row r="60" spans="10:15" x14ac:dyDescent="0.25">
      <c r="J60" s="99"/>
      <c r="M60" s="106"/>
    </row>
    <row r="61" spans="10:15" x14ac:dyDescent="0.25">
      <c r="J61" s="99" t="s">
        <v>1462</v>
      </c>
      <c r="M61" s="106">
        <f>IF(M59&lt;0, SUM(M31, M55, M47, M39), 0)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02BD4-B049-43FC-B467-B23AD37D16BD}">
  <dimension ref="A1:R58"/>
  <sheetViews>
    <sheetView workbookViewId="0"/>
  </sheetViews>
  <sheetFormatPr defaultRowHeight="15" x14ac:dyDescent="0.25"/>
  <cols>
    <col min="1" max="1" width="23" style="95" bestFit="1" customWidth="1"/>
    <col min="2" max="2" width="20" bestFit="1" customWidth="1"/>
    <col min="3" max="3" width="11.42578125" bestFit="1" customWidth="1"/>
    <col min="4" max="4" width="28.5703125" bestFit="1" customWidth="1"/>
    <col min="5" max="5" width="10.140625" bestFit="1" customWidth="1"/>
    <col min="6" max="6" width="5" bestFit="1" customWidth="1"/>
    <col min="8" max="8" width="15.42578125" bestFit="1" customWidth="1"/>
    <col min="9" max="9" width="9.5703125" bestFit="1" customWidth="1"/>
    <col min="10" max="10" width="23.140625" bestFit="1" customWidth="1"/>
    <col min="11" max="11" width="18.42578125" bestFit="1" customWidth="1"/>
    <col min="12" max="12" width="5.7109375" bestFit="1" customWidth="1"/>
    <col min="13" max="13" width="20.140625" bestFit="1" customWidth="1"/>
    <col min="14" max="14" width="13.7109375" bestFit="1" customWidth="1"/>
    <col min="15" max="15" width="11.5703125" bestFit="1" customWidth="1"/>
    <col min="16" max="16" width="24.85546875" bestFit="1" customWidth="1"/>
  </cols>
  <sheetData>
    <row r="1" spans="1:18" x14ac:dyDescent="0.25">
      <c r="A1" s="101" t="s">
        <v>1249</v>
      </c>
      <c r="B1" s="100" t="s">
        <v>15</v>
      </c>
    </row>
    <row r="2" spans="1:18" x14ac:dyDescent="0.25">
      <c r="A2" s="101" t="s">
        <v>1307</v>
      </c>
      <c r="B2" s="100">
        <v>12104</v>
      </c>
    </row>
    <row r="3" spans="1:18" x14ac:dyDescent="0.25">
      <c r="A3" s="101" t="s">
        <v>1305</v>
      </c>
      <c r="B3" s="100">
        <f>VLOOKUP(B2, '90'!A:E, 5, 0)</f>
        <v>22</v>
      </c>
    </row>
    <row r="4" spans="1:18" x14ac:dyDescent="0.25">
      <c r="A4" s="101" t="s">
        <v>1306</v>
      </c>
      <c r="B4" s="100" t="str">
        <f>IFERROR(VLOOKUP(B2, NPS!B:H, 7, 0), 0)</f>
        <v>3P</v>
      </c>
    </row>
    <row r="5" spans="1:18" x14ac:dyDescent="0.25">
      <c r="A5" s="101" t="s">
        <v>1257</v>
      </c>
      <c r="B5" s="100">
        <f>IFERROR(VLOOKUP(B2, NPS!B:H, 3, 0), 0)</f>
        <v>4</v>
      </c>
    </row>
    <row r="6" spans="1:18" x14ac:dyDescent="0.25">
      <c r="A6" s="101" t="s">
        <v>1447</v>
      </c>
      <c r="B6" s="103">
        <f>VLOOKUP(15.5, 'Look Up Table'!A:B, 2, TRUE)</f>
        <v>0.04</v>
      </c>
    </row>
    <row r="7" spans="1:18" ht="50.1" customHeight="1" x14ac:dyDescent="0.25">
      <c r="A7" s="102" t="s">
        <v>43</v>
      </c>
      <c r="B7" s="80" t="s">
        <v>1308</v>
      </c>
      <c r="C7" s="80" t="s">
        <v>1309</v>
      </c>
      <c r="D7" s="80" t="s">
        <v>48</v>
      </c>
      <c r="E7" s="80" t="s">
        <v>1310</v>
      </c>
      <c r="F7" s="80" t="s">
        <v>1311</v>
      </c>
      <c r="G7" s="80" t="s">
        <v>1312</v>
      </c>
      <c r="H7" s="80" t="s">
        <v>1313</v>
      </c>
      <c r="I7" s="80" t="s">
        <v>51</v>
      </c>
      <c r="J7" s="80" t="s">
        <v>1314</v>
      </c>
      <c r="K7" s="80" t="s">
        <v>1315</v>
      </c>
      <c r="L7" s="80" t="s">
        <v>54</v>
      </c>
      <c r="M7" s="80" t="s">
        <v>55</v>
      </c>
      <c r="N7" s="80" t="s">
        <v>1316</v>
      </c>
      <c r="O7" s="80" t="s">
        <v>1317</v>
      </c>
      <c r="P7" s="80" t="s">
        <v>1318</v>
      </c>
    </row>
    <row r="8" spans="1:18" x14ac:dyDescent="0.25">
      <c r="A8" s="96">
        <v>45722</v>
      </c>
      <c r="B8" s="93">
        <v>9335</v>
      </c>
      <c r="C8" s="93">
        <v>23587</v>
      </c>
      <c r="D8" s="93" t="s">
        <v>401</v>
      </c>
      <c r="E8" s="93" t="s">
        <v>402</v>
      </c>
      <c r="F8" s="93">
        <v>25</v>
      </c>
      <c r="G8" s="93" t="s">
        <v>1321</v>
      </c>
      <c r="H8" s="93" t="s">
        <v>1326</v>
      </c>
      <c r="I8" s="93" t="s">
        <v>59</v>
      </c>
      <c r="J8" s="107">
        <v>731.49</v>
      </c>
      <c r="K8" s="107">
        <v>-72.19</v>
      </c>
      <c r="L8" s="93">
        <v>0.5</v>
      </c>
      <c r="M8" s="107">
        <v>100</v>
      </c>
      <c r="N8" s="107">
        <f>IF(M8&lt;=251, VLOOKUP(B3, 'Look Up Table'!I:J, 2, TRUE) * L8, 0)</f>
        <v>175</v>
      </c>
      <c r="O8" s="107">
        <f>IF(N8&gt;0, N8 - M8, 0)</f>
        <v>75</v>
      </c>
      <c r="P8" s="107">
        <f>IF(N8 = 0, K8 * B6, 0)</f>
        <v>0</v>
      </c>
      <c r="Q8" s="93"/>
      <c r="R8" s="93"/>
    </row>
    <row r="9" spans="1:18" x14ac:dyDescent="0.25">
      <c r="A9" s="96">
        <v>45723</v>
      </c>
      <c r="B9" s="93">
        <v>9359</v>
      </c>
      <c r="C9" s="93">
        <v>23630</v>
      </c>
      <c r="D9" s="93" t="s">
        <v>405</v>
      </c>
      <c r="E9" s="93" t="s">
        <v>406</v>
      </c>
      <c r="F9" s="93">
        <v>25</v>
      </c>
      <c r="G9" s="93" t="s">
        <v>1321</v>
      </c>
      <c r="H9" s="93" t="s">
        <v>1358</v>
      </c>
      <c r="I9" s="93" t="s">
        <v>59</v>
      </c>
      <c r="J9" s="107">
        <v>222</v>
      </c>
      <c r="K9" s="107">
        <v>5665.5</v>
      </c>
      <c r="L9" s="93">
        <v>1</v>
      </c>
      <c r="M9" s="107">
        <v>1019.79</v>
      </c>
      <c r="N9" s="107">
        <f>IF(M9&lt;=251, VLOOKUP(B3, 'Look Up Table'!I:J, 2, TRUE) * L9, 0)</f>
        <v>0</v>
      </c>
      <c r="O9" s="107">
        <f>IF(N9&gt;0, N9 - M9, 0)</f>
        <v>0</v>
      </c>
      <c r="P9" s="107">
        <f>IF(N9 = 0, K9 * B6, 0)</f>
        <v>226.62</v>
      </c>
      <c r="Q9" s="93"/>
      <c r="R9" s="93"/>
    </row>
    <row r="10" spans="1:18" x14ac:dyDescent="0.25">
      <c r="A10" s="96">
        <v>45727</v>
      </c>
      <c r="B10" s="93">
        <v>9399</v>
      </c>
      <c r="C10" s="93">
        <v>23709</v>
      </c>
      <c r="D10" s="93" t="s">
        <v>409</v>
      </c>
      <c r="E10" s="93" t="s">
        <v>410</v>
      </c>
      <c r="F10" s="93">
        <v>25</v>
      </c>
      <c r="G10" s="93" t="s">
        <v>1321</v>
      </c>
      <c r="H10" s="93" t="s">
        <v>1324</v>
      </c>
      <c r="I10" s="93" t="s">
        <v>59</v>
      </c>
      <c r="J10" s="107">
        <v>3867.68</v>
      </c>
      <c r="K10" s="107">
        <v>-1382.3</v>
      </c>
      <c r="L10" s="93">
        <v>1</v>
      </c>
      <c r="M10" s="107">
        <v>200</v>
      </c>
      <c r="N10" s="107">
        <f>IF(M10&lt;=251, VLOOKUP(B3, 'Look Up Table'!I:J, 2, TRUE) * L10, 0)</f>
        <v>350</v>
      </c>
      <c r="O10" s="107">
        <f>IF(N10&gt;0, N10 - M10, 0)</f>
        <v>150</v>
      </c>
      <c r="P10" s="107">
        <f>IF(N10 = 0, K10 * B6, 0)</f>
        <v>0</v>
      </c>
      <c r="Q10" s="93"/>
      <c r="R10" s="93"/>
    </row>
    <row r="11" spans="1:18" x14ac:dyDescent="0.25">
      <c r="A11" s="96">
        <v>45728</v>
      </c>
      <c r="B11" s="93">
        <v>9217</v>
      </c>
      <c r="C11" s="93">
        <v>23449</v>
      </c>
      <c r="D11" s="93" t="s">
        <v>341</v>
      </c>
      <c r="E11" s="93" t="s">
        <v>342</v>
      </c>
      <c r="F11" s="93">
        <v>25</v>
      </c>
      <c r="G11" s="93" t="s">
        <v>1321</v>
      </c>
      <c r="H11" s="93" t="s">
        <v>1358</v>
      </c>
      <c r="I11" s="93" t="s">
        <v>59</v>
      </c>
      <c r="J11" s="107">
        <v>1595.89</v>
      </c>
      <c r="K11" s="107">
        <v>5152.75</v>
      </c>
      <c r="L11" s="93">
        <v>0.5</v>
      </c>
      <c r="M11" s="107">
        <v>927.5</v>
      </c>
      <c r="N11" s="107">
        <f>IF(M11&lt;=251, VLOOKUP(B3, 'Look Up Table'!I:J, 2, TRUE) * L11, 0)</f>
        <v>0</v>
      </c>
      <c r="O11" s="107">
        <f>IF(N11&gt;0, N11 - M11, 0)</f>
        <v>0</v>
      </c>
      <c r="P11" s="107">
        <f>IF(N11 = 0, K11 * B6, 0)</f>
        <v>206.11</v>
      </c>
      <c r="Q11" s="93"/>
      <c r="R11" s="93"/>
    </row>
    <row r="12" spans="1:18" x14ac:dyDescent="0.25">
      <c r="A12" s="96">
        <v>45729</v>
      </c>
      <c r="B12" s="93">
        <v>9485</v>
      </c>
      <c r="C12" s="93">
        <v>249646</v>
      </c>
      <c r="D12" s="93" t="s">
        <v>411</v>
      </c>
      <c r="E12" s="93" t="s">
        <v>412</v>
      </c>
      <c r="F12" s="93">
        <v>25</v>
      </c>
      <c r="G12" s="93" t="s">
        <v>1321</v>
      </c>
      <c r="H12" s="93" t="s">
        <v>1348</v>
      </c>
      <c r="I12" s="93" t="s">
        <v>59</v>
      </c>
      <c r="J12" s="107">
        <v>2184.77</v>
      </c>
      <c r="K12" s="107">
        <v>-3803.16</v>
      </c>
      <c r="L12" s="93">
        <v>1</v>
      </c>
      <c r="M12" s="107">
        <v>200</v>
      </c>
      <c r="N12" s="107">
        <f>IF(M12&lt;=251, VLOOKUP(B3, 'Look Up Table'!I:J, 2, TRUE) * L12, 0)</f>
        <v>350</v>
      </c>
      <c r="O12" s="107">
        <f>IF(N12&gt;0, N12 - M12, 0)</f>
        <v>150</v>
      </c>
      <c r="P12" s="107">
        <f>IF(N12 = 0, K12 * B6, 0)</f>
        <v>0</v>
      </c>
      <c r="Q12" s="93"/>
      <c r="R12" s="93"/>
    </row>
    <row r="13" spans="1:18" x14ac:dyDescent="0.25">
      <c r="A13" s="96">
        <v>45734</v>
      </c>
      <c r="B13" s="93">
        <v>9571</v>
      </c>
      <c r="C13" s="93">
        <v>24006</v>
      </c>
      <c r="D13" s="93" t="s">
        <v>415</v>
      </c>
      <c r="E13" s="93" t="s">
        <v>416</v>
      </c>
      <c r="F13" s="93">
        <v>25</v>
      </c>
      <c r="G13" s="93" t="s">
        <v>1321</v>
      </c>
      <c r="H13" s="93" t="s">
        <v>1331</v>
      </c>
      <c r="I13" s="93" t="s">
        <v>59</v>
      </c>
      <c r="J13" s="107">
        <v>9011.2800000000007</v>
      </c>
      <c r="K13" s="107">
        <v>3882</v>
      </c>
      <c r="L13" s="93">
        <v>1</v>
      </c>
      <c r="M13" s="107">
        <v>698.76</v>
      </c>
      <c r="N13" s="107">
        <f>IF(M13&lt;=251, VLOOKUP(B3, 'Look Up Table'!I:J, 2, TRUE) * L13, 0)</f>
        <v>0</v>
      </c>
      <c r="O13" s="107">
        <f>IF(N13&gt;0, N13 - M13, 0)</f>
        <v>0</v>
      </c>
      <c r="P13" s="107">
        <f>IF(N13 = 0, K13 * B6, 0)</f>
        <v>155.28</v>
      </c>
      <c r="Q13" s="93"/>
      <c r="R13" s="93"/>
    </row>
    <row r="14" spans="1:18" x14ac:dyDescent="0.25">
      <c r="A14" s="96">
        <v>45734</v>
      </c>
      <c r="B14" s="93">
        <v>9552</v>
      </c>
      <c r="C14" s="93">
        <v>23978</v>
      </c>
      <c r="D14" s="93" t="s">
        <v>419</v>
      </c>
      <c r="E14" s="93" t="s">
        <v>420</v>
      </c>
      <c r="F14" s="93">
        <v>25</v>
      </c>
      <c r="G14" s="93" t="s">
        <v>1321</v>
      </c>
      <c r="H14" s="93" t="s">
        <v>1328</v>
      </c>
      <c r="I14" s="93" t="s">
        <v>59</v>
      </c>
      <c r="J14" s="107">
        <v>1258</v>
      </c>
      <c r="K14" s="107">
        <v>-795.7</v>
      </c>
      <c r="L14" s="93">
        <v>1</v>
      </c>
      <c r="M14" s="107">
        <v>200</v>
      </c>
      <c r="N14" s="107">
        <f>IF(M14&lt;=251, VLOOKUP(B3, 'Look Up Table'!I:J, 2, TRUE) * L14, 0)</f>
        <v>350</v>
      </c>
      <c r="O14" s="107">
        <f>IF(N14&gt;0, N14 - M14, 0)</f>
        <v>150</v>
      </c>
      <c r="P14" s="107">
        <f>IF(N14 = 0, K14 * B6, 0)</f>
        <v>0</v>
      </c>
      <c r="Q14" s="93"/>
      <c r="R14" s="93"/>
    </row>
    <row r="15" spans="1:18" x14ac:dyDescent="0.25">
      <c r="A15" s="96">
        <v>45741</v>
      </c>
      <c r="B15" s="93">
        <v>9608</v>
      </c>
      <c r="C15" s="93">
        <v>275659</v>
      </c>
      <c r="D15" s="93" t="s">
        <v>425</v>
      </c>
      <c r="E15" s="93" t="s">
        <v>426</v>
      </c>
      <c r="F15" s="93">
        <v>25</v>
      </c>
      <c r="G15" s="93" t="s">
        <v>1321</v>
      </c>
      <c r="H15" s="93" t="s">
        <v>1370</v>
      </c>
      <c r="I15" s="93" t="s">
        <v>59</v>
      </c>
      <c r="J15" s="107">
        <v>2968</v>
      </c>
      <c r="K15" s="107">
        <v>6320.41</v>
      </c>
      <c r="L15" s="93">
        <v>1</v>
      </c>
      <c r="M15" s="107">
        <v>1137.67</v>
      </c>
      <c r="N15" s="107">
        <f>IF(M15&lt;=251, VLOOKUP(B3, 'Look Up Table'!I:J, 2, TRUE) * L15, 0)</f>
        <v>0</v>
      </c>
      <c r="O15" s="107">
        <f>IF(N15&gt;0, N15 - M15, 0)</f>
        <v>0</v>
      </c>
      <c r="P15" s="107">
        <f>IF(N15 = 0, K15 * B6, 0)</f>
        <v>252.81639999999999</v>
      </c>
      <c r="Q15" s="93"/>
      <c r="R15" s="93"/>
    </row>
    <row r="16" spans="1:18" x14ac:dyDescent="0.25">
      <c r="A16" s="96">
        <v>45741</v>
      </c>
      <c r="B16" s="93">
        <v>9291</v>
      </c>
      <c r="C16" s="93">
        <v>23533</v>
      </c>
      <c r="D16" s="93" t="s">
        <v>429</v>
      </c>
      <c r="E16" s="93" t="s">
        <v>430</v>
      </c>
      <c r="F16" s="93">
        <v>24</v>
      </c>
      <c r="G16" s="93" t="s">
        <v>1371</v>
      </c>
      <c r="H16" s="93" t="s">
        <v>1372</v>
      </c>
      <c r="I16" s="93" t="s">
        <v>86</v>
      </c>
      <c r="J16" s="107">
        <v>4958.01</v>
      </c>
      <c r="K16" s="107">
        <v>4105.1499999999996</v>
      </c>
      <c r="L16" s="93">
        <v>1</v>
      </c>
      <c r="M16" s="107">
        <v>738.93</v>
      </c>
      <c r="N16" s="107">
        <f>IF(M16&lt;=251, VLOOKUP(B3, 'Look Up Table'!I:J, 2, TRUE) * L16, 0)</f>
        <v>0</v>
      </c>
      <c r="O16" s="107">
        <f>IF(N16&gt;0, N16 - M16, 0)</f>
        <v>0</v>
      </c>
      <c r="P16" s="107">
        <f>IF(N16 = 0, K16 * B6, 0)</f>
        <v>164.20599999999999</v>
      </c>
      <c r="Q16" s="93"/>
      <c r="R16" s="93"/>
    </row>
    <row r="17" spans="1:18" x14ac:dyDescent="0.25">
      <c r="A17" s="96">
        <v>45743</v>
      </c>
      <c r="B17" s="93">
        <v>9043</v>
      </c>
      <c r="C17" s="93">
        <v>23180</v>
      </c>
      <c r="D17" s="93" t="s">
        <v>432</v>
      </c>
      <c r="E17" s="93" t="s">
        <v>433</v>
      </c>
      <c r="F17" s="93">
        <v>25</v>
      </c>
      <c r="G17" s="93" t="s">
        <v>1321</v>
      </c>
      <c r="H17" s="93" t="s">
        <v>1358</v>
      </c>
      <c r="I17" s="93" t="s">
        <v>59</v>
      </c>
      <c r="J17" s="107">
        <v>6417.9</v>
      </c>
      <c r="K17" s="107">
        <v>5610</v>
      </c>
      <c r="L17" s="93">
        <v>1</v>
      </c>
      <c r="M17" s="107">
        <v>1009.8</v>
      </c>
      <c r="N17" s="107">
        <f>IF(M17&lt;=251, VLOOKUP(B3, 'Look Up Table'!I:J, 2, TRUE) * L17, 0)</f>
        <v>0</v>
      </c>
      <c r="O17" s="107">
        <f>IF(N17&gt;0, N17 - M17, 0)</f>
        <v>0</v>
      </c>
      <c r="P17" s="107">
        <f>IF(N17 = 0, K17 * B6, 0)</f>
        <v>224.4</v>
      </c>
      <c r="Q17" s="93"/>
      <c r="R17" s="93"/>
    </row>
    <row r="18" spans="1:18" x14ac:dyDescent="0.25">
      <c r="A18" s="96">
        <v>45743</v>
      </c>
      <c r="B18" s="93">
        <v>9731</v>
      </c>
      <c r="C18" s="93">
        <v>24246</v>
      </c>
      <c r="D18" s="93" t="s">
        <v>434</v>
      </c>
      <c r="E18" s="93" t="s">
        <v>435</v>
      </c>
      <c r="F18" s="93">
        <v>25</v>
      </c>
      <c r="G18" s="93" t="s">
        <v>1321</v>
      </c>
      <c r="H18" s="93" t="s">
        <v>1324</v>
      </c>
      <c r="I18" s="93" t="s">
        <v>59</v>
      </c>
      <c r="J18" s="107">
        <v>2072.46</v>
      </c>
      <c r="K18" s="107">
        <v>2074.91</v>
      </c>
      <c r="L18" s="93">
        <v>1</v>
      </c>
      <c r="M18" s="107">
        <v>373.48</v>
      </c>
      <c r="N18" s="107">
        <f>IF(M18&lt;=251, VLOOKUP(B3, 'Look Up Table'!I:J, 2, TRUE) * L18, 0)</f>
        <v>0</v>
      </c>
      <c r="O18" s="107">
        <f>IF(N18&gt;0, N18 - M18, 0)</f>
        <v>0</v>
      </c>
      <c r="P18" s="107">
        <f>IF(N18 = 0, K18 * B6, 0)</f>
        <v>82.996399999999994</v>
      </c>
      <c r="Q18" s="93"/>
      <c r="R18" s="93"/>
    </row>
    <row r="19" spans="1:18" x14ac:dyDescent="0.25">
      <c r="A19" s="96">
        <v>45744</v>
      </c>
      <c r="B19" s="93">
        <v>9469</v>
      </c>
      <c r="C19" s="93">
        <v>23382</v>
      </c>
      <c r="D19" s="93" t="s">
        <v>421</v>
      </c>
      <c r="E19" s="93" t="s">
        <v>422</v>
      </c>
      <c r="F19" s="93">
        <v>25</v>
      </c>
      <c r="G19" s="93" t="s">
        <v>1319</v>
      </c>
      <c r="H19" s="93" t="s">
        <v>1333</v>
      </c>
      <c r="I19" s="93" t="s">
        <v>59</v>
      </c>
      <c r="J19" s="107">
        <v>4359.5200000000004</v>
      </c>
      <c r="K19" s="107">
        <v>2477</v>
      </c>
      <c r="L19" s="93">
        <v>0.5</v>
      </c>
      <c r="M19" s="107">
        <v>445.86</v>
      </c>
      <c r="N19" s="107">
        <f>IF(M19&lt;=251, VLOOKUP(B3, 'Look Up Table'!I:J, 2, TRUE) * L19, 0)</f>
        <v>0</v>
      </c>
      <c r="O19" s="107">
        <f>IF(N19&gt;0, N19 - M19, 0)</f>
        <v>0</v>
      </c>
      <c r="P19" s="107">
        <f>IF(N19 = 0, K19 * B6, 0)</f>
        <v>99.08</v>
      </c>
      <c r="Q19" s="93"/>
      <c r="R19" s="93"/>
    </row>
    <row r="20" spans="1:18" x14ac:dyDescent="0.25">
      <c r="A20" s="96">
        <v>45747</v>
      </c>
      <c r="B20" s="93">
        <v>9864</v>
      </c>
      <c r="C20" s="93">
        <v>262750</v>
      </c>
      <c r="D20" s="93" t="s">
        <v>438</v>
      </c>
      <c r="E20" s="93" t="s">
        <v>439</v>
      </c>
      <c r="F20" s="93">
        <v>25</v>
      </c>
      <c r="G20" s="93" t="s">
        <v>1321</v>
      </c>
      <c r="H20" s="93" t="s">
        <v>1370</v>
      </c>
      <c r="I20" s="93" t="s">
        <v>59</v>
      </c>
      <c r="J20" s="107">
        <v>5120.1000000000004</v>
      </c>
      <c r="K20" s="107">
        <v>363</v>
      </c>
      <c r="L20" s="93">
        <v>1</v>
      </c>
      <c r="M20" s="107">
        <v>200</v>
      </c>
      <c r="N20" s="107">
        <f>IF(M20&lt;=251, VLOOKUP(B3, 'Look Up Table'!I:J, 2, TRUE) * L20, 0)</f>
        <v>350</v>
      </c>
      <c r="O20" s="107">
        <f>IF(N20&gt;0, N20 - M20, 0)</f>
        <v>150</v>
      </c>
      <c r="P20" s="107">
        <f>IF(N20 = 0, K20 * B6, 0)</f>
        <v>0</v>
      </c>
      <c r="Q20" s="93"/>
      <c r="R20" s="93"/>
    </row>
    <row r="21" spans="1:18" x14ac:dyDescent="0.25">
      <c r="A21" s="96">
        <v>45747</v>
      </c>
      <c r="B21" s="93">
        <v>9907</v>
      </c>
      <c r="C21" s="93">
        <v>10950</v>
      </c>
      <c r="D21" s="93" t="s">
        <v>204</v>
      </c>
      <c r="E21" s="93" t="s">
        <v>205</v>
      </c>
      <c r="F21" s="93">
        <v>25</v>
      </c>
      <c r="G21" s="93" t="s">
        <v>1319</v>
      </c>
      <c r="H21" s="93" t="s">
        <v>1345</v>
      </c>
      <c r="I21" s="93" t="s">
        <v>59</v>
      </c>
      <c r="J21" s="107">
        <v>919.85</v>
      </c>
      <c r="K21" s="107">
        <v>-164.5</v>
      </c>
      <c r="L21" s="93">
        <v>0.5</v>
      </c>
      <c r="M21" s="107">
        <v>100</v>
      </c>
      <c r="N21" s="107">
        <f>IF(M21&lt;=251, VLOOKUP(B3, 'Look Up Table'!I:J, 2, TRUE) * L21, 0)</f>
        <v>175</v>
      </c>
      <c r="O21" s="107">
        <f>IF(N21&gt;0, N21 - M21, 0)</f>
        <v>75</v>
      </c>
      <c r="P21" s="107">
        <f>IF(N21 = 0, K21 * B6, 0)</f>
        <v>0</v>
      </c>
      <c r="Q21" s="93"/>
      <c r="R21" s="93"/>
    </row>
    <row r="22" spans="1:18" x14ac:dyDescent="0.25">
      <c r="A22" s="96">
        <v>45747</v>
      </c>
      <c r="B22" s="93" t="s">
        <v>442</v>
      </c>
      <c r="C22" s="93">
        <v>24191</v>
      </c>
      <c r="D22" s="93" t="s">
        <v>436</v>
      </c>
      <c r="E22" s="93" t="s">
        <v>437</v>
      </c>
      <c r="F22" s="93">
        <v>25</v>
      </c>
      <c r="G22" s="93" t="s">
        <v>1321</v>
      </c>
      <c r="H22" s="93" t="s">
        <v>1328</v>
      </c>
      <c r="I22" s="93" t="s">
        <v>59</v>
      </c>
      <c r="J22" s="107">
        <v>5401.62</v>
      </c>
      <c r="K22" s="107">
        <v>16308.43</v>
      </c>
      <c r="L22" s="93">
        <v>1</v>
      </c>
      <c r="M22" s="107">
        <v>2935.52</v>
      </c>
      <c r="N22" s="107">
        <f>IF(M22&lt;=251, VLOOKUP(B3, 'Look Up Table'!I:J, 2, TRUE) * L22, 0)</f>
        <v>0</v>
      </c>
      <c r="O22" s="107">
        <f>IF(N22&gt;0, N22 - M22, 0)</f>
        <v>0</v>
      </c>
      <c r="P22" s="107">
        <f>IF(N22 = 0, K22 * B6, 0)</f>
        <v>652.33720000000005</v>
      </c>
      <c r="Q22" s="93"/>
      <c r="R22" s="93"/>
    </row>
    <row r="23" spans="1:18" x14ac:dyDescent="0.25">
      <c r="A23" s="96">
        <v>45747</v>
      </c>
      <c r="B23" s="93">
        <v>9988</v>
      </c>
      <c r="C23" s="93">
        <v>24541</v>
      </c>
      <c r="D23" s="93" t="s">
        <v>104</v>
      </c>
      <c r="E23" s="93" t="s">
        <v>105</v>
      </c>
      <c r="F23" s="93">
        <v>25</v>
      </c>
      <c r="G23" s="93" t="s">
        <v>1319</v>
      </c>
      <c r="H23" s="93" t="s">
        <v>1333</v>
      </c>
      <c r="I23" s="93" t="s">
        <v>59</v>
      </c>
      <c r="J23" s="107">
        <v>151.06</v>
      </c>
      <c r="K23" s="107">
        <v>-2528.8000000000002</v>
      </c>
      <c r="L23" s="93">
        <v>0.5</v>
      </c>
      <c r="M23" s="107">
        <v>100</v>
      </c>
      <c r="N23" s="107">
        <f>IF(M23&lt;=251, VLOOKUP(B3, 'Look Up Table'!I:J, 2, TRUE) * L23, 0)</f>
        <v>175</v>
      </c>
      <c r="O23" s="107">
        <f>IF(N23&gt;0, N23 - M23, 0)</f>
        <v>75</v>
      </c>
      <c r="P23" s="107">
        <f>IF(N23 = 0, K23 * B6, 0)</f>
        <v>0</v>
      </c>
      <c r="Q23" s="93"/>
      <c r="R23" s="93"/>
    </row>
    <row r="24" spans="1:18" x14ac:dyDescent="0.25">
      <c r="A24" s="96">
        <v>45747</v>
      </c>
      <c r="B24" s="93">
        <v>9918</v>
      </c>
      <c r="C24" s="93">
        <v>24469</v>
      </c>
      <c r="D24" s="93" t="s">
        <v>443</v>
      </c>
      <c r="E24" s="93" t="s">
        <v>444</v>
      </c>
      <c r="F24" s="93">
        <v>25</v>
      </c>
      <c r="G24" s="93" t="s">
        <v>1319</v>
      </c>
      <c r="H24" s="93" t="s">
        <v>1366</v>
      </c>
      <c r="I24" s="93" t="s">
        <v>59</v>
      </c>
      <c r="J24" s="107">
        <v>1528.4</v>
      </c>
      <c r="K24" s="107">
        <v>151.37</v>
      </c>
      <c r="L24" s="93">
        <v>1</v>
      </c>
      <c r="M24" s="107">
        <v>200</v>
      </c>
      <c r="N24" s="107">
        <f>IF(M24&lt;=251, VLOOKUP(B3, 'Look Up Table'!I:J, 2, TRUE) * L24, 0)</f>
        <v>350</v>
      </c>
      <c r="O24" s="107">
        <f>IF(N24&gt;0, N24 - M24, 0)</f>
        <v>150</v>
      </c>
      <c r="P24" s="107">
        <f>IF(N24 = 0, K24 * B6, 0)</f>
        <v>0</v>
      </c>
      <c r="Q24" s="93"/>
      <c r="R24" s="93"/>
    </row>
    <row r="25" spans="1:18" x14ac:dyDescent="0.25">
      <c r="A25" s="96">
        <v>45747</v>
      </c>
      <c r="B25" s="93">
        <v>9790</v>
      </c>
      <c r="C25" s="93">
        <v>24307</v>
      </c>
      <c r="D25" s="93" t="s">
        <v>447</v>
      </c>
      <c r="E25" s="97" t="s">
        <v>448</v>
      </c>
      <c r="F25" s="93">
        <v>24</v>
      </c>
      <c r="G25" s="93" t="s">
        <v>1319</v>
      </c>
      <c r="H25" s="93" t="s">
        <v>1351</v>
      </c>
      <c r="I25" s="93" t="s">
        <v>86</v>
      </c>
      <c r="J25" s="107">
        <v>2599.86</v>
      </c>
      <c r="K25" s="107">
        <v>-3104.42</v>
      </c>
      <c r="L25" s="93">
        <v>1</v>
      </c>
      <c r="M25" s="107">
        <v>200</v>
      </c>
      <c r="N25" s="107">
        <f>IF(M25&lt;=251, VLOOKUP(B3, 'Look Up Table'!I:J, 2, TRUE) * L25, 0)</f>
        <v>350</v>
      </c>
      <c r="O25" s="107">
        <f>IF(N25&gt;0, N25 - M25, 0)</f>
        <v>150</v>
      </c>
      <c r="P25" s="107">
        <f>IF(N25 = 0, K25 * B6, 0)</f>
        <v>0</v>
      </c>
      <c r="Q25" s="93"/>
      <c r="R25" s="93"/>
    </row>
    <row r="26" spans="1:18" x14ac:dyDescent="0.25">
      <c r="A26" s="104"/>
      <c r="B26" s="105"/>
      <c r="C26" s="105"/>
      <c r="D26" s="105"/>
      <c r="E26" s="105"/>
      <c r="F26" s="105"/>
      <c r="G26" s="105"/>
      <c r="H26" s="105"/>
      <c r="I26" s="105"/>
      <c r="J26" s="108">
        <f>SUM(J8:J25)</f>
        <v>55367.89</v>
      </c>
      <c r="K26" s="108">
        <f>SUM(K8:K25)</f>
        <v>40259.450000000004</v>
      </c>
      <c r="L26" s="105">
        <f>SUM(L8:L25)</f>
        <v>15.5</v>
      </c>
      <c r="M26" s="108">
        <f>SUM(M8:M25)</f>
        <v>10787.31</v>
      </c>
      <c r="N26" s="108">
        <f>SUM(N8:N25)</f>
        <v>2625</v>
      </c>
      <c r="O26" s="108">
        <f>SUM(O8:O25)</f>
        <v>1125</v>
      </c>
      <c r="P26" s="108">
        <f>SUM(P8:P25)</f>
        <v>2063.846</v>
      </c>
      <c r="Q26" s="93"/>
      <c r="R26" s="93"/>
    </row>
    <row r="28" spans="1:18" x14ac:dyDescent="0.25">
      <c r="J28" s="99" t="s">
        <v>1451</v>
      </c>
      <c r="M28" s="106">
        <f>-VLOOKUP(B2, '3213'!A:G, 7, 0)</f>
        <v>-1758.9</v>
      </c>
    </row>
    <row r="29" spans="1:18" x14ac:dyDescent="0.25">
      <c r="J29" s="99"/>
      <c r="M29" s="106"/>
    </row>
    <row r="30" spans="1:18" x14ac:dyDescent="0.25">
      <c r="J30" s="99" t="s">
        <v>1264</v>
      </c>
      <c r="K30" s="92">
        <v>0.18</v>
      </c>
      <c r="M30" s="106">
        <f>M26</f>
        <v>10787.31</v>
      </c>
    </row>
    <row r="31" spans="1:18" x14ac:dyDescent="0.25">
      <c r="J31" s="99"/>
      <c r="M31" s="106"/>
    </row>
    <row r="32" spans="1:18" x14ac:dyDescent="0.25">
      <c r="A32" s="110"/>
      <c r="B32" s="109"/>
      <c r="C32" s="109"/>
      <c r="D32" t="s">
        <v>1448</v>
      </c>
      <c r="J32" s="99" t="s">
        <v>1265</v>
      </c>
      <c r="K32" s="92">
        <f>B6</f>
        <v>0.04</v>
      </c>
      <c r="M32" s="106">
        <f>P26</f>
        <v>2063.846</v>
      </c>
    </row>
    <row r="33" spans="1:13" x14ac:dyDescent="0.25">
      <c r="J33" s="99"/>
      <c r="M33" s="106"/>
    </row>
    <row r="34" spans="1:13" x14ac:dyDescent="0.25">
      <c r="J34" s="99" t="s">
        <v>1452</v>
      </c>
      <c r="M34" s="106">
        <f>O26</f>
        <v>1125</v>
      </c>
    </row>
    <row r="35" spans="1:13" x14ac:dyDescent="0.25">
      <c r="J35" s="99"/>
      <c r="M35" s="106"/>
    </row>
    <row r="36" spans="1:13" x14ac:dyDescent="0.25">
      <c r="J36" s="99" t="s">
        <v>1453</v>
      </c>
      <c r="M36" s="106">
        <f>SUM(P26, O26)</f>
        <v>3188.846</v>
      </c>
    </row>
    <row r="37" spans="1:13" x14ac:dyDescent="0.25">
      <c r="J37" s="99"/>
      <c r="M37" s="106"/>
    </row>
    <row r="38" spans="1:13" x14ac:dyDescent="0.25">
      <c r="A38" s="110"/>
      <c r="B38" s="109"/>
      <c r="C38" s="109"/>
      <c r="D38" t="s">
        <v>1449</v>
      </c>
      <c r="J38" s="99" t="s">
        <v>1454</v>
      </c>
      <c r="M38" s="106">
        <f>J26</f>
        <v>55367.89</v>
      </c>
    </row>
    <row r="39" spans="1:13" x14ac:dyDescent="0.25">
      <c r="J39" s="99"/>
      <c r="M39" s="106"/>
    </row>
    <row r="40" spans="1:13" x14ac:dyDescent="0.25">
      <c r="J40" s="99" t="s">
        <v>1455</v>
      </c>
      <c r="K40" s="92">
        <v>-0.25</v>
      </c>
      <c r="M40" s="106">
        <f>K40 * M38</f>
        <v>-13841.9725</v>
      </c>
    </row>
    <row r="41" spans="1:13" x14ac:dyDescent="0.25">
      <c r="J41" s="99"/>
      <c r="M41" s="106"/>
    </row>
    <row r="42" spans="1:13" x14ac:dyDescent="0.25">
      <c r="J42" s="99" t="s">
        <v>1456</v>
      </c>
      <c r="M42" s="106">
        <f>M38 + M40</f>
        <v>41525.917499999996</v>
      </c>
    </row>
    <row r="43" spans="1:13" x14ac:dyDescent="0.25">
      <c r="J43" s="99"/>
      <c r="M43" s="106"/>
    </row>
    <row r="44" spans="1:13" x14ac:dyDescent="0.25">
      <c r="J44" s="99" t="s">
        <v>1457</v>
      </c>
      <c r="K44" s="92">
        <v>0.05</v>
      </c>
      <c r="M44" s="106">
        <f>K44 * M42</f>
        <v>2076.2958749999998</v>
      </c>
    </row>
    <row r="45" spans="1:13" x14ac:dyDescent="0.25">
      <c r="J45" s="99"/>
      <c r="M45" s="106"/>
    </row>
    <row r="46" spans="1:13" x14ac:dyDescent="0.25">
      <c r="J46" s="99" t="s">
        <v>1458</v>
      </c>
      <c r="K46">
        <f>VLOOKUP(B2,'Pay Summary'!A:D,4,0)</f>
        <v>7</v>
      </c>
      <c r="M46" s="106">
        <f>IF(K46 = 1, 500, 0)</f>
        <v>0</v>
      </c>
    </row>
    <row r="47" spans="1:13" x14ac:dyDescent="0.25">
      <c r="J47" s="99"/>
      <c r="M47" s="106"/>
    </row>
    <row r="48" spans="1:13" x14ac:dyDescent="0.25">
      <c r="J48" s="99" t="s">
        <v>1450</v>
      </c>
      <c r="K48">
        <f>L26</f>
        <v>15.5</v>
      </c>
      <c r="M48" s="106">
        <f>VLOOKUP(K48, 'Look Up Table'!E:F, 2, TRUE)</f>
        <v>750</v>
      </c>
    </row>
    <row r="49" spans="10:15" x14ac:dyDescent="0.25">
      <c r="J49" s="99"/>
      <c r="M49" s="106"/>
    </row>
    <row r="50" spans="10:15" x14ac:dyDescent="0.25">
      <c r="J50" s="99" t="s">
        <v>1306</v>
      </c>
      <c r="K50" s="111" t="str">
        <f>B4</f>
        <v>3P</v>
      </c>
      <c r="M50" s="106">
        <f>IF(B5&gt;=3,IF(B4="3P",L26*50,IF(B4="A",0,IF(B4="B",L26*-50))),0)</f>
        <v>775</v>
      </c>
      <c r="N50" s="99" t="s">
        <v>1463</v>
      </c>
      <c r="O50" s="112">
        <f>'NPS Sheet'!X51</f>
        <v>0.91700000000000004</v>
      </c>
    </row>
    <row r="51" spans="10:15" x14ac:dyDescent="0.25">
      <c r="J51" s="99"/>
      <c r="M51" s="106"/>
    </row>
    <row r="52" spans="10:15" x14ac:dyDescent="0.25">
      <c r="J52" s="99" t="s">
        <v>1459</v>
      </c>
      <c r="M52" s="106">
        <f>SUM(M48, M50, M46)</f>
        <v>1525</v>
      </c>
    </row>
    <row r="53" spans="10:15" x14ac:dyDescent="0.25">
      <c r="J53" s="99"/>
      <c r="M53" s="106"/>
    </row>
    <row r="54" spans="10:15" x14ac:dyDescent="0.25">
      <c r="J54" s="99" t="s">
        <v>1460</v>
      </c>
      <c r="M54" s="106">
        <f>IFERROR(VLOOKUP(B2,SPIFFS!A:H,8,0),0)</f>
        <v>625</v>
      </c>
    </row>
    <row r="55" spans="10:15" x14ac:dyDescent="0.25">
      <c r="J55" s="99"/>
      <c r="M55" s="106"/>
    </row>
    <row r="56" spans="10:15" x14ac:dyDescent="0.25">
      <c r="J56" s="99" t="s">
        <v>1461</v>
      </c>
      <c r="M56" s="106">
        <f>SUM(M30, M36, M44, M52, M28, M54)</f>
        <v>16443.551874999997</v>
      </c>
    </row>
    <row r="57" spans="10:15" x14ac:dyDescent="0.25">
      <c r="J57" s="99"/>
      <c r="M57" s="106"/>
    </row>
    <row r="58" spans="10:15" x14ac:dyDescent="0.25">
      <c r="J58" s="99" t="s">
        <v>1462</v>
      </c>
      <c r="M58" s="106">
        <f>IF(M56&lt;0, SUM(M28, M52, M44, M36), 0)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9D36F-2152-4C10-84B8-3C8DAA30EE9F}">
  <dimension ref="A1:R49"/>
  <sheetViews>
    <sheetView workbookViewId="0"/>
  </sheetViews>
  <sheetFormatPr defaultRowHeight="15" x14ac:dyDescent="0.25"/>
  <cols>
    <col min="1" max="1" width="23" style="95" bestFit="1" customWidth="1"/>
    <col min="2" max="2" width="17.42578125" bestFit="1" customWidth="1"/>
    <col min="3" max="3" width="11.42578125" bestFit="1" customWidth="1"/>
    <col min="4" max="4" width="34.28515625" bestFit="1" customWidth="1"/>
    <col min="6" max="6" width="5" bestFit="1" customWidth="1"/>
    <col min="8" max="8" width="17.5703125" bestFit="1" customWidth="1"/>
    <col min="9" max="9" width="9.5703125" bestFit="1" customWidth="1"/>
    <col min="10" max="10" width="23.140625" bestFit="1" customWidth="1"/>
    <col min="11" max="11" width="18.42578125" bestFit="1" customWidth="1"/>
    <col min="12" max="12" width="5.7109375" bestFit="1" customWidth="1"/>
    <col min="13" max="13" width="20.140625" bestFit="1" customWidth="1"/>
    <col min="14" max="14" width="13.7109375" bestFit="1" customWidth="1"/>
    <col min="15" max="15" width="11.5703125" bestFit="1" customWidth="1"/>
    <col min="16" max="16" width="24.85546875" bestFit="1" customWidth="1"/>
  </cols>
  <sheetData>
    <row r="1" spans="1:18" x14ac:dyDescent="0.25">
      <c r="A1" s="101" t="s">
        <v>1249</v>
      </c>
      <c r="B1" s="100" t="s">
        <v>16</v>
      </c>
    </row>
    <row r="2" spans="1:18" x14ac:dyDescent="0.25">
      <c r="A2" s="101" t="s">
        <v>1307</v>
      </c>
      <c r="B2" s="100">
        <v>13189</v>
      </c>
    </row>
    <row r="3" spans="1:18" x14ac:dyDescent="0.25">
      <c r="A3" s="101" t="s">
        <v>1305</v>
      </c>
      <c r="B3" s="100">
        <f>VLOOKUP(B2, '90'!A:E, 5, 0)</f>
        <v>6</v>
      </c>
    </row>
    <row r="4" spans="1:18" x14ac:dyDescent="0.25">
      <c r="A4" s="101" t="s">
        <v>1306</v>
      </c>
      <c r="B4" s="100" t="str">
        <f>IFERROR(VLOOKUP(B2, NPS!B:H, 7, 0), 0)</f>
        <v>3P</v>
      </c>
    </row>
    <row r="5" spans="1:18" x14ac:dyDescent="0.25">
      <c r="A5" s="101" t="s">
        <v>1257</v>
      </c>
      <c r="B5" s="100">
        <f>IFERROR(VLOOKUP(B2, NPS!B:H, 3, 0), 0)</f>
        <v>2</v>
      </c>
    </row>
    <row r="6" spans="1:18" x14ac:dyDescent="0.25">
      <c r="A6" s="101" t="s">
        <v>1447</v>
      </c>
      <c r="B6" s="103">
        <f>VLOOKUP(8.5, 'Look Up Table'!A:B, 2, TRUE)</f>
        <v>0</v>
      </c>
    </row>
    <row r="7" spans="1:18" ht="50.1" customHeight="1" x14ac:dyDescent="0.25">
      <c r="A7" s="102" t="s">
        <v>43</v>
      </c>
      <c r="B7" s="80" t="s">
        <v>1308</v>
      </c>
      <c r="C7" s="80" t="s">
        <v>1309</v>
      </c>
      <c r="D7" s="80" t="s">
        <v>48</v>
      </c>
      <c r="E7" s="80" t="s">
        <v>1310</v>
      </c>
      <c r="F7" s="80" t="s">
        <v>1311</v>
      </c>
      <c r="G7" s="80" t="s">
        <v>1312</v>
      </c>
      <c r="H7" s="80" t="s">
        <v>1313</v>
      </c>
      <c r="I7" s="80" t="s">
        <v>51</v>
      </c>
      <c r="J7" s="80" t="s">
        <v>1314</v>
      </c>
      <c r="K7" s="80" t="s">
        <v>1315</v>
      </c>
      <c r="L7" s="80" t="s">
        <v>54</v>
      </c>
      <c r="M7" s="80" t="s">
        <v>55</v>
      </c>
      <c r="N7" s="80" t="s">
        <v>1316</v>
      </c>
      <c r="O7" s="80" t="s">
        <v>1317</v>
      </c>
      <c r="P7" s="80" t="s">
        <v>1318</v>
      </c>
    </row>
    <row r="8" spans="1:18" x14ac:dyDescent="0.25">
      <c r="A8" s="96">
        <v>45726</v>
      </c>
      <c r="B8" s="93">
        <v>9379</v>
      </c>
      <c r="C8" s="93">
        <v>23654</v>
      </c>
      <c r="D8" s="93" t="s">
        <v>452</v>
      </c>
      <c r="E8" s="93" t="s">
        <v>453</v>
      </c>
      <c r="F8" s="93">
        <v>25</v>
      </c>
      <c r="G8" s="93" t="s">
        <v>1319</v>
      </c>
      <c r="H8" s="93" t="s">
        <v>1373</v>
      </c>
      <c r="I8" s="93" t="s">
        <v>59</v>
      </c>
      <c r="J8" s="107">
        <v>1678</v>
      </c>
      <c r="K8" s="107">
        <v>3839.09</v>
      </c>
      <c r="L8" s="93">
        <v>1</v>
      </c>
      <c r="M8" s="107">
        <v>691.04</v>
      </c>
      <c r="N8" s="107">
        <f>IF(M8&lt;=251, VLOOKUP(B3, 'Look Up Table'!I:J, 2, TRUE) * L8, 0)</f>
        <v>0</v>
      </c>
      <c r="O8" s="107">
        <f>IF(N8&gt;0, N8 - M8, 0)</f>
        <v>0</v>
      </c>
      <c r="P8" s="107">
        <f>IF(N8 = 0, K8 * B6, 0)</f>
        <v>0</v>
      </c>
      <c r="Q8" s="93"/>
      <c r="R8" s="93"/>
    </row>
    <row r="9" spans="1:18" x14ac:dyDescent="0.25">
      <c r="A9" s="96">
        <v>45729</v>
      </c>
      <c r="B9" s="93" t="s">
        <v>460</v>
      </c>
      <c r="C9" s="93">
        <v>22820</v>
      </c>
      <c r="D9" s="93" t="s">
        <v>457</v>
      </c>
      <c r="E9" s="93" t="s">
        <v>458</v>
      </c>
      <c r="F9" s="93">
        <v>25</v>
      </c>
      <c r="G9" s="93" t="s">
        <v>1319</v>
      </c>
      <c r="H9" s="93" t="s">
        <v>1374</v>
      </c>
      <c r="I9" s="93" t="s">
        <v>59</v>
      </c>
      <c r="J9" s="107">
        <v>1613</v>
      </c>
      <c r="K9" s="107">
        <v>2405.81</v>
      </c>
      <c r="L9" s="93">
        <v>1</v>
      </c>
      <c r="M9" s="107">
        <v>433.05</v>
      </c>
      <c r="N9" s="107">
        <f>IF(M9&lt;=251, VLOOKUP(B3, 'Look Up Table'!I:J, 2, TRUE) * L9, 0)</f>
        <v>0</v>
      </c>
      <c r="O9" s="107">
        <f>IF(N9&gt;0, N9 - M9, 0)</f>
        <v>0</v>
      </c>
      <c r="P9" s="107">
        <f>IF(N9 = 0, K9 * B6, 0)</f>
        <v>0</v>
      </c>
      <c r="Q9" s="93"/>
      <c r="R9" s="93"/>
    </row>
    <row r="10" spans="1:18" x14ac:dyDescent="0.25">
      <c r="A10" s="96">
        <v>45730</v>
      </c>
      <c r="B10" s="93">
        <v>9508</v>
      </c>
      <c r="C10" s="93">
        <v>23872</v>
      </c>
      <c r="D10" s="93" t="s">
        <v>461</v>
      </c>
      <c r="E10" s="93" t="s">
        <v>462</v>
      </c>
      <c r="F10" s="93">
        <v>25</v>
      </c>
      <c r="G10" s="93" t="s">
        <v>1319</v>
      </c>
      <c r="H10" s="93" t="s">
        <v>1375</v>
      </c>
      <c r="I10" s="93" t="s">
        <v>59</v>
      </c>
      <c r="J10" s="107">
        <v>3121.84</v>
      </c>
      <c r="K10" s="107">
        <v>808</v>
      </c>
      <c r="L10" s="93">
        <v>1</v>
      </c>
      <c r="M10" s="107">
        <v>200</v>
      </c>
      <c r="N10" s="107">
        <f>IF(M10&lt;=251, VLOOKUP(B3, 'Look Up Table'!I:J, 2, TRUE) * L10, 0)</f>
        <v>200</v>
      </c>
      <c r="O10" s="107">
        <f>IF(N10&gt;0, N10 - M10, 0)</f>
        <v>0</v>
      </c>
      <c r="P10" s="107">
        <f>IF(N10 = 0, K10 * B6, 0)</f>
        <v>0</v>
      </c>
      <c r="Q10" s="93"/>
      <c r="R10" s="93"/>
    </row>
    <row r="11" spans="1:18" x14ac:dyDescent="0.25">
      <c r="A11" s="96">
        <v>45741</v>
      </c>
      <c r="B11" s="93">
        <v>9564</v>
      </c>
      <c r="C11" s="93">
        <v>266917</v>
      </c>
      <c r="D11" s="93" t="s">
        <v>464</v>
      </c>
      <c r="E11" s="93" t="s">
        <v>465</v>
      </c>
      <c r="F11" s="93">
        <v>25</v>
      </c>
      <c r="G11" s="93" t="s">
        <v>1319</v>
      </c>
      <c r="H11" s="93" t="s">
        <v>1344</v>
      </c>
      <c r="I11" s="93" t="s">
        <v>59</v>
      </c>
      <c r="J11" s="107">
        <v>1654</v>
      </c>
      <c r="K11" s="107">
        <v>-798.32</v>
      </c>
      <c r="L11" s="93">
        <v>1</v>
      </c>
      <c r="M11" s="107">
        <v>200</v>
      </c>
      <c r="N11" s="107">
        <f>IF(M11&lt;=251, VLOOKUP(B3, 'Look Up Table'!I:J, 2, TRUE) * L11, 0)</f>
        <v>200</v>
      </c>
      <c r="O11" s="107">
        <f>IF(N11&gt;0, N11 - M11, 0)</f>
        <v>0</v>
      </c>
      <c r="P11" s="107">
        <f>IF(N11 = 0, K11 * B6, 0)</f>
        <v>0</v>
      </c>
      <c r="Q11" s="93"/>
      <c r="R11" s="93"/>
    </row>
    <row r="12" spans="1:18" x14ac:dyDescent="0.25">
      <c r="A12" s="96">
        <v>45747</v>
      </c>
      <c r="B12" s="93">
        <v>9982</v>
      </c>
      <c r="C12" s="93">
        <v>259086</v>
      </c>
      <c r="D12" s="93" t="s">
        <v>466</v>
      </c>
      <c r="E12" s="93" t="s">
        <v>467</v>
      </c>
      <c r="F12" s="93">
        <v>25</v>
      </c>
      <c r="G12" s="93" t="s">
        <v>1329</v>
      </c>
      <c r="H12" s="93" t="s">
        <v>1334</v>
      </c>
      <c r="I12" s="93" t="s">
        <v>59</v>
      </c>
      <c r="J12" s="107">
        <v>3172.75</v>
      </c>
      <c r="K12" s="107">
        <v>1354.6</v>
      </c>
      <c r="L12" s="93">
        <v>1</v>
      </c>
      <c r="M12" s="107">
        <v>243.83</v>
      </c>
      <c r="N12" s="107">
        <f>IF(M12&lt;=251, VLOOKUP(B3, 'Look Up Table'!I:J, 2, TRUE) * L12, 0)</f>
        <v>200</v>
      </c>
      <c r="O12" s="107">
        <f>IF(N12&gt;0, N12 - M12, 0)</f>
        <v>-43.830000000000013</v>
      </c>
      <c r="P12" s="107">
        <f>IF(N12 = 0, K12 * B6, 0)</f>
        <v>0</v>
      </c>
      <c r="Q12" s="93"/>
      <c r="R12" s="93"/>
    </row>
    <row r="13" spans="1:18" x14ac:dyDescent="0.25">
      <c r="A13" s="96">
        <v>45747</v>
      </c>
      <c r="B13" s="93">
        <v>9787</v>
      </c>
      <c r="C13" s="93">
        <v>24301</v>
      </c>
      <c r="D13" s="93" t="s">
        <v>468</v>
      </c>
      <c r="E13" s="93" t="s">
        <v>469</v>
      </c>
      <c r="F13" s="93">
        <v>25</v>
      </c>
      <c r="G13" s="93" t="s">
        <v>1321</v>
      </c>
      <c r="H13" s="93" t="s">
        <v>1324</v>
      </c>
      <c r="I13" s="93" t="s">
        <v>59</v>
      </c>
      <c r="J13" s="107">
        <v>1162</v>
      </c>
      <c r="K13" s="107">
        <v>2355.71</v>
      </c>
      <c r="L13" s="93">
        <v>1</v>
      </c>
      <c r="M13" s="107">
        <v>424.03</v>
      </c>
      <c r="N13" s="107">
        <f>IF(M13&lt;=251, VLOOKUP(B3, 'Look Up Table'!I:J, 2, TRUE) * L13, 0)</f>
        <v>0</v>
      </c>
      <c r="O13" s="107">
        <f>IF(N13&gt;0, N13 - M13, 0)</f>
        <v>0</v>
      </c>
      <c r="P13" s="107">
        <f>IF(N13 = 0, K13 * B6, 0)</f>
        <v>0</v>
      </c>
      <c r="Q13" s="93"/>
      <c r="R13" s="93"/>
    </row>
    <row r="14" spans="1:18" x14ac:dyDescent="0.25">
      <c r="A14" s="96">
        <v>45747</v>
      </c>
      <c r="B14" s="93">
        <v>9929</v>
      </c>
      <c r="C14" s="93">
        <v>24478</v>
      </c>
      <c r="D14" s="93" t="s">
        <v>470</v>
      </c>
      <c r="E14" s="93" t="s">
        <v>471</v>
      </c>
      <c r="F14" s="93">
        <v>25</v>
      </c>
      <c r="G14" s="93" t="s">
        <v>1319</v>
      </c>
      <c r="H14" s="93" t="s">
        <v>1323</v>
      </c>
      <c r="I14" s="93" t="s">
        <v>59</v>
      </c>
      <c r="J14" s="107">
        <v>654</v>
      </c>
      <c r="K14" s="107">
        <v>-296.10000000000002</v>
      </c>
      <c r="L14" s="93">
        <v>1</v>
      </c>
      <c r="M14" s="107">
        <v>200</v>
      </c>
      <c r="N14" s="107">
        <f>IF(M14&lt;=251, VLOOKUP(B3, 'Look Up Table'!I:J, 2, TRUE) * L14, 0)</f>
        <v>200</v>
      </c>
      <c r="O14" s="107">
        <f>IF(N14&gt;0, N14 - M14, 0)</f>
        <v>0</v>
      </c>
      <c r="P14" s="107">
        <f>IF(N14 = 0, K14 * B6, 0)</f>
        <v>0</v>
      </c>
      <c r="Q14" s="93"/>
      <c r="R14" s="93"/>
    </row>
    <row r="15" spans="1:18" x14ac:dyDescent="0.25">
      <c r="A15" s="96">
        <v>45747</v>
      </c>
      <c r="B15" s="93">
        <v>9969</v>
      </c>
      <c r="C15" s="93">
        <v>210260</v>
      </c>
      <c r="D15" s="93" t="s">
        <v>472</v>
      </c>
      <c r="E15" s="93" t="s">
        <v>473</v>
      </c>
      <c r="F15" s="93">
        <v>25</v>
      </c>
      <c r="G15" s="93" t="s">
        <v>1321</v>
      </c>
      <c r="H15" s="93" t="s">
        <v>1328</v>
      </c>
      <c r="I15" s="93" t="s">
        <v>59</v>
      </c>
      <c r="J15" s="107">
        <v>69.5</v>
      </c>
      <c r="K15" s="107">
        <v>-1360.51</v>
      </c>
      <c r="L15" s="93">
        <v>0.5</v>
      </c>
      <c r="M15" s="107">
        <v>100</v>
      </c>
      <c r="N15" s="107">
        <f>IF(M15&lt;=251, VLOOKUP(B3, 'Look Up Table'!I:J, 2, TRUE) * L15, 0)</f>
        <v>100</v>
      </c>
      <c r="O15" s="107">
        <f>IF(N15&gt;0, N15 - M15, 0)</f>
        <v>0</v>
      </c>
      <c r="P15" s="107">
        <f>IF(N15 = 0, K15 * B6, 0)</f>
        <v>0</v>
      </c>
      <c r="Q15" s="93"/>
      <c r="R15" s="93"/>
    </row>
    <row r="16" spans="1:18" x14ac:dyDescent="0.25">
      <c r="A16" s="96">
        <v>45747</v>
      </c>
      <c r="B16" s="93">
        <v>9869</v>
      </c>
      <c r="C16" s="93">
        <v>24414</v>
      </c>
      <c r="D16" s="93" t="s">
        <v>476</v>
      </c>
      <c r="E16" s="93" t="s">
        <v>477</v>
      </c>
      <c r="F16" s="93">
        <v>21</v>
      </c>
      <c r="G16" s="93" t="s">
        <v>1319</v>
      </c>
      <c r="H16" s="93" t="s">
        <v>1351</v>
      </c>
      <c r="I16" s="93" t="s">
        <v>86</v>
      </c>
      <c r="J16" s="107">
        <v>3933.56</v>
      </c>
      <c r="K16" s="107">
        <v>-1679.05</v>
      </c>
      <c r="L16" s="93">
        <v>1</v>
      </c>
      <c r="M16" s="107">
        <v>200</v>
      </c>
      <c r="N16" s="107">
        <f>IF(M16&lt;=251, VLOOKUP(B3, 'Look Up Table'!I:J, 2, TRUE) * L16, 0)</f>
        <v>200</v>
      </c>
      <c r="O16" s="107">
        <f>IF(N16&gt;0, N16 - M16, 0)</f>
        <v>0</v>
      </c>
      <c r="P16" s="107">
        <f>IF(N16 = 0, K16 * B6, 0)</f>
        <v>0</v>
      </c>
      <c r="Q16" s="93"/>
      <c r="R16" s="93"/>
    </row>
    <row r="17" spans="1:18" x14ac:dyDescent="0.25">
      <c r="A17" s="104"/>
      <c r="B17" s="105"/>
      <c r="C17" s="105"/>
      <c r="D17" s="105"/>
      <c r="E17" s="105"/>
      <c r="F17" s="105"/>
      <c r="G17" s="105"/>
      <c r="H17" s="105"/>
      <c r="I17" s="105"/>
      <c r="J17" s="108">
        <f>SUM(J8:J16)</f>
        <v>17058.650000000001</v>
      </c>
      <c r="K17" s="108">
        <f>SUM(K8:K16)</f>
        <v>6629.2299999999987</v>
      </c>
      <c r="L17" s="105">
        <f>SUM(L8:L16)</f>
        <v>8.5</v>
      </c>
      <c r="M17" s="108">
        <f>SUM(M8:M16)</f>
        <v>2691.95</v>
      </c>
      <c r="N17" s="108">
        <f>SUM(N8:N16)</f>
        <v>1100</v>
      </c>
      <c r="O17" s="108">
        <f>SUM(O8:O16)</f>
        <v>-43.830000000000013</v>
      </c>
      <c r="P17" s="108">
        <f>SUM(P8:P16)</f>
        <v>0</v>
      </c>
      <c r="Q17" s="93"/>
      <c r="R17" s="93"/>
    </row>
    <row r="19" spans="1:18" x14ac:dyDescent="0.25">
      <c r="J19" s="99" t="s">
        <v>1451</v>
      </c>
      <c r="M19" s="106">
        <f>-VLOOKUP(B2, '3213'!A:G, 7, 0)</f>
        <v>0</v>
      </c>
    </row>
    <row r="20" spans="1:18" x14ac:dyDescent="0.25">
      <c r="J20" s="99"/>
      <c r="M20" s="106"/>
    </row>
    <row r="21" spans="1:18" x14ac:dyDescent="0.25">
      <c r="J21" s="99" t="s">
        <v>1264</v>
      </c>
      <c r="K21" s="92">
        <v>0.18</v>
      </c>
      <c r="M21" s="106">
        <f>M17</f>
        <v>2691.95</v>
      </c>
    </row>
    <row r="22" spans="1:18" x14ac:dyDescent="0.25">
      <c r="J22" s="99"/>
      <c r="M22" s="106"/>
    </row>
    <row r="23" spans="1:18" x14ac:dyDescent="0.25">
      <c r="A23" s="110"/>
      <c r="B23" s="109"/>
      <c r="C23" s="109"/>
      <c r="D23" t="s">
        <v>1448</v>
      </c>
      <c r="J23" s="99" t="s">
        <v>1265</v>
      </c>
      <c r="K23" s="92">
        <f>B6</f>
        <v>0</v>
      </c>
      <c r="M23" s="106">
        <f>P17</f>
        <v>0</v>
      </c>
    </row>
    <row r="24" spans="1:18" x14ac:dyDescent="0.25">
      <c r="J24" s="99"/>
      <c r="M24" s="106"/>
    </row>
    <row r="25" spans="1:18" x14ac:dyDescent="0.25">
      <c r="J25" s="99" t="s">
        <v>1452</v>
      </c>
      <c r="M25" s="106">
        <f>O17</f>
        <v>-43.830000000000013</v>
      </c>
    </row>
    <row r="26" spans="1:18" x14ac:dyDescent="0.25">
      <c r="J26" s="99"/>
      <c r="M26" s="106"/>
    </row>
    <row r="27" spans="1:18" x14ac:dyDescent="0.25">
      <c r="J27" s="99" t="s">
        <v>1453</v>
      </c>
      <c r="M27" s="106">
        <f>SUM(P17, O17)</f>
        <v>-43.830000000000013</v>
      </c>
    </row>
    <row r="28" spans="1:18" x14ac:dyDescent="0.25">
      <c r="J28" s="99"/>
      <c r="M28" s="106"/>
    </row>
    <row r="29" spans="1:18" x14ac:dyDescent="0.25">
      <c r="A29" s="110"/>
      <c r="B29" s="109"/>
      <c r="C29" s="109"/>
      <c r="D29" t="s">
        <v>1449</v>
      </c>
      <c r="J29" s="99" t="s">
        <v>1454</v>
      </c>
      <c r="M29" s="106">
        <f>J17</f>
        <v>17058.650000000001</v>
      </c>
    </row>
    <row r="30" spans="1:18" x14ac:dyDescent="0.25">
      <c r="J30" s="99"/>
      <c r="M30" s="106"/>
    </row>
    <row r="31" spans="1:18" x14ac:dyDescent="0.25">
      <c r="J31" s="99" t="s">
        <v>1455</v>
      </c>
      <c r="K31" s="92">
        <v>-0.25</v>
      </c>
      <c r="M31" s="106">
        <f>K31 * M29</f>
        <v>-4264.6625000000004</v>
      </c>
    </row>
    <row r="32" spans="1:18" x14ac:dyDescent="0.25">
      <c r="J32" s="99"/>
      <c r="M32" s="106"/>
    </row>
    <row r="33" spans="10:15" x14ac:dyDescent="0.25">
      <c r="J33" s="99" t="s">
        <v>1456</v>
      </c>
      <c r="M33" s="106">
        <f>M29 + M31</f>
        <v>12793.987500000001</v>
      </c>
    </row>
    <row r="34" spans="10:15" x14ac:dyDescent="0.25">
      <c r="J34" s="99"/>
      <c r="M34" s="106"/>
    </row>
    <row r="35" spans="10:15" x14ac:dyDescent="0.25">
      <c r="J35" s="99" t="s">
        <v>1457</v>
      </c>
      <c r="K35" s="92">
        <v>0.05</v>
      </c>
      <c r="M35" s="106">
        <f>K35 * M33</f>
        <v>639.69937500000015</v>
      </c>
    </row>
    <row r="36" spans="10:15" x14ac:dyDescent="0.25">
      <c r="J36" s="99"/>
      <c r="M36" s="106"/>
    </row>
    <row r="37" spans="10:15" x14ac:dyDescent="0.25">
      <c r="J37" s="99" t="s">
        <v>1458</v>
      </c>
      <c r="K37" t="str">
        <f>VLOOKUP(B2,'Pay Summary'!A:D,4,0)</f>
        <v/>
      </c>
      <c r="M37" s="106">
        <f>IF(K37 = 1, 500, 0)</f>
        <v>0</v>
      </c>
    </row>
    <row r="38" spans="10:15" x14ac:dyDescent="0.25">
      <c r="J38" s="99"/>
      <c r="M38" s="106"/>
    </row>
    <row r="39" spans="10:15" x14ac:dyDescent="0.25">
      <c r="J39" s="99" t="s">
        <v>1450</v>
      </c>
      <c r="K39">
        <f>L17</f>
        <v>8.5</v>
      </c>
      <c r="M39" s="106">
        <f>VLOOKUP(K39, 'Look Up Table'!E:F, 2, TRUE)</f>
        <v>0</v>
      </c>
    </row>
    <row r="40" spans="10:15" x14ac:dyDescent="0.25">
      <c r="J40" s="99"/>
      <c r="M40" s="106"/>
    </row>
    <row r="41" spans="10:15" x14ac:dyDescent="0.25">
      <c r="J41" s="99" t="s">
        <v>1306</v>
      </c>
      <c r="K41" s="111" t="str">
        <f>B4</f>
        <v>3P</v>
      </c>
      <c r="M41" s="106">
        <f>IF(B5&gt;=3,IF(B4="3P",L17*50,IF(B4="A",0,IF(B4="B",L17*-50))),0)</f>
        <v>0</v>
      </c>
      <c r="N41" s="99" t="s">
        <v>1463</v>
      </c>
      <c r="O41" s="112">
        <f>'NPS Sheet'!X51</f>
        <v>0.91700000000000004</v>
      </c>
    </row>
    <row r="42" spans="10:15" x14ac:dyDescent="0.25">
      <c r="J42" s="99"/>
      <c r="M42" s="106"/>
    </row>
    <row r="43" spans="10:15" x14ac:dyDescent="0.25">
      <c r="J43" s="99" t="s">
        <v>1459</v>
      </c>
      <c r="M43" s="106">
        <f>SUM(M39, M41, M37)</f>
        <v>0</v>
      </c>
    </row>
    <row r="44" spans="10:15" x14ac:dyDescent="0.25">
      <c r="J44" s="99"/>
      <c r="M44" s="106"/>
    </row>
    <row r="45" spans="10:15" x14ac:dyDescent="0.25">
      <c r="J45" s="99" t="s">
        <v>1460</v>
      </c>
      <c r="M45" s="106">
        <f>IFERROR(VLOOKUP(B2,SPIFFS!A:H,8,0),0)</f>
        <v>0</v>
      </c>
    </row>
    <row r="46" spans="10:15" x14ac:dyDescent="0.25">
      <c r="J46" s="99"/>
      <c r="M46" s="106"/>
    </row>
    <row r="47" spans="10:15" x14ac:dyDescent="0.25">
      <c r="J47" s="99" t="s">
        <v>1461</v>
      </c>
      <c r="M47" s="106">
        <f>SUM(M21, M27, M35, M43, M19, M45)</f>
        <v>3287.819375</v>
      </c>
    </row>
    <row r="48" spans="10:15" x14ac:dyDescent="0.25">
      <c r="J48" s="99"/>
      <c r="M48" s="106"/>
    </row>
    <row r="49" spans="10:13" x14ac:dyDescent="0.25">
      <c r="J49" s="99" t="s">
        <v>1462</v>
      </c>
      <c r="M49" s="106">
        <f>IF(M47&lt;0, SUM(M19, M43, M35, M27), 0)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C7BE9-78AF-463B-8CAF-15ECC67CD4E1}">
  <sheetPr>
    <tabColor rgb="FFFFFF00"/>
  </sheetPr>
  <dimension ref="A1:P42"/>
  <sheetViews>
    <sheetView workbookViewId="0">
      <selection activeCell="H4" sqref="H4"/>
    </sheetView>
  </sheetViews>
  <sheetFormatPr defaultRowHeight="15" x14ac:dyDescent="0.25"/>
  <cols>
    <col min="1" max="1" width="12.7109375" bestFit="1" customWidth="1"/>
    <col min="2" max="2" width="31.140625" bestFit="1" customWidth="1"/>
    <col min="3" max="3" width="6" bestFit="1" customWidth="1"/>
    <col min="4" max="4" width="5.42578125" bestFit="1" customWidth="1"/>
    <col min="5" max="5" width="3" bestFit="1" customWidth="1"/>
    <col min="8" max="8" width="5" bestFit="1" customWidth="1"/>
    <col min="15" max="15" width="3" bestFit="1" customWidth="1"/>
    <col min="16" max="16" width="10.140625" bestFit="1" customWidth="1"/>
  </cols>
  <sheetData>
    <row r="1" spans="1:16" x14ac:dyDescent="0.25">
      <c r="A1" s="1" t="s">
        <v>45</v>
      </c>
      <c r="B1" s="1" t="s">
        <v>46</v>
      </c>
      <c r="C1" s="1"/>
      <c r="D1" s="2" t="s">
        <v>1245</v>
      </c>
      <c r="E1" s="83"/>
      <c r="F1" s="83"/>
      <c r="G1" s="11"/>
      <c r="H1" s="82"/>
      <c r="I1" s="82"/>
      <c r="J1" s="11"/>
      <c r="K1" s="11"/>
      <c r="L1" s="11"/>
      <c r="M1" s="11"/>
      <c r="N1" s="13">
        <v>45747</v>
      </c>
      <c r="O1" s="11">
        <v>90</v>
      </c>
      <c r="P1" s="13">
        <v>45657</v>
      </c>
    </row>
    <row r="2" spans="1:16" x14ac:dyDescent="0.25">
      <c r="A2" s="3">
        <v>22564</v>
      </c>
      <c r="B2" s="14" t="s">
        <v>26</v>
      </c>
      <c r="C2" s="5">
        <f>D2/3</f>
        <v>9.6666666666666661</v>
      </c>
      <c r="D2" s="5">
        <v>29</v>
      </c>
      <c r="E2" s="5">
        <f>ROUND(C2,0)</f>
        <v>10</v>
      </c>
      <c r="F2" s="82">
        <f>IFERROR(VLOOKUP(E2,$H$3:$J$7,2,TRUE), 0)</f>
        <v>200</v>
      </c>
      <c r="G2" s="82"/>
      <c r="H2" s="15" t="s">
        <v>1245</v>
      </c>
      <c r="I2" s="84" t="s">
        <v>1246</v>
      </c>
      <c r="J2" s="84"/>
      <c r="K2" s="11"/>
      <c r="L2" s="11"/>
      <c r="M2" s="11"/>
      <c r="N2" s="11"/>
      <c r="O2" s="82"/>
      <c r="P2" s="82"/>
    </row>
    <row r="3" spans="1:16" x14ac:dyDescent="0.25">
      <c r="A3" s="3">
        <v>215323</v>
      </c>
      <c r="B3" s="14" t="s">
        <v>895</v>
      </c>
      <c r="C3" s="5">
        <f t="shared" ref="C3:C41" si="0">D3/3</f>
        <v>20.666666666666668</v>
      </c>
      <c r="D3" s="5">
        <v>62</v>
      </c>
      <c r="E3" s="5">
        <f t="shared" ref="E3:E41" si="1">ROUND(C3,0)</f>
        <v>21</v>
      </c>
      <c r="F3" s="82">
        <f t="shared" ref="F3:F41" si="2">IFERROR(VLOOKUP(E3,$H$3:$J$7,2,TRUE), 0)</f>
        <v>350</v>
      </c>
      <c r="G3" s="82"/>
      <c r="H3" s="15">
        <v>1</v>
      </c>
      <c r="I3" s="82">
        <v>200</v>
      </c>
      <c r="J3" s="82"/>
      <c r="K3" s="11"/>
      <c r="L3" s="11"/>
      <c r="M3" s="11"/>
      <c r="N3" s="11"/>
      <c r="O3" s="82"/>
      <c r="P3" s="82"/>
    </row>
    <row r="4" spans="1:16" x14ac:dyDescent="0.25">
      <c r="A4" s="3">
        <v>284175</v>
      </c>
      <c r="B4" s="14" t="s">
        <v>42</v>
      </c>
      <c r="C4" s="5">
        <f t="shared" si="0"/>
        <v>33.333333333333336</v>
      </c>
      <c r="D4" s="5">
        <v>100</v>
      </c>
      <c r="E4" s="5">
        <f t="shared" si="1"/>
        <v>33</v>
      </c>
      <c r="F4" s="82">
        <f t="shared" si="2"/>
        <v>450</v>
      </c>
      <c r="G4" s="82"/>
      <c r="H4" s="11">
        <v>12</v>
      </c>
      <c r="I4" s="82">
        <v>250</v>
      </c>
      <c r="J4" s="82"/>
      <c r="K4" s="11"/>
      <c r="L4" s="11"/>
      <c r="M4" s="11"/>
      <c r="N4" s="11"/>
      <c r="O4" s="82"/>
      <c r="P4" s="82"/>
    </row>
    <row r="5" spans="1:16" x14ac:dyDescent="0.25">
      <c r="A5" s="3">
        <v>22478</v>
      </c>
      <c r="B5" s="14" t="s">
        <v>25</v>
      </c>
      <c r="C5" s="5">
        <f t="shared" si="0"/>
        <v>4.666666666666667</v>
      </c>
      <c r="D5" s="5">
        <v>14</v>
      </c>
      <c r="E5" s="5">
        <f t="shared" si="1"/>
        <v>5</v>
      </c>
      <c r="F5" s="82">
        <f t="shared" si="2"/>
        <v>200</v>
      </c>
      <c r="G5" s="82"/>
      <c r="H5" s="11">
        <v>16</v>
      </c>
      <c r="I5" s="82">
        <v>300</v>
      </c>
      <c r="J5" s="82"/>
      <c r="K5" s="11"/>
      <c r="L5" s="11"/>
      <c r="M5" s="11"/>
      <c r="N5" s="11"/>
      <c r="O5" s="82"/>
      <c r="P5" s="82"/>
    </row>
    <row r="6" spans="1:16" x14ac:dyDescent="0.25">
      <c r="A6" s="3">
        <v>16655</v>
      </c>
      <c r="B6" s="14" t="s">
        <v>20</v>
      </c>
      <c r="C6" s="5">
        <f t="shared" si="0"/>
        <v>5</v>
      </c>
      <c r="D6" s="5">
        <v>15</v>
      </c>
      <c r="E6" s="5">
        <f t="shared" si="1"/>
        <v>5</v>
      </c>
      <c r="F6" s="82">
        <f t="shared" si="2"/>
        <v>200</v>
      </c>
      <c r="G6" s="82"/>
      <c r="H6" s="11">
        <v>20</v>
      </c>
      <c r="I6" s="82">
        <v>350</v>
      </c>
      <c r="J6" s="82"/>
      <c r="K6" s="11"/>
      <c r="L6" s="11"/>
      <c r="M6" s="11"/>
      <c r="N6" s="11"/>
      <c r="O6" s="82"/>
      <c r="P6" s="82"/>
    </row>
    <row r="7" spans="1:16" x14ac:dyDescent="0.25">
      <c r="A7" s="3">
        <v>13189</v>
      </c>
      <c r="B7" s="14" t="s">
        <v>16</v>
      </c>
      <c r="C7" s="5">
        <f t="shared" si="0"/>
        <v>6.333333333333333</v>
      </c>
      <c r="D7" s="5">
        <v>19</v>
      </c>
      <c r="E7" s="5">
        <f t="shared" si="1"/>
        <v>6</v>
      </c>
      <c r="F7" s="82">
        <f t="shared" si="2"/>
        <v>200</v>
      </c>
      <c r="G7" s="82"/>
      <c r="H7" s="11">
        <v>24</v>
      </c>
      <c r="I7" s="82">
        <v>450</v>
      </c>
      <c r="J7" s="82"/>
      <c r="K7" s="11"/>
      <c r="L7" s="11"/>
      <c r="M7" s="11"/>
      <c r="N7" s="11"/>
      <c r="O7" s="82"/>
      <c r="P7" s="82"/>
    </row>
    <row r="8" spans="1:16" x14ac:dyDescent="0.25">
      <c r="A8" s="3">
        <v>14383</v>
      </c>
      <c r="B8" s="14" t="s">
        <v>17</v>
      </c>
      <c r="C8" s="5">
        <f t="shared" si="0"/>
        <v>24</v>
      </c>
      <c r="D8" s="5">
        <v>72</v>
      </c>
      <c r="E8" s="5">
        <f t="shared" si="1"/>
        <v>24</v>
      </c>
      <c r="F8" s="82">
        <f t="shared" si="2"/>
        <v>450</v>
      </c>
      <c r="G8" s="82"/>
      <c r="H8" s="11"/>
      <c r="I8" s="82"/>
      <c r="J8" s="82"/>
      <c r="K8" s="11"/>
      <c r="L8" s="11"/>
      <c r="M8" s="11"/>
      <c r="N8" s="11"/>
      <c r="O8" s="82"/>
      <c r="P8" s="82"/>
    </row>
    <row r="9" spans="1:16" x14ac:dyDescent="0.25">
      <c r="A9" s="3">
        <v>18357</v>
      </c>
      <c r="B9" s="14" t="s">
        <v>22</v>
      </c>
      <c r="C9" s="5">
        <f t="shared" si="0"/>
        <v>2.6666666666666665</v>
      </c>
      <c r="D9" s="5">
        <v>8</v>
      </c>
      <c r="E9" s="5">
        <f t="shared" si="1"/>
        <v>3</v>
      </c>
      <c r="F9" s="82">
        <f t="shared" si="2"/>
        <v>200</v>
      </c>
      <c r="G9" s="82"/>
      <c r="H9" s="11"/>
      <c r="I9" s="82"/>
      <c r="J9" s="82"/>
      <c r="K9" s="11"/>
      <c r="L9" s="11"/>
      <c r="M9" s="11"/>
      <c r="N9" s="11"/>
      <c r="O9" s="82"/>
      <c r="P9" s="82"/>
    </row>
    <row r="10" spans="1:16" x14ac:dyDescent="0.25">
      <c r="A10" s="3">
        <v>10067</v>
      </c>
      <c r="B10" s="14" t="s">
        <v>8</v>
      </c>
      <c r="C10" s="5">
        <f t="shared" si="0"/>
        <v>17</v>
      </c>
      <c r="D10" s="5">
        <v>51</v>
      </c>
      <c r="E10" s="5">
        <f t="shared" si="1"/>
        <v>17</v>
      </c>
      <c r="F10" s="82">
        <f t="shared" si="2"/>
        <v>300</v>
      </c>
      <c r="G10" s="82"/>
      <c r="H10" s="11"/>
      <c r="I10" s="82"/>
      <c r="J10" s="82"/>
      <c r="K10" s="11"/>
      <c r="L10" s="11"/>
      <c r="M10" s="11"/>
      <c r="N10" s="11"/>
      <c r="O10" s="82"/>
      <c r="P10" s="82"/>
    </row>
    <row r="11" spans="1:16" x14ac:dyDescent="0.25">
      <c r="A11" s="3">
        <v>261800</v>
      </c>
      <c r="B11" s="14" t="s">
        <v>1082</v>
      </c>
      <c r="C11" s="5">
        <f t="shared" si="0"/>
        <v>10.333333333333334</v>
      </c>
      <c r="D11" s="5">
        <v>31</v>
      </c>
      <c r="E11" s="5">
        <f t="shared" si="1"/>
        <v>10</v>
      </c>
      <c r="F11" s="82">
        <f t="shared" si="2"/>
        <v>200</v>
      </c>
      <c r="G11" s="82"/>
      <c r="H11" s="11"/>
      <c r="I11" s="82"/>
      <c r="J11" s="82"/>
      <c r="K11" s="11"/>
      <c r="L11" s="11"/>
      <c r="M11" s="11"/>
      <c r="N11" s="11"/>
      <c r="O11" s="82"/>
      <c r="P11" s="82"/>
    </row>
    <row r="12" spans="1:16" x14ac:dyDescent="0.25">
      <c r="A12" s="3">
        <v>10303</v>
      </c>
      <c r="B12" s="14" t="s">
        <v>10</v>
      </c>
      <c r="C12" s="5">
        <f t="shared" si="0"/>
        <v>26.333333333333332</v>
      </c>
      <c r="D12" s="5">
        <v>79</v>
      </c>
      <c r="E12" s="5">
        <f t="shared" si="1"/>
        <v>26</v>
      </c>
      <c r="F12" s="82">
        <f t="shared" si="2"/>
        <v>450</v>
      </c>
      <c r="G12" s="82"/>
      <c r="H12" s="11"/>
      <c r="I12" s="82"/>
      <c r="J12" s="82"/>
      <c r="K12" s="11"/>
      <c r="L12" s="11"/>
      <c r="M12" s="11"/>
      <c r="N12" s="11"/>
      <c r="O12" s="82"/>
      <c r="P12" s="82"/>
    </row>
    <row r="13" spans="1:16" x14ac:dyDescent="0.25">
      <c r="A13" s="3">
        <v>242160</v>
      </c>
      <c r="B13" s="14" t="s">
        <v>34</v>
      </c>
      <c r="C13" s="5">
        <f t="shared" si="0"/>
        <v>13.333333333333334</v>
      </c>
      <c r="D13" s="5">
        <v>40</v>
      </c>
      <c r="E13" s="5">
        <f t="shared" si="1"/>
        <v>13</v>
      </c>
      <c r="F13" s="82">
        <f t="shared" si="2"/>
        <v>250</v>
      </c>
      <c r="G13" s="82"/>
      <c r="H13" s="11"/>
      <c r="I13" s="82"/>
      <c r="J13" s="82"/>
      <c r="K13" s="11"/>
      <c r="L13" s="11"/>
      <c r="M13" s="11"/>
      <c r="N13" s="11"/>
      <c r="O13" s="82"/>
      <c r="P13" s="82"/>
    </row>
    <row r="14" spans="1:16" x14ac:dyDescent="0.25">
      <c r="A14" s="3">
        <v>217079</v>
      </c>
      <c r="B14" s="14" t="s">
        <v>941</v>
      </c>
      <c r="C14" s="5">
        <f t="shared" si="0"/>
        <v>19</v>
      </c>
      <c r="D14" s="5">
        <v>57</v>
      </c>
      <c r="E14" s="5">
        <f t="shared" si="1"/>
        <v>19</v>
      </c>
      <c r="F14" s="82">
        <f t="shared" si="2"/>
        <v>300</v>
      </c>
      <c r="G14" s="82"/>
      <c r="K14" s="11"/>
      <c r="L14" s="11"/>
      <c r="M14" s="11"/>
      <c r="N14" s="11"/>
      <c r="O14" s="82"/>
      <c r="P14" s="82"/>
    </row>
    <row r="15" spans="1:16" x14ac:dyDescent="0.25">
      <c r="A15" s="3">
        <v>259520</v>
      </c>
      <c r="B15" s="14" t="s">
        <v>36</v>
      </c>
      <c r="C15" s="5">
        <f t="shared" si="0"/>
        <v>25.333333333333332</v>
      </c>
      <c r="D15" s="5">
        <v>76</v>
      </c>
      <c r="E15" s="5">
        <f t="shared" si="1"/>
        <v>25</v>
      </c>
      <c r="F15" s="82">
        <f t="shared" si="2"/>
        <v>450</v>
      </c>
      <c r="G15" s="82"/>
      <c r="H15" s="11"/>
      <c r="I15" s="82"/>
      <c r="J15" s="82"/>
      <c r="K15" s="11"/>
      <c r="L15" s="11"/>
      <c r="M15" s="11"/>
      <c r="N15" s="11"/>
      <c r="O15" s="82"/>
      <c r="P15" s="82"/>
    </row>
    <row r="16" spans="1:16" x14ac:dyDescent="0.25">
      <c r="A16" s="3">
        <v>11580</v>
      </c>
      <c r="B16" s="14" t="s">
        <v>13</v>
      </c>
      <c r="C16" s="5">
        <f t="shared" si="0"/>
        <v>23</v>
      </c>
      <c r="D16" s="5">
        <v>69</v>
      </c>
      <c r="E16" s="5">
        <f t="shared" si="1"/>
        <v>23</v>
      </c>
      <c r="F16" s="82">
        <f t="shared" si="2"/>
        <v>350</v>
      </c>
      <c r="G16" s="82"/>
      <c r="H16" s="11"/>
      <c r="I16" s="82"/>
      <c r="J16" s="82"/>
      <c r="K16" s="11"/>
      <c r="L16" s="11"/>
      <c r="M16" s="11"/>
      <c r="N16" s="11"/>
      <c r="O16" s="82"/>
      <c r="P16" s="82"/>
    </row>
    <row r="17" spans="1:16" x14ac:dyDescent="0.25">
      <c r="A17" s="3">
        <v>207347</v>
      </c>
      <c r="B17" s="14" t="s">
        <v>28</v>
      </c>
      <c r="C17" s="5">
        <f t="shared" si="0"/>
        <v>12.333333333333334</v>
      </c>
      <c r="D17" s="5">
        <v>37</v>
      </c>
      <c r="E17" s="5">
        <f t="shared" si="1"/>
        <v>12</v>
      </c>
      <c r="F17" s="82">
        <f t="shared" si="2"/>
        <v>250</v>
      </c>
      <c r="G17" s="82"/>
      <c r="H17" s="11"/>
      <c r="I17" s="82"/>
      <c r="J17" s="82"/>
      <c r="K17" s="11"/>
      <c r="L17" s="11"/>
      <c r="M17" s="11"/>
      <c r="N17" s="11"/>
      <c r="O17" s="82"/>
      <c r="P17" s="82"/>
    </row>
    <row r="18" spans="1:16" x14ac:dyDescent="0.25">
      <c r="A18" s="3">
        <v>99</v>
      </c>
      <c r="B18" s="14" t="s">
        <v>6</v>
      </c>
      <c r="C18" s="5">
        <f t="shared" si="0"/>
        <v>9.3333333333333339</v>
      </c>
      <c r="D18" s="5">
        <v>28</v>
      </c>
      <c r="E18" s="5">
        <f t="shared" si="1"/>
        <v>9</v>
      </c>
      <c r="F18" s="82">
        <f t="shared" si="2"/>
        <v>200</v>
      </c>
      <c r="G18" s="82"/>
      <c r="K18" s="11"/>
      <c r="L18" s="11"/>
      <c r="M18" s="11"/>
      <c r="N18" s="11"/>
      <c r="O18" s="82"/>
      <c r="P18" s="82"/>
    </row>
    <row r="19" spans="1:16" x14ac:dyDescent="0.25">
      <c r="A19" s="3">
        <v>10069</v>
      </c>
      <c r="B19" s="14" t="s">
        <v>9</v>
      </c>
      <c r="C19" s="5">
        <f t="shared" si="0"/>
        <v>24.333333333333332</v>
      </c>
      <c r="D19" s="5">
        <v>73</v>
      </c>
      <c r="E19" s="5">
        <f t="shared" si="1"/>
        <v>24</v>
      </c>
      <c r="F19" s="82">
        <f t="shared" si="2"/>
        <v>450</v>
      </c>
      <c r="G19" s="82"/>
      <c r="H19" s="11"/>
      <c r="I19" s="82"/>
      <c r="J19" s="82"/>
      <c r="K19" s="11"/>
      <c r="L19" s="11"/>
      <c r="M19" s="11"/>
      <c r="N19" s="11"/>
      <c r="O19" s="82"/>
      <c r="P19" s="82"/>
    </row>
    <row r="20" spans="1:16" x14ac:dyDescent="0.25">
      <c r="A20" s="3">
        <v>277065</v>
      </c>
      <c r="B20" s="14" t="s">
        <v>40</v>
      </c>
      <c r="C20" s="5">
        <f t="shared" si="0"/>
        <v>22.666666666666668</v>
      </c>
      <c r="D20" s="5">
        <v>68</v>
      </c>
      <c r="E20" s="5">
        <f t="shared" si="1"/>
        <v>23</v>
      </c>
      <c r="F20" s="82">
        <f t="shared" si="2"/>
        <v>350</v>
      </c>
      <c r="G20" s="82"/>
      <c r="H20" s="11"/>
      <c r="I20" s="82"/>
      <c r="J20" s="82"/>
      <c r="K20" s="11"/>
      <c r="L20" s="11"/>
      <c r="M20" s="11"/>
      <c r="N20" s="11"/>
      <c r="O20" s="82"/>
      <c r="P20" s="82"/>
    </row>
    <row r="21" spans="1:16" x14ac:dyDescent="0.25">
      <c r="A21" s="3">
        <v>10775</v>
      </c>
      <c r="B21" s="14" t="s">
        <v>12</v>
      </c>
      <c r="C21" s="5">
        <f t="shared" si="0"/>
        <v>20.333333333333332</v>
      </c>
      <c r="D21" s="5">
        <v>61</v>
      </c>
      <c r="E21" s="5">
        <f t="shared" si="1"/>
        <v>20</v>
      </c>
      <c r="F21" s="82">
        <f t="shared" si="2"/>
        <v>350</v>
      </c>
      <c r="G21" s="82"/>
      <c r="H21" s="11"/>
      <c r="I21" s="82"/>
      <c r="J21" s="82"/>
      <c r="K21" s="11"/>
      <c r="L21" s="11"/>
      <c r="M21" s="11"/>
      <c r="N21" s="11"/>
      <c r="O21" s="82"/>
      <c r="P21" s="82"/>
    </row>
    <row r="22" spans="1:16" x14ac:dyDescent="0.25">
      <c r="A22" s="3">
        <v>3262</v>
      </c>
      <c r="B22" s="14" t="s">
        <v>7</v>
      </c>
      <c r="C22" s="5">
        <f t="shared" si="0"/>
        <v>23</v>
      </c>
      <c r="D22" s="5">
        <v>69</v>
      </c>
      <c r="E22" s="5">
        <f t="shared" si="1"/>
        <v>23</v>
      </c>
      <c r="F22" s="82">
        <f t="shared" si="2"/>
        <v>350</v>
      </c>
      <c r="G22" s="82"/>
      <c r="K22" s="11"/>
      <c r="L22" s="11"/>
      <c r="M22" s="11"/>
      <c r="N22" s="11"/>
      <c r="O22" s="82"/>
      <c r="P22" s="82"/>
    </row>
    <row r="23" spans="1:16" x14ac:dyDescent="0.25">
      <c r="A23" s="3">
        <v>271828</v>
      </c>
      <c r="B23" s="14" t="s">
        <v>39</v>
      </c>
      <c r="C23" s="5">
        <f t="shared" si="0"/>
        <v>22</v>
      </c>
      <c r="D23" s="5">
        <v>66</v>
      </c>
      <c r="E23" s="5">
        <f t="shared" si="1"/>
        <v>22</v>
      </c>
      <c r="F23" s="82">
        <f t="shared" si="2"/>
        <v>350</v>
      </c>
      <c r="G23" s="82"/>
      <c r="H23" s="11"/>
      <c r="I23" s="82"/>
      <c r="J23" s="82"/>
      <c r="K23" s="11"/>
      <c r="L23" s="11"/>
      <c r="M23" s="11"/>
      <c r="N23" s="11"/>
      <c r="O23" s="82"/>
      <c r="P23" s="82"/>
    </row>
    <row r="24" spans="1:16" x14ac:dyDescent="0.25">
      <c r="A24" s="3">
        <v>12104</v>
      </c>
      <c r="B24" s="14" t="s">
        <v>15</v>
      </c>
      <c r="C24" s="5">
        <f t="shared" si="0"/>
        <v>22.333333333333332</v>
      </c>
      <c r="D24" s="5">
        <v>67</v>
      </c>
      <c r="E24" s="5">
        <f t="shared" si="1"/>
        <v>22</v>
      </c>
      <c r="F24" s="82">
        <f t="shared" si="2"/>
        <v>350</v>
      </c>
      <c r="G24" s="82"/>
      <c r="H24" s="11"/>
      <c r="I24" s="82"/>
      <c r="J24" s="82"/>
      <c r="K24" s="11"/>
      <c r="L24" s="11"/>
      <c r="M24" s="11"/>
      <c r="N24" s="11"/>
      <c r="O24" s="82"/>
      <c r="P24" s="82"/>
    </row>
    <row r="25" spans="1:16" x14ac:dyDescent="0.25">
      <c r="A25" s="3">
        <v>20993</v>
      </c>
      <c r="B25" s="14" t="s">
        <v>23</v>
      </c>
      <c r="C25" s="5">
        <f t="shared" si="0"/>
        <v>21.666666666666668</v>
      </c>
      <c r="D25" s="5">
        <v>65</v>
      </c>
      <c r="E25" s="5">
        <f t="shared" si="1"/>
        <v>22</v>
      </c>
      <c r="F25" s="82">
        <f t="shared" si="2"/>
        <v>350</v>
      </c>
      <c r="G25" s="82"/>
      <c r="H25" s="11"/>
      <c r="I25" s="82"/>
      <c r="J25" s="82"/>
      <c r="K25" s="11"/>
      <c r="L25" s="11"/>
      <c r="M25" s="11"/>
      <c r="N25" s="11"/>
      <c r="O25" s="82"/>
      <c r="P25" s="82"/>
    </row>
    <row r="26" spans="1:16" x14ac:dyDescent="0.25">
      <c r="A26" s="3">
        <v>207580</v>
      </c>
      <c r="B26" s="14" t="s">
        <v>31</v>
      </c>
      <c r="C26" s="5">
        <f t="shared" si="0"/>
        <v>23</v>
      </c>
      <c r="D26" s="5">
        <v>69</v>
      </c>
      <c r="E26" s="5">
        <f t="shared" si="1"/>
        <v>23</v>
      </c>
      <c r="F26" s="82">
        <f t="shared" si="2"/>
        <v>350</v>
      </c>
      <c r="G26" s="82"/>
      <c r="K26" s="11"/>
      <c r="L26" s="11"/>
      <c r="M26" s="11"/>
      <c r="N26" s="11"/>
      <c r="O26" s="82"/>
      <c r="P26" s="82"/>
    </row>
    <row r="27" spans="1:16" x14ac:dyDescent="0.25">
      <c r="A27" s="3">
        <v>206864</v>
      </c>
      <c r="B27" s="14" t="s">
        <v>1247</v>
      </c>
      <c r="C27" s="5">
        <f t="shared" si="0"/>
        <v>0.33333333333333331</v>
      </c>
      <c r="D27" s="5">
        <v>1</v>
      </c>
      <c r="E27" s="5">
        <f t="shared" si="1"/>
        <v>0</v>
      </c>
      <c r="F27" s="82">
        <f t="shared" si="2"/>
        <v>0</v>
      </c>
      <c r="G27" s="82"/>
      <c r="H27" s="82"/>
      <c r="I27" s="82"/>
      <c r="J27" s="11"/>
      <c r="K27" s="11"/>
      <c r="L27" s="11"/>
      <c r="M27" s="11"/>
      <c r="N27" s="11"/>
      <c r="O27" s="82"/>
      <c r="P27" s="82"/>
    </row>
    <row r="28" spans="1:16" x14ac:dyDescent="0.25">
      <c r="A28" s="3">
        <v>16734</v>
      </c>
      <c r="B28" s="14" t="s">
        <v>21</v>
      </c>
      <c r="C28" s="5">
        <f t="shared" si="0"/>
        <v>18.666666666666668</v>
      </c>
      <c r="D28" s="5">
        <v>56</v>
      </c>
      <c r="E28" s="5">
        <f t="shared" si="1"/>
        <v>19</v>
      </c>
      <c r="F28" s="82">
        <f t="shared" si="2"/>
        <v>300</v>
      </c>
      <c r="G28" s="82"/>
      <c r="H28" s="82"/>
      <c r="I28" s="82"/>
      <c r="J28" s="11"/>
      <c r="K28" s="11"/>
      <c r="L28" s="11"/>
      <c r="M28" s="11"/>
      <c r="N28" s="11"/>
      <c r="O28" s="82"/>
      <c r="P28" s="82"/>
    </row>
    <row r="29" spans="1:16" x14ac:dyDescent="0.25">
      <c r="A29" s="3">
        <v>11809</v>
      </c>
      <c r="B29" s="14" t="s">
        <v>14</v>
      </c>
      <c r="C29" s="5">
        <f t="shared" si="0"/>
        <v>30.666666666666668</v>
      </c>
      <c r="D29" s="5">
        <v>92</v>
      </c>
      <c r="E29" s="5">
        <f t="shared" si="1"/>
        <v>31</v>
      </c>
      <c r="F29" s="82">
        <f t="shared" si="2"/>
        <v>450</v>
      </c>
      <c r="G29" s="82"/>
      <c r="H29" s="82"/>
      <c r="I29" s="82"/>
      <c r="J29" s="11"/>
      <c r="K29" s="11"/>
      <c r="L29" s="11"/>
      <c r="M29" s="11"/>
      <c r="N29" s="11"/>
      <c r="O29" s="82"/>
      <c r="P29" s="82"/>
    </row>
    <row r="30" spans="1:16" x14ac:dyDescent="0.25">
      <c r="A30" s="3">
        <v>259020</v>
      </c>
      <c r="B30" s="14" t="s">
        <v>1022</v>
      </c>
      <c r="C30" s="5">
        <f t="shared" si="0"/>
        <v>0.66666666666666663</v>
      </c>
      <c r="D30" s="5">
        <v>2</v>
      </c>
      <c r="E30" s="5">
        <f t="shared" si="1"/>
        <v>1</v>
      </c>
      <c r="F30" s="82">
        <f t="shared" si="2"/>
        <v>200</v>
      </c>
      <c r="G30" s="82"/>
      <c r="H30" s="82"/>
      <c r="I30" s="82"/>
      <c r="J30" s="11"/>
      <c r="K30" s="11"/>
      <c r="L30" s="11"/>
      <c r="M30" s="11"/>
      <c r="N30" s="11"/>
      <c r="O30" s="82"/>
      <c r="P30" s="82"/>
    </row>
    <row r="31" spans="1:16" x14ac:dyDescent="0.25">
      <c r="A31" s="3">
        <v>207462</v>
      </c>
      <c r="B31" s="14" t="s">
        <v>29</v>
      </c>
      <c r="C31" s="5">
        <f t="shared" si="0"/>
        <v>17.666666666666668</v>
      </c>
      <c r="D31" s="5">
        <v>53</v>
      </c>
      <c r="E31" s="5">
        <f t="shared" si="1"/>
        <v>18</v>
      </c>
      <c r="F31" s="82">
        <f t="shared" si="2"/>
        <v>300</v>
      </c>
      <c r="G31" s="82"/>
      <c r="H31" s="82"/>
      <c r="I31" s="82"/>
      <c r="J31" s="11"/>
      <c r="K31" s="11"/>
      <c r="L31" s="11"/>
      <c r="M31" s="11"/>
      <c r="N31" s="11"/>
      <c r="O31" s="82"/>
      <c r="P31" s="82"/>
    </row>
    <row r="32" spans="1:16" x14ac:dyDescent="0.25">
      <c r="A32" s="3">
        <v>277324</v>
      </c>
      <c r="B32" s="14" t="s">
        <v>1248</v>
      </c>
      <c r="C32" s="5">
        <f t="shared" si="0"/>
        <v>0.33333333333333331</v>
      </c>
      <c r="D32" s="5">
        <v>1</v>
      </c>
      <c r="E32" s="5">
        <f t="shared" si="1"/>
        <v>0</v>
      </c>
      <c r="F32" s="82">
        <f t="shared" si="2"/>
        <v>0</v>
      </c>
      <c r="G32" s="82"/>
      <c r="H32" s="82"/>
      <c r="I32" s="82"/>
      <c r="J32" s="11"/>
      <c r="K32" s="11"/>
      <c r="L32" s="11"/>
      <c r="M32" s="11"/>
      <c r="N32" s="11"/>
      <c r="O32" s="82"/>
      <c r="P32" s="82"/>
    </row>
    <row r="33" spans="1:16" x14ac:dyDescent="0.25">
      <c r="A33" s="3">
        <v>207573</v>
      </c>
      <c r="B33" s="14" t="s">
        <v>30</v>
      </c>
      <c r="C33" s="5">
        <f t="shared" si="0"/>
        <v>23.333333333333332</v>
      </c>
      <c r="D33" s="5">
        <v>70</v>
      </c>
      <c r="E33" s="5">
        <f t="shared" si="1"/>
        <v>23</v>
      </c>
      <c r="F33" s="82">
        <f t="shared" si="2"/>
        <v>350</v>
      </c>
      <c r="G33" s="82"/>
      <c r="H33" s="82"/>
      <c r="I33" s="82"/>
      <c r="J33" s="11"/>
      <c r="K33" s="11"/>
      <c r="L33" s="11"/>
      <c r="M33" s="11"/>
      <c r="N33" s="11"/>
      <c r="O33" s="82"/>
      <c r="P33" s="82"/>
    </row>
    <row r="34" spans="1:16" x14ac:dyDescent="0.25">
      <c r="A34" s="3">
        <v>267623</v>
      </c>
      <c r="B34" s="14" t="s">
        <v>38</v>
      </c>
      <c r="C34" s="5">
        <f t="shared" si="0"/>
        <v>14</v>
      </c>
      <c r="D34" s="5">
        <v>42</v>
      </c>
      <c r="E34" s="5">
        <f t="shared" si="1"/>
        <v>14</v>
      </c>
      <c r="F34" s="82">
        <f t="shared" si="2"/>
        <v>250</v>
      </c>
      <c r="G34" s="82"/>
      <c r="H34" s="82"/>
      <c r="I34" s="82"/>
      <c r="J34" s="11"/>
      <c r="K34" s="11"/>
      <c r="L34" s="11"/>
      <c r="M34" s="11"/>
      <c r="N34" s="11"/>
      <c r="O34" s="82"/>
      <c r="P34" s="82"/>
    </row>
    <row r="35" spans="1:16" x14ac:dyDescent="0.25">
      <c r="A35" s="3">
        <v>16210</v>
      </c>
      <c r="B35" s="14" t="s">
        <v>19</v>
      </c>
      <c r="C35" s="5">
        <f t="shared" si="0"/>
        <v>19.666666666666668</v>
      </c>
      <c r="D35" s="5">
        <v>59</v>
      </c>
      <c r="E35" s="5">
        <f t="shared" si="1"/>
        <v>20</v>
      </c>
      <c r="F35" s="82">
        <f>IFERROR(VLOOKUP(E35,$H$3:$J$7,2,TRUE), 0)</f>
        <v>350</v>
      </c>
      <c r="G35" s="82"/>
      <c r="H35" s="82"/>
      <c r="I35" s="82"/>
      <c r="J35" s="11"/>
      <c r="K35" s="11"/>
      <c r="L35" s="11"/>
      <c r="M35" s="11"/>
      <c r="N35" s="11"/>
      <c r="O35" s="82"/>
      <c r="P35" s="82"/>
    </row>
    <row r="36" spans="1:16" x14ac:dyDescent="0.25">
      <c r="A36" s="3">
        <v>10304</v>
      </c>
      <c r="B36" s="14" t="s">
        <v>11</v>
      </c>
      <c r="C36" s="5">
        <f t="shared" si="0"/>
        <v>11.666666666666666</v>
      </c>
      <c r="D36" s="5">
        <v>35</v>
      </c>
      <c r="E36" s="5">
        <f t="shared" si="1"/>
        <v>12</v>
      </c>
      <c r="F36" s="82">
        <f t="shared" si="2"/>
        <v>250</v>
      </c>
      <c r="G36" s="82"/>
      <c r="H36" s="82"/>
      <c r="I36" s="82"/>
      <c r="J36" s="11"/>
      <c r="K36" s="11"/>
      <c r="L36" s="11"/>
      <c r="M36" s="11"/>
      <c r="N36" s="11"/>
      <c r="O36" s="82"/>
      <c r="P36" s="82"/>
    </row>
    <row r="37" spans="1:16" x14ac:dyDescent="0.25">
      <c r="A37" s="3">
        <v>245770</v>
      </c>
      <c r="B37" s="14" t="s">
        <v>984</v>
      </c>
      <c r="C37" s="5">
        <f t="shared" si="0"/>
        <v>23</v>
      </c>
      <c r="D37" s="5">
        <v>69</v>
      </c>
      <c r="E37" s="5">
        <f t="shared" si="1"/>
        <v>23</v>
      </c>
      <c r="F37" s="82">
        <f t="shared" si="2"/>
        <v>350</v>
      </c>
      <c r="G37" s="82"/>
      <c r="H37" s="82"/>
      <c r="I37" s="82"/>
      <c r="J37" s="11"/>
      <c r="K37" s="11"/>
      <c r="L37" s="11"/>
      <c r="M37" s="11"/>
      <c r="N37" s="11"/>
      <c r="O37" s="82"/>
      <c r="P37" s="82"/>
    </row>
    <row r="38" spans="1:16" x14ac:dyDescent="0.25">
      <c r="A38" s="3">
        <v>22145</v>
      </c>
      <c r="B38" s="14" t="s">
        <v>24</v>
      </c>
      <c r="C38" s="5">
        <f t="shared" si="0"/>
        <v>16.666666666666668</v>
      </c>
      <c r="D38" s="5">
        <v>50</v>
      </c>
      <c r="E38" s="5">
        <f t="shared" si="1"/>
        <v>17</v>
      </c>
      <c r="F38" s="82">
        <f t="shared" si="2"/>
        <v>300</v>
      </c>
      <c r="G38" s="82"/>
      <c r="H38" s="82"/>
      <c r="I38" s="82"/>
      <c r="J38" s="11"/>
      <c r="K38" s="11"/>
      <c r="L38" s="11"/>
      <c r="M38" s="11"/>
      <c r="N38" s="11"/>
      <c r="O38" s="82"/>
      <c r="P38" s="82"/>
    </row>
    <row r="39" spans="1:16" x14ac:dyDescent="0.25">
      <c r="A39" s="3">
        <v>14906</v>
      </c>
      <c r="B39" s="14" t="s">
        <v>18</v>
      </c>
      <c r="C39" s="5">
        <f t="shared" si="0"/>
        <v>5.666666666666667</v>
      </c>
      <c r="D39" s="5">
        <v>17</v>
      </c>
      <c r="E39" s="5">
        <f t="shared" si="1"/>
        <v>6</v>
      </c>
      <c r="F39" s="82">
        <f t="shared" si="2"/>
        <v>200</v>
      </c>
      <c r="G39" s="82"/>
      <c r="H39" s="82"/>
      <c r="I39" s="82"/>
      <c r="J39" s="11"/>
      <c r="K39" s="11"/>
      <c r="L39" s="11"/>
      <c r="M39" s="11"/>
      <c r="N39" s="11"/>
      <c r="O39" s="82"/>
      <c r="P39" s="82"/>
    </row>
    <row r="40" spans="1:16" x14ac:dyDescent="0.25">
      <c r="A40" s="3">
        <v>207147</v>
      </c>
      <c r="B40" s="14" t="s">
        <v>27</v>
      </c>
      <c r="C40" s="5">
        <f t="shared" si="0"/>
        <v>11.666666666666666</v>
      </c>
      <c r="D40" s="5">
        <v>35</v>
      </c>
      <c r="E40" s="5">
        <f t="shared" si="1"/>
        <v>12</v>
      </c>
      <c r="F40" s="82">
        <f t="shared" si="2"/>
        <v>250</v>
      </c>
      <c r="G40" s="82"/>
      <c r="H40" s="82"/>
      <c r="I40" s="82"/>
      <c r="J40" s="11"/>
      <c r="K40" s="11"/>
      <c r="L40" s="11"/>
      <c r="M40" s="11"/>
      <c r="N40" s="11"/>
      <c r="O40" s="82"/>
      <c r="P40" s="82"/>
    </row>
    <row r="41" spans="1:16" x14ac:dyDescent="0.25">
      <c r="A41" s="3">
        <v>283245</v>
      </c>
      <c r="B41" s="3" t="s">
        <v>1191</v>
      </c>
      <c r="C41" s="5">
        <f t="shared" si="0"/>
        <v>5.333333333333333</v>
      </c>
      <c r="D41" s="5">
        <v>16</v>
      </c>
      <c r="E41" s="5">
        <f t="shared" si="1"/>
        <v>5</v>
      </c>
      <c r="F41" s="82">
        <f t="shared" si="2"/>
        <v>200</v>
      </c>
      <c r="G41" s="82"/>
      <c r="H41" s="82"/>
      <c r="I41" s="82"/>
      <c r="J41" s="11"/>
      <c r="K41" s="11"/>
      <c r="L41" s="11"/>
      <c r="M41" s="11"/>
      <c r="N41" s="11"/>
      <c r="O41" s="82"/>
      <c r="P41" s="82"/>
    </row>
    <row r="42" spans="1:16" x14ac:dyDescent="0.25">
      <c r="A42" s="3"/>
      <c r="B42" s="5"/>
      <c r="C42" s="4"/>
      <c r="D42" s="85"/>
      <c r="E42" s="85"/>
      <c r="F42" s="82"/>
      <c r="G42" s="82"/>
      <c r="H42" s="82"/>
      <c r="I42" s="82"/>
      <c r="J42" s="11"/>
      <c r="K42" s="11"/>
      <c r="L42" s="11"/>
      <c r="M42" s="11"/>
      <c r="N42" s="11"/>
      <c r="O42" s="82"/>
      <c r="P42" s="82"/>
    </row>
  </sheetData>
  <mergeCells count="122">
    <mergeCell ref="D42:E42"/>
    <mergeCell ref="F42:G42"/>
    <mergeCell ref="H42:I42"/>
    <mergeCell ref="O42:P42"/>
    <mergeCell ref="F40:G40"/>
    <mergeCell ref="H40:I40"/>
    <mergeCell ref="O40:P40"/>
    <mergeCell ref="F41:G41"/>
    <mergeCell ref="H41:I41"/>
    <mergeCell ref="O41:P41"/>
    <mergeCell ref="F38:G38"/>
    <mergeCell ref="H38:I38"/>
    <mergeCell ref="O38:P38"/>
    <mergeCell ref="F39:G39"/>
    <mergeCell ref="H39:I39"/>
    <mergeCell ref="O39:P39"/>
    <mergeCell ref="F36:G36"/>
    <mergeCell ref="H36:I36"/>
    <mergeCell ref="O36:P36"/>
    <mergeCell ref="F37:G37"/>
    <mergeCell ref="H37:I37"/>
    <mergeCell ref="O37:P37"/>
    <mergeCell ref="F34:G34"/>
    <mergeCell ref="H34:I34"/>
    <mergeCell ref="O34:P34"/>
    <mergeCell ref="F35:G35"/>
    <mergeCell ref="H35:I35"/>
    <mergeCell ref="O35:P35"/>
    <mergeCell ref="F32:G32"/>
    <mergeCell ref="H32:I32"/>
    <mergeCell ref="O32:P32"/>
    <mergeCell ref="F33:G33"/>
    <mergeCell ref="H33:I33"/>
    <mergeCell ref="O33:P33"/>
    <mergeCell ref="F30:G30"/>
    <mergeCell ref="H30:I30"/>
    <mergeCell ref="O30:P30"/>
    <mergeCell ref="F31:G31"/>
    <mergeCell ref="H31:I31"/>
    <mergeCell ref="O31:P31"/>
    <mergeCell ref="F28:G28"/>
    <mergeCell ref="H28:I28"/>
    <mergeCell ref="O28:P28"/>
    <mergeCell ref="F29:G29"/>
    <mergeCell ref="H29:I29"/>
    <mergeCell ref="O29:P29"/>
    <mergeCell ref="F26:G26"/>
    <mergeCell ref="I7:J7"/>
    <mergeCell ref="O26:P26"/>
    <mergeCell ref="F27:G27"/>
    <mergeCell ref="H27:I27"/>
    <mergeCell ref="O27:P27"/>
    <mergeCell ref="F24:G24"/>
    <mergeCell ref="I24:J24"/>
    <mergeCell ref="O24:P24"/>
    <mergeCell ref="F25:G25"/>
    <mergeCell ref="I25:J25"/>
    <mergeCell ref="O25:P25"/>
    <mergeCell ref="F22:G22"/>
    <mergeCell ref="O22:P22"/>
    <mergeCell ref="F23:G23"/>
    <mergeCell ref="I23:J23"/>
    <mergeCell ref="O23:P23"/>
    <mergeCell ref="F20:G20"/>
    <mergeCell ref="I20:J20"/>
    <mergeCell ref="O20:P20"/>
    <mergeCell ref="F21:G21"/>
    <mergeCell ref="I21:J21"/>
    <mergeCell ref="O21:P21"/>
    <mergeCell ref="F6:G6"/>
    <mergeCell ref="I5:J5"/>
    <mergeCell ref="O18:P18"/>
    <mergeCell ref="F19:G19"/>
    <mergeCell ref="I19:J19"/>
    <mergeCell ref="O19:P19"/>
    <mergeCell ref="F16:G16"/>
    <mergeCell ref="I16:J16"/>
    <mergeCell ref="O16:P16"/>
    <mergeCell ref="F17:G17"/>
    <mergeCell ref="I17:J17"/>
    <mergeCell ref="O17:P17"/>
    <mergeCell ref="F14:G14"/>
    <mergeCell ref="O6:P6"/>
    <mergeCell ref="F7:G7"/>
    <mergeCell ref="O7:P7"/>
    <mergeCell ref="I6:J6"/>
    <mergeCell ref="F18:G18"/>
    <mergeCell ref="F10:G10"/>
    <mergeCell ref="I10:J10"/>
    <mergeCell ref="O10:P10"/>
    <mergeCell ref="F11:G11"/>
    <mergeCell ref="I11:J11"/>
    <mergeCell ref="O11:P11"/>
    <mergeCell ref="F8:G8"/>
    <mergeCell ref="I8:J8"/>
    <mergeCell ref="O8:P8"/>
    <mergeCell ref="F9:G9"/>
    <mergeCell ref="I9:J9"/>
    <mergeCell ref="O9:P9"/>
    <mergeCell ref="O14:P14"/>
    <mergeCell ref="F15:G15"/>
    <mergeCell ref="I15:J15"/>
    <mergeCell ref="O15:P15"/>
    <mergeCell ref="F12:G12"/>
    <mergeCell ref="I12:J12"/>
    <mergeCell ref="O12:P12"/>
    <mergeCell ref="F13:G13"/>
    <mergeCell ref="I13:J13"/>
    <mergeCell ref="O13:P13"/>
    <mergeCell ref="F4:G4"/>
    <mergeCell ref="O4:P4"/>
    <mergeCell ref="F5:G5"/>
    <mergeCell ref="O5:P5"/>
    <mergeCell ref="E1:F1"/>
    <mergeCell ref="H1:I1"/>
    <mergeCell ref="F2:G2"/>
    <mergeCell ref="I2:J2"/>
    <mergeCell ref="O2:P2"/>
    <mergeCell ref="F3:G3"/>
    <mergeCell ref="I3:J3"/>
    <mergeCell ref="O3:P3"/>
    <mergeCell ref="I4:J4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09C3E-24B1-42CE-9DE7-0D3B9718F77F}">
  <dimension ref="A1:R55"/>
  <sheetViews>
    <sheetView workbookViewId="0"/>
  </sheetViews>
  <sheetFormatPr defaultRowHeight="15" x14ac:dyDescent="0.25"/>
  <cols>
    <col min="1" max="1" width="23" style="95" bestFit="1" customWidth="1"/>
    <col min="2" max="2" width="19.7109375" bestFit="1" customWidth="1"/>
    <col min="3" max="3" width="11.42578125" bestFit="1" customWidth="1"/>
    <col min="4" max="4" width="30.42578125" bestFit="1" customWidth="1"/>
    <col min="5" max="5" width="9.28515625" bestFit="1" customWidth="1"/>
    <col min="6" max="6" width="5" bestFit="1" customWidth="1"/>
    <col min="8" max="8" width="11.5703125" bestFit="1" customWidth="1"/>
    <col min="9" max="9" width="9.5703125" bestFit="1" customWidth="1"/>
    <col min="10" max="10" width="23.140625" bestFit="1" customWidth="1"/>
    <col min="11" max="11" width="18.42578125" bestFit="1" customWidth="1"/>
    <col min="12" max="12" width="5.7109375" bestFit="1" customWidth="1"/>
    <col min="13" max="13" width="20.140625" bestFit="1" customWidth="1"/>
    <col min="14" max="14" width="13.7109375" bestFit="1" customWidth="1"/>
    <col min="15" max="15" width="11.5703125" bestFit="1" customWidth="1"/>
    <col min="16" max="16" width="24.85546875" bestFit="1" customWidth="1"/>
  </cols>
  <sheetData>
    <row r="1" spans="1:18" x14ac:dyDescent="0.25">
      <c r="A1" s="101" t="s">
        <v>1249</v>
      </c>
      <c r="B1" s="100" t="s">
        <v>17</v>
      </c>
    </row>
    <row r="2" spans="1:18" x14ac:dyDescent="0.25">
      <c r="A2" s="101" t="s">
        <v>1307</v>
      </c>
      <c r="B2" s="100">
        <v>14383</v>
      </c>
    </row>
    <row r="3" spans="1:18" x14ac:dyDescent="0.25">
      <c r="A3" s="101" t="s">
        <v>1305</v>
      </c>
      <c r="B3" s="100">
        <f>VLOOKUP(B2, '90'!A:E, 5, 0)</f>
        <v>24</v>
      </c>
    </row>
    <row r="4" spans="1:18" x14ac:dyDescent="0.25">
      <c r="A4" s="101" t="s">
        <v>1306</v>
      </c>
      <c r="B4" s="100" t="str">
        <f>IFERROR(VLOOKUP(B2, NPS!B:H, 7, 0), 0)</f>
        <v>3P</v>
      </c>
    </row>
    <row r="5" spans="1:18" x14ac:dyDescent="0.25">
      <c r="A5" s="101" t="s">
        <v>1257</v>
      </c>
      <c r="B5" s="100">
        <f>IFERROR(VLOOKUP(B2, NPS!B:H, 3, 0), 0)</f>
        <v>3</v>
      </c>
    </row>
    <row r="6" spans="1:18" x14ac:dyDescent="0.25">
      <c r="A6" s="101" t="s">
        <v>1447</v>
      </c>
      <c r="B6" s="103">
        <f>VLOOKUP(14.5, 'Look Up Table'!A:B, 2, TRUE)</f>
        <v>0.04</v>
      </c>
    </row>
    <row r="7" spans="1:18" ht="50.1" customHeight="1" x14ac:dyDescent="0.25">
      <c r="A7" s="102" t="s">
        <v>43</v>
      </c>
      <c r="B7" s="80" t="s">
        <v>1308</v>
      </c>
      <c r="C7" s="80" t="s">
        <v>1309</v>
      </c>
      <c r="D7" s="80" t="s">
        <v>48</v>
      </c>
      <c r="E7" s="80" t="s">
        <v>1310</v>
      </c>
      <c r="F7" s="80" t="s">
        <v>1311</v>
      </c>
      <c r="G7" s="80" t="s">
        <v>1312</v>
      </c>
      <c r="H7" s="80" t="s">
        <v>1313</v>
      </c>
      <c r="I7" s="80" t="s">
        <v>51</v>
      </c>
      <c r="J7" s="80" t="s">
        <v>1314</v>
      </c>
      <c r="K7" s="80" t="s">
        <v>1315</v>
      </c>
      <c r="L7" s="80" t="s">
        <v>54</v>
      </c>
      <c r="M7" s="80" t="s">
        <v>55</v>
      </c>
      <c r="N7" s="80" t="s">
        <v>1316</v>
      </c>
      <c r="O7" s="80" t="s">
        <v>1317</v>
      </c>
      <c r="P7" s="80" t="s">
        <v>1318</v>
      </c>
    </row>
    <row r="8" spans="1:18" x14ac:dyDescent="0.25">
      <c r="A8" s="96">
        <v>45727</v>
      </c>
      <c r="B8" s="93">
        <v>9300</v>
      </c>
      <c r="C8" s="93">
        <v>16060</v>
      </c>
      <c r="D8" s="93" t="s">
        <v>479</v>
      </c>
      <c r="E8" s="93" t="s">
        <v>480</v>
      </c>
      <c r="F8" s="93">
        <v>25</v>
      </c>
      <c r="G8" s="93" t="s">
        <v>1319</v>
      </c>
      <c r="H8" s="93" t="s">
        <v>1376</v>
      </c>
      <c r="I8" s="93" t="s">
        <v>59</v>
      </c>
      <c r="J8" s="107">
        <v>1235</v>
      </c>
      <c r="K8" s="107">
        <v>6335.46</v>
      </c>
      <c r="L8" s="93">
        <v>1</v>
      </c>
      <c r="M8" s="107">
        <v>1140.3800000000001</v>
      </c>
      <c r="N8" s="107">
        <f>IF(M8&lt;=251, VLOOKUP(B3, 'Look Up Table'!I:J, 2, TRUE) * L8, 0)</f>
        <v>0</v>
      </c>
      <c r="O8" s="107">
        <f>IF(N8&gt;0, N8 - M8, 0)</f>
        <v>0</v>
      </c>
      <c r="P8" s="107">
        <f>IF(N8 = 0, K8 * B6, 0)</f>
        <v>253.41840000000002</v>
      </c>
      <c r="Q8" s="93"/>
      <c r="R8" s="93"/>
    </row>
    <row r="9" spans="1:18" x14ac:dyDescent="0.25">
      <c r="A9" s="96">
        <v>45727</v>
      </c>
      <c r="B9" s="93">
        <v>9445</v>
      </c>
      <c r="C9" s="93">
        <v>23785</v>
      </c>
      <c r="D9" s="93" t="s">
        <v>482</v>
      </c>
      <c r="E9" s="93" t="s">
        <v>483</v>
      </c>
      <c r="F9" s="93">
        <v>25</v>
      </c>
      <c r="G9" s="93" t="s">
        <v>1319</v>
      </c>
      <c r="H9" s="93" t="s">
        <v>1344</v>
      </c>
      <c r="I9" s="93" t="s">
        <v>59</v>
      </c>
      <c r="J9" s="107">
        <v>562</v>
      </c>
      <c r="K9" s="107">
        <v>-220.59</v>
      </c>
      <c r="L9" s="93">
        <v>1</v>
      </c>
      <c r="M9" s="107">
        <v>200</v>
      </c>
      <c r="N9" s="107">
        <f>IF(M9&lt;=251, VLOOKUP(B3, 'Look Up Table'!I:J, 2, TRUE) * L9, 0)</f>
        <v>400</v>
      </c>
      <c r="O9" s="107">
        <f>IF(N9&gt;0, N9 - M9, 0)</f>
        <v>200</v>
      </c>
      <c r="P9" s="107">
        <f>IF(N9 = 0, K9 * B6, 0)</f>
        <v>0</v>
      </c>
      <c r="Q9" s="93"/>
      <c r="R9" s="93"/>
    </row>
    <row r="10" spans="1:18" x14ac:dyDescent="0.25">
      <c r="A10" s="96">
        <v>45728</v>
      </c>
      <c r="B10" s="93">
        <v>9434</v>
      </c>
      <c r="C10" s="93">
        <v>23752</v>
      </c>
      <c r="D10" s="93" t="s">
        <v>484</v>
      </c>
      <c r="E10" s="93" t="s">
        <v>485</v>
      </c>
      <c r="F10" s="93">
        <v>25</v>
      </c>
      <c r="G10" s="93" t="s">
        <v>1321</v>
      </c>
      <c r="H10" s="93" t="s">
        <v>1357</v>
      </c>
      <c r="I10" s="93" t="s">
        <v>59</v>
      </c>
      <c r="J10" s="107">
        <v>2112.16</v>
      </c>
      <c r="K10" s="107">
        <v>7359.64</v>
      </c>
      <c r="L10" s="93">
        <v>1</v>
      </c>
      <c r="M10" s="107">
        <v>1324.74</v>
      </c>
      <c r="N10" s="107">
        <f>IF(M10&lt;=251, VLOOKUP(B3, 'Look Up Table'!I:J, 2, TRUE) * L10, 0)</f>
        <v>0</v>
      </c>
      <c r="O10" s="107">
        <f>IF(N10&gt;0, N10 - M10, 0)</f>
        <v>0</v>
      </c>
      <c r="P10" s="107">
        <f>IF(N10 = 0, K10 * B6, 0)</f>
        <v>294.38560000000001</v>
      </c>
      <c r="Q10" s="93"/>
      <c r="R10" s="93"/>
    </row>
    <row r="11" spans="1:18" x14ac:dyDescent="0.25">
      <c r="A11" s="96">
        <v>45730</v>
      </c>
      <c r="B11" s="93">
        <v>9518</v>
      </c>
      <c r="C11" s="93">
        <v>283417</v>
      </c>
      <c r="D11" s="93" t="s">
        <v>486</v>
      </c>
      <c r="E11" s="93" t="s">
        <v>487</v>
      </c>
      <c r="F11" s="93">
        <v>25</v>
      </c>
      <c r="G11" s="93" t="s">
        <v>1319</v>
      </c>
      <c r="H11" s="93" t="s">
        <v>1320</v>
      </c>
      <c r="I11" s="93" t="s">
        <v>59</v>
      </c>
      <c r="J11" s="107">
        <v>3603.02</v>
      </c>
      <c r="K11" s="107">
        <v>-2426</v>
      </c>
      <c r="L11" s="93">
        <v>0.5</v>
      </c>
      <c r="M11" s="107">
        <v>100</v>
      </c>
      <c r="N11" s="107">
        <f>IF(M11&lt;=251, VLOOKUP(B3, 'Look Up Table'!I:J, 2, TRUE) * L11, 0)</f>
        <v>200</v>
      </c>
      <c r="O11" s="107">
        <f>IF(N11&gt;0, N11 - M11, 0)</f>
        <v>100</v>
      </c>
      <c r="P11" s="107">
        <f>IF(N11 = 0, K11 * B6, 0)</f>
        <v>0</v>
      </c>
      <c r="Q11" s="93"/>
      <c r="R11" s="93"/>
    </row>
    <row r="12" spans="1:18" x14ac:dyDescent="0.25">
      <c r="A12" s="96">
        <v>45733</v>
      </c>
      <c r="B12" s="93">
        <v>9477</v>
      </c>
      <c r="C12" s="93">
        <v>276284</v>
      </c>
      <c r="D12" s="93" t="s">
        <v>489</v>
      </c>
      <c r="E12" s="93" t="s">
        <v>490</v>
      </c>
      <c r="F12" s="93">
        <v>25</v>
      </c>
      <c r="G12" s="93" t="s">
        <v>1319</v>
      </c>
      <c r="H12" s="93" t="s">
        <v>1377</v>
      </c>
      <c r="I12" s="93" t="s">
        <v>59</v>
      </c>
      <c r="J12" s="107">
        <v>865</v>
      </c>
      <c r="K12" s="107">
        <v>2774</v>
      </c>
      <c r="L12" s="93">
        <v>1</v>
      </c>
      <c r="M12" s="107">
        <v>499.32</v>
      </c>
      <c r="N12" s="107">
        <f>IF(M12&lt;=251, VLOOKUP(B3, 'Look Up Table'!I:J, 2, TRUE) * L12, 0)</f>
        <v>0</v>
      </c>
      <c r="O12" s="107">
        <f>IF(N12&gt;0, N12 - M12, 0)</f>
        <v>0</v>
      </c>
      <c r="P12" s="107">
        <f>IF(N12 = 0, K12 * B6, 0)</f>
        <v>110.96000000000001</v>
      </c>
      <c r="Q12" s="93"/>
      <c r="R12" s="93"/>
    </row>
    <row r="13" spans="1:18" x14ac:dyDescent="0.25">
      <c r="A13" s="96">
        <v>45735</v>
      </c>
      <c r="B13" s="93">
        <v>9596</v>
      </c>
      <c r="C13" s="93">
        <v>289658</v>
      </c>
      <c r="D13" s="93" t="s">
        <v>494</v>
      </c>
      <c r="E13" s="93" t="s">
        <v>495</v>
      </c>
      <c r="F13" s="93">
        <v>24</v>
      </c>
      <c r="G13" s="93" t="s">
        <v>1319</v>
      </c>
      <c r="H13" s="93" t="s">
        <v>1354</v>
      </c>
      <c r="I13" s="93" t="s">
        <v>59</v>
      </c>
      <c r="J13" s="107">
        <v>3469.75</v>
      </c>
      <c r="K13" s="107">
        <v>176.53</v>
      </c>
      <c r="L13" s="93">
        <v>1</v>
      </c>
      <c r="M13" s="107">
        <v>200</v>
      </c>
      <c r="N13" s="107">
        <f>IF(M13&lt;=251, VLOOKUP(B3, 'Look Up Table'!I:J, 2, TRUE) * L13, 0)</f>
        <v>400</v>
      </c>
      <c r="O13" s="107">
        <f>IF(N13&gt;0, N13 - M13, 0)</f>
        <v>200</v>
      </c>
      <c r="P13" s="107">
        <f>IF(N13 = 0, K13 * B6, 0)</f>
        <v>0</v>
      </c>
      <c r="Q13" s="93"/>
      <c r="R13" s="93"/>
    </row>
    <row r="14" spans="1:18" x14ac:dyDescent="0.25">
      <c r="A14" s="96">
        <v>45735</v>
      </c>
      <c r="B14" s="93">
        <v>9423</v>
      </c>
      <c r="C14" s="93">
        <v>23736</v>
      </c>
      <c r="D14" s="93" t="s">
        <v>498</v>
      </c>
      <c r="E14" s="93" t="s">
        <v>499</v>
      </c>
      <c r="F14" s="93">
        <v>25</v>
      </c>
      <c r="G14" s="93" t="s">
        <v>1321</v>
      </c>
      <c r="H14" s="93" t="s">
        <v>1324</v>
      </c>
      <c r="I14" s="93" t="s">
        <v>59</v>
      </c>
      <c r="J14" s="107">
        <v>656.04</v>
      </c>
      <c r="K14" s="107">
        <v>-5578.36</v>
      </c>
      <c r="L14" s="93">
        <v>1</v>
      </c>
      <c r="M14" s="107">
        <v>200</v>
      </c>
      <c r="N14" s="107">
        <f>IF(M14&lt;=251, VLOOKUP(B3, 'Look Up Table'!I:J, 2, TRUE) * L14, 0)</f>
        <v>400</v>
      </c>
      <c r="O14" s="107">
        <f>IF(N14&gt;0, N14 - M14, 0)</f>
        <v>200</v>
      </c>
      <c r="P14" s="107">
        <f>IF(N14 = 0, K14 * B6, 0)</f>
        <v>0</v>
      </c>
      <c r="Q14" s="93"/>
      <c r="R14" s="93"/>
    </row>
    <row r="15" spans="1:18" x14ac:dyDescent="0.25">
      <c r="A15" s="96">
        <v>45736</v>
      </c>
      <c r="B15" s="93">
        <v>9625</v>
      </c>
      <c r="C15" s="93">
        <v>24071</v>
      </c>
      <c r="D15" s="93" t="s">
        <v>500</v>
      </c>
      <c r="E15" s="93" t="s">
        <v>501</v>
      </c>
      <c r="F15" s="93">
        <v>25</v>
      </c>
      <c r="G15" s="93" t="s">
        <v>1321</v>
      </c>
      <c r="H15" s="93" t="s">
        <v>1328</v>
      </c>
      <c r="I15" s="93" t="s">
        <v>59</v>
      </c>
      <c r="J15" s="107">
        <v>7815.18</v>
      </c>
      <c r="K15" s="107">
        <v>11239.39</v>
      </c>
      <c r="L15" s="93">
        <v>1</v>
      </c>
      <c r="M15" s="107">
        <v>2023.09</v>
      </c>
      <c r="N15" s="107">
        <f>IF(M15&lt;=251, VLOOKUP(B3, 'Look Up Table'!I:J, 2, TRUE) * L15, 0)</f>
        <v>0</v>
      </c>
      <c r="O15" s="107">
        <f>IF(N15&gt;0, N15 - M15, 0)</f>
        <v>0</v>
      </c>
      <c r="P15" s="107">
        <f>IF(N15 = 0, K15 * B6, 0)</f>
        <v>449.57560000000001</v>
      </c>
      <c r="Q15" s="93"/>
      <c r="R15" s="93"/>
    </row>
    <row r="16" spans="1:18" x14ac:dyDescent="0.25">
      <c r="A16" s="96">
        <v>45741</v>
      </c>
      <c r="B16" s="93">
        <v>9618</v>
      </c>
      <c r="C16" s="93">
        <v>24048</v>
      </c>
      <c r="D16" s="93" t="s">
        <v>502</v>
      </c>
      <c r="E16" s="93" t="s">
        <v>503</v>
      </c>
      <c r="F16" s="93">
        <v>25</v>
      </c>
      <c r="G16" s="93" t="s">
        <v>1321</v>
      </c>
      <c r="H16" s="93" t="s">
        <v>1346</v>
      </c>
      <c r="I16" s="93" t="s">
        <v>59</v>
      </c>
      <c r="J16" s="107">
        <v>6537.3</v>
      </c>
      <c r="K16" s="107">
        <v>3737.93</v>
      </c>
      <c r="L16" s="93">
        <v>1</v>
      </c>
      <c r="M16" s="107">
        <v>672.83</v>
      </c>
      <c r="N16" s="107">
        <f>IF(M16&lt;=251, VLOOKUP(B3, 'Look Up Table'!I:J, 2, TRUE) * L16, 0)</f>
        <v>0</v>
      </c>
      <c r="O16" s="107">
        <f>IF(N16&gt;0, N16 - M16, 0)</f>
        <v>0</v>
      </c>
      <c r="P16" s="107">
        <f>IF(N16 = 0, K16 * B6, 0)</f>
        <v>149.5172</v>
      </c>
      <c r="Q16" s="93"/>
      <c r="R16" s="93"/>
    </row>
    <row r="17" spans="1:18" x14ac:dyDescent="0.25">
      <c r="A17" s="96">
        <v>45741</v>
      </c>
      <c r="B17" s="93">
        <v>9646</v>
      </c>
      <c r="C17" s="93">
        <v>265359</v>
      </c>
      <c r="D17" s="93" t="s">
        <v>504</v>
      </c>
      <c r="E17" s="93" t="s">
        <v>505</v>
      </c>
      <c r="F17" s="93">
        <v>25</v>
      </c>
      <c r="G17" s="93" t="s">
        <v>1321</v>
      </c>
      <c r="H17" s="93" t="s">
        <v>1348</v>
      </c>
      <c r="I17" s="93" t="s">
        <v>59</v>
      </c>
      <c r="J17" s="107">
        <v>2350.2399999999998</v>
      </c>
      <c r="K17" s="107">
        <v>6988.08</v>
      </c>
      <c r="L17" s="93">
        <v>1</v>
      </c>
      <c r="M17" s="107">
        <v>1257.8499999999999</v>
      </c>
      <c r="N17" s="107">
        <f>IF(M17&lt;=251, VLOOKUP(B3, 'Look Up Table'!I:J, 2, TRUE) * L17, 0)</f>
        <v>0</v>
      </c>
      <c r="O17" s="107">
        <f>IF(N17&gt;0, N17 - M17, 0)</f>
        <v>0</v>
      </c>
      <c r="P17" s="107">
        <f>IF(N17 = 0, K17 * B6, 0)</f>
        <v>279.52320000000003</v>
      </c>
      <c r="Q17" s="93"/>
      <c r="R17" s="93"/>
    </row>
    <row r="18" spans="1:18" x14ac:dyDescent="0.25">
      <c r="A18" s="96">
        <v>45744</v>
      </c>
      <c r="B18" s="93">
        <v>9735</v>
      </c>
      <c r="C18" s="93">
        <v>24252</v>
      </c>
      <c r="D18" s="93" t="s">
        <v>508</v>
      </c>
      <c r="E18" s="93" t="s">
        <v>509</v>
      </c>
      <c r="F18" s="93">
        <v>25</v>
      </c>
      <c r="G18" s="93" t="s">
        <v>1319</v>
      </c>
      <c r="H18" s="93" t="s">
        <v>1378</v>
      </c>
      <c r="I18" s="93" t="s">
        <v>59</v>
      </c>
      <c r="J18" s="107">
        <v>2861.81</v>
      </c>
      <c r="K18" s="107">
        <v>9030.31</v>
      </c>
      <c r="L18" s="93">
        <v>1</v>
      </c>
      <c r="M18" s="107">
        <v>1625.46</v>
      </c>
      <c r="N18" s="107">
        <f>IF(M18&lt;=251, VLOOKUP(B3, 'Look Up Table'!I:J, 2, TRUE) * L18, 0)</f>
        <v>0</v>
      </c>
      <c r="O18" s="107">
        <f>IF(N18&gt;0, N18 - M18, 0)</f>
        <v>0</v>
      </c>
      <c r="P18" s="107">
        <f>IF(N18 = 0, K18 * B6, 0)</f>
        <v>361.2124</v>
      </c>
      <c r="Q18" s="93"/>
      <c r="R18" s="93"/>
    </row>
    <row r="19" spans="1:18" x14ac:dyDescent="0.25">
      <c r="A19" s="96">
        <v>45747</v>
      </c>
      <c r="B19" s="93">
        <v>9904</v>
      </c>
      <c r="C19" s="93">
        <v>24451</v>
      </c>
      <c r="D19" s="93" t="s">
        <v>511</v>
      </c>
      <c r="E19" s="93" t="s">
        <v>512</v>
      </c>
      <c r="F19" s="93">
        <v>25</v>
      </c>
      <c r="G19" s="93" t="s">
        <v>1321</v>
      </c>
      <c r="H19" s="93" t="s">
        <v>1346</v>
      </c>
      <c r="I19" s="93" t="s">
        <v>59</v>
      </c>
      <c r="J19" s="107">
        <v>11500.8</v>
      </c>
      <c r="K19" s="107">
        <v>9461.09</v>
      </c>
      <c r="L19" s="93">
        <v>1</v>
      </c>
      <c r="M19" s="107">
        <v>1703</v>
      </c>
      <c r="N19" s="107">
        <f>IF(M19&lt;=251, VLOOKUP(B3, 'Look Up Table'!I:J, 2, TRUE) * L19, 0)</f>
        <v>0</v>
      </c>
      <c r="O19" s="107">
        <f>IF(N19&gt;0, N19 - M19, 0)</f>
        <v>0</v>
      </c>
      <c r="P19" s="107">
        <f>IF(N19 = 0, K19 * B6, 0)</f>
        <v>378.4436</v>
      </c>
      <c r="Q19" s="93"/>
      <c r="R19" s="93"/>
    </row>
    <row r="20" spans="1:18" x14ac:dyDescent="0.25">
      <c r="A20" s="96">
        <v>45747</v>
      </c>
      <c r="B20" s="93" t="s">
        <v>517</v>
      </c>
      <c r="C20" s="93">
        <v>24352</v>
      </c>
      <c r="D20" s="93" t="s">
        <v>515</v>
      </c>
      <c r="E20" s="93" t="s">
        <v>516</v>
      </c>
      <c r="F20" s="93">
        <v>25</v>
      </c>
      <c r="G20" s="93" t="s">
        <v>1319</v>
      </c>
      <c r="H20" s="93" t="s">
        <v>1345</v>
      </c>
      <c r="I20" s="93" t="s">
        <v>59</v>
      </c>
      <c r="J20" s="107">
        <v>2243.38</v>
      </c>
      <c r="K20" s="107">
        <v>-460</v>
      </c>
      <c r="L20" s="93">
        <v>1</v>
      </c>
      <c r="M20" s="107">
        <v>200</v>
      </c>
      <c r="N20" s="107">
        <f>IF(M20&lt;=251, VLOOKUP(B3, 'Look Up Table'!I:J, 2, TRUE) * L20, 0)</f>
        <v>400</v>
      </c>
      <c r="O20" s="107">
        <f>IF(N20&gt;0, N20 - M20, 0)</f>
        <v>200</v>
      </c>
      <c r="P20" s="107">
        <f>IF(N20 = 0, K20 * B6, 0)</f>
        <v>0</v>
      </c>
      <c r="Q20" s="93"/>
      <c r="R20" s="93"/>
    </row>
    <row r="21" spans="1:18" x14ac:dyDescent="0.25">
      <c r="A21" s="96">
        <v>45747</v>
      </c>
      <c r="B21" s="93">
        <v>9942</v>
      </c>
      <c r="C21" s="93">
        <v>24489</v>
      </c>
      <c r="D21" s="93" t="s">
        <v>518</v>
      </c>
      <c r="E21" s="93">
        <v>5113003</v>
      </c>
      <c r="F21" s="93">
        <v>25</v>
      </c>
      <c r="G21" s="93" t="s">
        <v>1321</v>
      </c>
      <c r="H21" s="93" t="s">
        <v>1379</v>
      </c>
      <c r="I21" s="93" t="s">
        <v>59</v>
      </c>
      <c r="J21" s="107">
        <v>654</v>
      </c>
      <c r="K21" s="107">
        <v>-2685.77</v>
      </c>
      <c r="L21" s="93">
        <v>1</v>
      </c>
      <c r="M21" s="107">
        <v>200</v>
      </c>
      <c r="N21" s="107">
        <f>IF(M21&lt;=251, VLOOKUP(B3, 'Look Up Table'!I:J, 2, TRUE) * L21, 0)</f>
        <v>400</v>
      </c>
      <c r="O21" s="107">
        <f>IF(N21&gt;0, N21 - M21, 0)</f>
        <v>200</v>
      </c>
      <c r="P21" s="107">
        <f>IF(N21 = 0, K21 * B6, 0)</f>
        <v>0</v>
      </c>
      <c r="Q21" s="93"/>
      <c r="R21" s="93"/>
    </row>
    <row r="22" spans="1:18" x14ac:dyDescent="0.25">
      <c r="A22" s="96">
        <v>45747</v>
      </c>
      <c r="B22" s="93" t="s">
        <v>524</v>
      </c>
      <c r="C22" s="93">
        <v>20022</v>
      </c>
      <c r="D22" s="93" t="s">
        <v>520</v>
      </c>
      <c r="E22" s="93" t="s">
        <v>521</v>
      </c>
      <c r="F22" s="93">
        <v>22</v>
      </c>
      <c r="G22" s="93" t="s">
        <v>1319</v>
      </c>
      <c r="H22" s="93" t="s">
        <v>1367</v>
      </c>
      <c r="I22" s="93" t="s">
        <v>86</v>
      </c>
      <c r="J22" s="107">
        <v>6508.58</v>
      </c>
      <c r="K22" s="107">
        <v>-613.04</v>
      </c>
      <c r="L22" s="93">
        <v>1</v>
      </c>
      <c r="M22" s="107">
        <v>200</v>
      </c>
      <c r="N22" s="107">
        <f>IF(M22&lt;=251, VLOOKUP(B3, 'Look Up Table'!I:J, 2, TRUE) * L22, 0)</f>
        <v>400</v>
      </c>
      <c r="O22" s="107">
        <f>IF(N22&gt;0, N22 - M22, 0)</f>
        <v>200</v>
      </c>
      <c r="P22" s="107">
        <f>IF(N22 = 0, K22 * B6, 0)</f>
        <v>0</v>
      </c>
      <c r="Q22" s="93"/>
      <c r="R22" s="93"/>
    </row>
    <row r="23" spans="1:18" x14ac:dyDescent="0.25">
      <c r="A23" s="104"/>
      <c r="B23" s="105"/>
      <c r="C23" s="105"/>
      <c r="D23" s="105"/>
      <c r="E23" s="105"/>
      <c r="F23" s="105"/>
      <c r="G23" s="105"/>
      <c r="H23" s="105"/>
      <c r="I23" s="105"/>
      <c r="J23" s="108">
        <f>SUM(J8:J22)</f>
        <v>52974.26</v>
      </c>
      <c r="K23" s="108">
        <f>SUM(K8:K22)</f>
        <v>45118.67</v>
      </c>
      <c r="L23" s="105">
        <f>SUM(L8:L22)</f>
        <v>14.5</v>
      </c>
      <c r="M23" s="108">
        <f>SUM(M8:M22)</f>
        <v>11546.669999999998</v>
      </c>
      <c r="N23" s="108">
        <f>SUM(N8:N22)</f>
        <v>2600</v>
      </c>
      <c r="O23" s="108">
        <f>SUM(O8:O22)</f>
        <v>1300</v>
      </c>
      <c r="P23" s="108">
        <f>SUM(P8:P22)</f>
        <v>2277.0360000000005</v>
      </c>
      <c r="Q23" s="93"/>
      <c r="R23" s="93"/>
    </row>
    <row r="25" spans="1:18" x14ac:dyDescent="0.25">
      <c r="J25" s="99" t="s">
        <v>1451</v>
      </c>
      <c r="M25" s="106">
        <f>-VLOOKUP(B2, '3213'!A:G, 7, 0)</f>
        <v>-2570.4899999999998</v>
      </c>
    </row>
    <row r="26" spans="1:18" x14ac:dyDescent="0.25">
      <c r="J26" s="99"/>
      <c r="M26" s="106"/>
    </row>
    <row r="27" spans="1:18" x14ac:dyDescent="0.25">
      <c r="J27" s="99" t="s">
        <v>1264</v>
      </c>
      <c r="K27" s="92">
        <v>0.18</v>
      </c>
      <c r="M27" s="106">
        <f>M23</f>
        <v>11546.669999999998</v>
      </c>
    </row>
    <row r="28" spans="1:18" x14ac:dyDescent="0.25">
      <c r="J28" s="99"/>
      <c r="M28" s="106"/>
    </row>
    <row r="29" spans="1:18" x14ac:dyDescent="0.25">
      <c r="A29" s="110"/>
      <c r="B29" s="109"/>
      <c r="C29" s="109"/>
      <c r="D29" t="s">
        <v>1448</v>
      </c>
      <c r="J29" s="99" t="s">
        <v>1265</v>
      </c>
      <c r="K29" s="92">
        <f>B6</f>
        <v>0.04</v>
      </c>
      <c r="M29" s="106">
        <f>P23</f>
        <v>2277.0360000000005</v>
      </c>
    </row>
    <row r="30" spans="1:18" x14ac:dyDescent="0.25">
      <c r="J30" s="99"/>
      <c r="M30" s="106"/>
    </row>
    <row r="31" spans="1:18" x14ac:dyDescent="0.25">
      <c r="J31" s="99" t="s">
        <v>1452</v>
      </c>
      <c r="M31" s="106">
        <f>O23</f>
        <v>1300</v>
      </c>
    </row>
    <row r="32" spans="1:18" x14ac:dyDescent="0.25">
      <c r="J32" s="99"/>
      <c r="M32" s="106"/>
    </row>
    <row r="33" spans="1:15" x14ac:dyDescent="0.25">
      <c r="J33" s="99" t="s">
        <v>1453</v>
      </c>
      <c r="M33" s="106">
        <f>SUM(P23, O23)</f>
        <v>3577.0360000000005</v>
      </c>
    </row>
    <row r="34" spans="1:15" x14ac:dyDescent="0.25">
      <c r="J34" s="99"/>
      <c r="M34" s="106"/>
    </row>
    <row r="35" spans="1:15" x14ac:dyDescent="0.25">
      <c r="A35" s="110"/>
      <c r="B35" s="109"/>
      <c r="C35" s="109"/>
      <c r="D35" t="s">
        <v>1449</v>
      </c>
      <c r="J35" s="99" t="s">
        <v>1454</v>
      </c>
      <c r="M35" s="106">
        <f>J23</f>
        <v>52974.26</v>
      </c>
    </row>
    <row r="36" spans="1:15" x14ac:dyDescent="0.25">
      <c r="J36" s="99"/>
      <c r="M36" s="106"/>
    </row>
    <row r="37" spans="1:15" x14ac:dyDescent="0.25">
      <c r="J37" s="99" t="s">
        <v>1455</v>
      </c>
      <c r="K37" s="92">
        <v>-0.25</v>
      </c>
      <c r="M37" s="106">
        <f>K37 * M35</f>
        <v>-13243.565000000001</v>
      </c>
    </row>
    <row r="38" spans="1:15" x14ac:dyDescent="0.25">
      <c r="J38" s="99"/>
      <c r="M38" s="106"/>
    </row>
    <row r="39" spans="1:15" x14ac:dyDescent="0.25">
      <c r="J39" s="99" t="s">
        <v>1456</v>
      </c>
      <c r="M39" s="106">
        <f>M35 + M37</f>
        <v>39730.695</v>
      </c>
    </row>
    <row r="40" spans="1:15" x14ac:dyDescent="0.25">
      <c r="J40" s="99"/>
      <c r="M40" s="106"/>
    </row>
    <row r="41" spans="1:15" x14ac:dyDescent="0.25">
      <c r="J41" s="99" t="s">
        <v>1457</v>
      </c>
      <c r="K41" s="92">
        <v>0.05</v>
      </c>
      <c r="M41" s="106">
        <f>K41 * M39</f>
        <v>1986.53475</v>
      </c>
    </row>
    <row r="42" spans="1:15" x14ac:dyDescent="0.25">
      <c r="J42" s="99"/>
      <c r="M42" s="106"/>
    </row>
    <row r="43" spans="1:15" x14ac:dyDescent="0.25">
      <c r="J43" s="99" t="s">
        <v>1458</v>
      </c>
      <c r="K43" t="str">
        <f>VLOOKUP(B2,'Pay Summary'!A:D,4,0)</f>
        <v/>
      </c>
      <c r="M43" s="106">
        <f>IF(K43 = 1, 500, 0)</f>
        <v>0</v>
      </c>
    </row>
    <row r="44" spans="1:15" x14ac:dyDescent="0.25">
      <c r="J44" s="99"/>
      <c r="M44" s="106"/>
    </row>
    <row r="45" spans="1:15" x14ac:dyDescent="0.25">
      <c r="J45" s="99" t="s">
        <v>1450</v>
      </c>
      <c r="K45">
        <f>L23</f>
        <v>14.5</v>
      </c>
      <c r="M45" s="106">
        <f>VLOOKUP(K45, 'Look Up Table'!E:F, 2, TRUE)</f>
        <v>750</v>
      </c>
    </row>
    <row r="46" spans="1:15" x14ac:dyDescent="0.25">
      <c r="J46" s="99"/>
      <c r="M46" s="106"/>
    </row>
    <row r="47" spans="1:15" x14ac:dyDescent="0.25">
      <c r="J47" s="99" t="s">
        <v>1306</v>
      </c>
      <c r="K47" s="111" t="str">
        <f>B4</f>
        <v>3P</v>
      </c>
      <c r="M47" s="106">
        <f>IF(B5&gt;=3,IF(B4="3P",L23*50,IF(B4="A",0,IF(B4="B",L23*-50))),0)</f>
        <v>725</v>
      </c>
      <c r="N47" s="99" t="s">
        <v>1463</v>
      </c>
      <c r="O47" s="112">
        <f>'NPS Sheet'!X51</f>
        <v>0.91700000000000004</v>
      </c>
    </row>
    <row r="48" spans="1:15" x14ac:dyDescent="0.25">
      <c r="J48" s="99"/>
      <c r="M48" s="106"/>
    </row>
    <row r="49" spans="10:13" x14ac:dyDescent="0.25">
      <c r="J49" s="99" t="s">
        <v>1459</v>
      </c>
      <c r="M49" s="106">
        <f>SUM(M45, M47, M43)</f>
        <v>1475</v>
      </c>
    </row>
    <row r="50" spans="10:13" x14ac:dyDescent="0.25">
      <c r="J50" s="99"/>
      <c r="M50" s="106"/>
    </row>
    <row r="51" spans="10:13" x14ac:dyDescent="0.25">
      <c r="J51" s="99" t="s">
        <v>1460</v>
      </c>
      <c r="M51" s="106">
        <f>IFERROR(VLOOKUP(B2,SPIFFS!A:H,8,0),0)</f>
        <v>0</v>
      </c>
    </row>
    <row r="52" spans="10:13" x14ac:dyDescent="0.25">
      <c r="J52" s="99"/>
      <c r="M52" s="106"/>
    </row>
    <row r="53" spans="10:13" x14ac:dyDescent="0.25">
      <c r="J53" s="99" t="s">
        <v>1461</v>
      </c>
      <c r="M53" s="106">
        <f>SUM(M27, M33, M41, M49, M25, M51)</f>
        <v>16014.750749999997</v>
      </c>
    </row>
    <row r="54" spans="10:13" x14ac:dyDescent="0.25">
      <c r="J54" s="99"/>
      <c r="M54" s="106"/>
    </row>
    <row r="55" spans="10:13" x14ac:dyDescent="0.25">
      <c r="J55" s="99" t="s">
        <v>1462</v>
      </c>
      <c r="M55" s="106">
        <f>IF(M53&lt;0, SUM(M25, M49, M41, M33), 0)</f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A1B7A-8DE9-46EF-8745-C1B14E7F929F}">
  <dimension ref="A1:R54"/>
  <sheetViews>
    <sheetView workbookViewId="0"/>
  </sheetViews>
  <sheetFormatPr defaultRowHeight="15" x14ac:dyDescent="0.25"/>
  <cols>
    <col min="1" max="1" width="23" style="95" bestFit="1" customWidth="1"/>
    <col min="2" max="2" width="32.28515625" bestFit="1" customWidth="1"/>
    <col min="3" max="3" width="11.42578125" bestFit="1" customWidth="1"/>
    <col min="4" max="4" width="29.28515625" bestFit="1" customWidth="1"/>
    <col min="5" max="5" width="9.5703125" bestFit="1" customWidth="1"/>
    <col min="6" max="6" width="5" bestFit="1" customWidth="1"/>
    <col min="7" max="7" width="22.140625" bestFit="1" customWidth="1"/>
    <col min="8" max="8" width="17.7109375" bestFit="1" customWidth="1"/>
    <col min="9" max="9" width="9.5703125" bestFit="1" customWidth="1"/>
    <col min="10" max="10" width="23.140625" bestFit="1" customWidth="1"/>
    <col min="11" max="11" width="18.42578125" bestFit="1" customWidth="1"/>
    <col min="12" max="12" width="5.7109375" bestFit="1" customWidth="1"/>
    <col min="13" max="13" width="20.140625" bestFit="1" customWidth="1"/>
    <col min="14" max="14" width="13.7109375" bestFit="1" customWidth="1"/>
    <col min="15" max="15" width="11.5703125" bestFit="1" customWidth="1"/>
    <col min="16" max="16" width="24.85546875" bestFit="1" customWidth="1"/>
  </cols>
  <sheetData>
    <row r="1" spans="1:18" x14ac:dyDescent="0.25">
      <c r="A1" s="101" t="s">
        <v>1249</v>
      </c>
      <c r="B1" s="100" t="s">
        <v>19</v>
      </c>
    </row>
    <row r="2" spans="1:18" x14ac:dyDescent="0.25">
      <c r="A2" s="101" t="s">
        <v>1307</v>
      </c>
      <c r="B2" s="100">
        <v>16210</v>
      </c>
    </row>
    <row r="3" spans="1:18" x14ac:dyDescent="0.25">
      <c r="A3" s="101" t="s">
        <v>1305</v>
      </c>
      <c r="B3" s="100">
        <f>VLOOKUP(B2, '90'!A:E, 5, 0)</f>
        <v>20</v>
      </c>
    </row>
    <row r="4" spans="1:18" x14ac:dyDescent="0.25">
      <c r="A4" s="101" t="s">
        <v>1306</v>
      </c>
      <c r="B4" s="100" t="str">
        <f>IFERROR(VLOOKUP(B2, NPS!B:H, 7, 0), 0)</f>
        <v>3P</v>
      </c>
    </row>
    <row r="5" spans="1:18" x14ac:dyDescent="0.25">
      <c r="A5" s="101" t="s">
        <v>1257</v>
      </c>
      <c r="B5" s="100">
        <f>IFERROR(VLOOKUP(B2, NPS!B:H, 3, 0), 0)</f>
        <v>3</v>
      </c>
    </row>
    <row r="6" spans="1:18" x14ac:dyDescent="0.25">
      <c r="A6" s="101" t="s">
        <v>1447</v>
      </c>
      <c r="B6" s="103">
        <f>VLOOKUP(11.5, 'Look Up Table'!A:B, 2, TRUE)</f>
        <v>0</v>
      </c>
    </row>
    <row r="7" spans="1:18" ht="50.1" customHeight="1" x14ac:dyDescent="0.25">
      <c r="A7" s="102" t="s">
        <v>43</v>
      </c>
      <c r="B7" s="80" t="s">
        <v>1308</v>
      </c>
      <c r="C7" s="80" t="s">
        <v>1309</v>
      </c>
      <c r="D7" s="80" t="s">
        <v>48</v>
      </c>
      <c r="E7" s="80" t="s">
        <v>1310</v>
      </c>
      <c r="F7" s="80" t="s">
        <v>1311</v>
      </c>
      <c r="G7" s="80" t="s">
        <v>1312</v>
      </c>
      <c r="H7" s="80" t="s">
        <v>1313</v>
      </c>
      <c r="I7" s="80" t="s">
        <v>51</v>
      </c>
      <c r="J7" s="80" t="s">
        <v>1314</v>
      </c>
      <c r="K7" s="80" t="s">
        <v>1315</v>
      </c>
      <c r="L7" s="80" t="s">
        <v>54</v>
      </c>
      <c r="M7" s="80" t="s">
        <v>55</v>
      </c>
      <c r="N7" s="80" t="s">
        <v>1316</v>
      </c>
      <c r="O7" s="80" t="s">
        <v>1317</v>
      </c>
      <c r="P7" s="80" t="s">
        <v>1318</v>
      </c>
    </row>
    <row r="8" spans="1:18" x14ac:dyDescent="0.25">
      <c r="A8" s="96">
        <v>45722</v>
      </c>
      <c r="B8" s="93">
        <v>9364</v>
      </c>
      <c r="C8" s="93">
        <v>23642</v>
      </c>
      <c r="D8" s="93" t="s">
        <v>525</v>
      </c>
      <c r="E8" s="93" t="s">
        <v>526</v>
      </c>
      <c r="F8" s="93">
        <v>23</v>
      </c>
      <c r="G8" s="93" t="s">
        <v>1321</v>
      </c>
      <c r="H8" s="93" t="s">
        <v>1380</v>
      </c>
      <c r="I8" s="93" t="s">
        <v>86</v>
      </c>
      <c r="J8" s="107">
        <v>8102.64</v>
      </c>
      <c r="K8" s="107">
        <v>1989.68</v>
      </c>
      <c r="L8" s="93">
        <v>1</v>
      </c>
      <c r="M8" s="107">
        <v>358.14</v>
      </c>
      <c r="N8" s="107">
        <f>IF(M8&lt;=251, VLOOKUP(B3, 'Look Up Table'!I:J, 2, TRUE) * L8, 0)</f>
        <v>0</v>
      </c>
      <c r="O8" s="107">
        <f>IF(N8&gt;0, N8 - M8, 0)</f>
        <v>0</v>
      </c>
      <c r="P8" s="107">
        <f>IF(N8 = 0, K8 * B6, 0)</f>
        <v>0</v>
      </c>
      <c r="Q8" s="93"/>
      <c r="R8" s="93"/>
    </row>
    <row r="9" spans="1:18" x14ac:dyDescent="0.25">
      <c r="A9" s="96">
        <v>45727</v>
      </c>
      <c r="B9" s="93">
        <v>9446</v>
      </c>
      <c r="C9" s="93">
        <v>259127</v>
      </c>
      <c r="D9" s="93" t="s">
        <v>528</v>
      </c>
      <c r="E9" s="93" t="s">
        <v>529</v>
      </c>
      <c r="F9" s="93">
        <v>24</v>
      </c>
      <c r="G9" s="93" t="s">
        <v>1321</v>
      </c>
      <c r="H9" s="93" t="s">
        <v>1349</v>
      </c>
      <c r="I9" s="93" t="s">
        <v>86</v>
      </c>
      <c r="J9" s="107">
        <v>6075.81</v>
      </c>
      <c r="K9" s="107">
        <v>-612.41999999999996</v>
      </c>
      <c r="L9" s="93">
        <v>1</v>
      </c>
      <c r="M9" s="107">
        <v>200</v>
      </c>
      <c r="N9" s="107">
        <f>IF(M9&lt;=251, VLOOKUP(B3, 'Look Up Table'!I:J, 2, TRUE) * L9, 0)</f>
        <v>350</v>
      </c>
      <c r="O9" s="107">
        <f>IF(N9&gt;0, N9 - M9, 0)</f>
        <v>150</v>
      </c>
      <c r="P9" s="107">
        <f>IF(N9 = 0, K9 * B6, 0)</f>
        <v>0</v>
      </c>
      <c r="Q9" s="93"/>
      <c r="R9" s="93"/>
    </row>
    <row r="10" spans="1:18" x14ac:dyDescent="0.25">
      <c r="A10" s="96">
        <v>45736</v>
      </c>
      <c r="B10" s="93">
        <v>9616</v>
      </c>
      <c r="C10" s="93">
        <v>24046</v>
      </c>
      <c r="D10" s="93" t="s">
        <v>533</v>
      </c>
      <c r="E10" s="93" t="s">
        <v>534</v>
      </c>
      <c r="F10" s="93">
        <v>22</v>
      </c>
      <c r="G10" s="93" t="s">
        <v>1360</v>
      </c>
      <c r="H10" s="93" t="s">
        <v>1381</v>
      </c>
      <c r="I10" s="93" t="s">
        <v>86</v>
      </c>
      <c r="J10" s="107">
        <v>68</v>
      </c>
      <c r="K10" s="107">
        <v>-2100</v>
      </c>
      <c r="L10" s="93">
        <v>1</v>
      </c>
      <c r="M10" s="107">
        <v>200</v>
      </c>
      <c r="N10" s="107">
        <f>IF(M10&lt;=251, VLOOKUP(B3, 'Look Up Table'!I:J, 2, TRUE) * L10, 0)</f>
        <v>350</v>
      </c>
      <c r="O10" s="107">
        <f>IF(N10&gt;0, N10 - M10, 0)</f>
        <v>150</v>
      </c>
      <c r="P10" s="107">
        <f>IF(N10 = 0, K10 * B6, 0)</f>
        <v>0</v>
      </c>
      <c r="Q10" s="93"/>
      <c r="R10" s="93"/>
    </row>
    <row r="11" spans="1:18" x14ac:dyDescent="0.25">
      <c r="A11" s="96">
        <v>45736</v>
      </c>
      <c r="B11" s="93">
        <v>9643</v>
      </c>
      <c r="C11" s="93">
        <v>24097</v>
      </c>
      <c r="D11" s="93" t="s">
        <v>536</v>
      </c>
      <c r="E11" s="93" t="s">
        <v>537</v>
      </c>
      <c r="F11" s="93">
        <v>21</v>
      </c>
      <c r="G11" s="93" t="s">
        <v>1337</v>
      </c>
      <c r="H11" s="93" t="s">
        <v>1382</v>
      </c>
      <c r="I11" s="93" t="s">
        <v>86</v>
      </c>
      <c r="J11" s="107">
        <v>348</v>
      </c>
      <c r="K11" s="107">
        <v>-63.56</v>
      </c>
      <c r="L11" s="93">
        <v>0.5</v>
      </c>
      <c r="M11" s="107">
        <v>100</v>
      </c>
      <c r="N11" s="107">
        <f>IF(M11&lt;=251, VLOOKUP(B3, 'Look Up Table'!I:J, 2, TRUE) * L11, 0)</f>
        <v>175</v>
      </c>
      <c r="O11" s="107">
        <f>IF(N11&gt;0, N11 - M11, 0)</f>
        <v>75</v>
      </c>
      <c r="P11" s="107">
        <f>IF(N11 = 0, K11 * B6, 0)</f>
        <v>0</v>
      </c>
      <c r="Q11" s="93"/>
      <c r="R11" s="93"/>
    </row>
    <row r="12" spans="1:18" x14ac:dyDescent="0.25">
      <c r="A12" s="96">
        <v>45743</v>
      </c>
      <c r="B12" s="93">
        <v>9650</v>
      </c>
      <c r="C12" s="93">
        <v>24116</v>
      </c>
      <c r="D12" s="93" t="s">
        <v>539</v>
      </c>
      <c r="E12" s="93" t="s">
        <v>540</v>
      </c>
      <c r="F12" s="93">
        <v>23</v>
      </c>
      <c r="G12" s="93" t="s">
        <v>1383</v>
      </c>
      <c r="H12" s="93" t="s">
        <v>1384</v>
      </c>
      <c r="I12" s="93" t="s">
        <v>86</v>
      </c>
      <c r="J12" s="107">
        <v>0</v>
      </c>
      <c r="K12" s="107">
        <v>1115.54</v>
      </c>
      <c r="L12" s="93">
        <v>1</v>
      </c>
      <c r="M12" s="107">
        <v>200.8</v>
      </c>
      <c r="N12" s="107">
        <f>IF(M12&lt;=251, VLOOKUP(B3, 'Look Up Table'!I:J, 2, TRUE) * L12, 0)</f>
        <v>350</v>
      </c>
      <c r="O12" s="107">
        <f>IF(N12&gt;0, N12 - M12, 0)</f>
        <v>149.19999999999999</v>
      </c>
      <c r="P12" s="107">
        <f>IF(N12 = 0, K12 * B6, 0)</f>
        <v>0</v>
      </c>
      <c r="Q12" s="93"/>
      <c r="R12" s="93"/>
    </row>
    <row r="13" spans="1:18" x14ac:dyDescent="0.25">
      <c r="A13" s="96">
        <v>45744</v>
      </c>
      <c r="B13" s="93">
        <v>9706</v>
      </c>
      <c r="C13" s="93">
        <v>24227</v>
      </c>
      <c r="D13" s="93" t="s">
        <v>545</v>
      </c>
      <c r="E13" s="93" t="s">
        <v>546</v>
      </c>
      <c r="F13" s="93">
        <v>18</v>
      </c>
      <c r="G13" s="93" t="s">
        <v>1385</v>
      </c>
      <c r="H13" s="93" t="s">
        <v>1386</v>
      </c>
      <c r="I13" s="93" t="s">
        <v>86</v>
      </c>
      <c r="J13" s="107">
        <v>1749.01</v>
      </c>
      <c r="K13" s="107">
        <v>-1543.92</v>
      </c>
      <c r="L13" s="93">
        <v>1</v>
      </c>
      <c r="M13" s="107">
        <v>200</v>
      </c>
      <c r="N13" s="107">
        <f>IF(M13&lt;=251, VLOOKUP(B3, 'Look Up Table'!I:J, 2, TRUE) * L13, 0)</f>
        <v>350</v>
      </c>
      <c r="O13" s="107">
        <f>IF(N13&gt;0, N13 - M13, 0)</f>
        <v>150</v>
      </c>
      <c r="P13" s="107">
        <f>IF(N13 = 0, K13 * B6, 0)</f>
        <v>0</v>
      </c>
      <c r="Q13" s="93"/>
      <c r="R13" s="93"/>
    </row>
    <row r="14" spans="1:18" x14ac:dyDescent="0.25">
      <c r="A14" s="96">
        <v>45747</v>
      </c>
      <c r="B14" s="93" t="s">
        <v>548</v>
      </c>
      <c r="C14" s="93">
        <v>23900</v>
      </c>
      <c r="D14" s="93" t="s">
        <v>549</v>
      </c>
      <c r="E14" s="93" t="s">
        <v>551</v>
      </c>
      <c r="F14" s="93">
        <v>22</v>
      </c>
      <c r="G14" s="93" t="s">
        <v>1329</v>
      </c>
      <c r="H14" s="93" t="s">
        <v>1387</v>
      </c>
      <c r="I14" s="93" t="s">
        <v>86</v>
      </c>
      <c r="J14" s="107">
        <v>4856.1899999999996</v>
      </c>
      <c r="K14" s="107">
        <v>-1600</v>
      </c>
      <c r="L14" s="93">
        <v>1</v>
      </c>
      <c r="M14" s="107">
        <v>200</v>
      </c>
      <c r="N14" s="107">
        <f>IF(M14&lt;=251, VLOOKUP(B3, 'Look Up Table'!I:J, 2, TRUE) * L14, 0)</f>
        <v>350</v>
      </c>
      <c r="O14" s="107">
        <f>IF(N14&gt;0, N14 - M14, 0)</f>
        <v>150</v>
      </c>
      <c r="P14" s="107">
        <f>IF(N14 = 0, K14 * B6, 0)</f>
        <v>0</v>
      </c>
      <c r="Q14" s="93"/>
      <c r="R14" s="93"/>
    </row>
    <row r="15" spans="1:18" x14ac:dyDescent="0.25">
      <c r="A15" s="96">
        <v>45747</v>
      </c>
      <c r="B15" s="93">
        <v>9750</v>
      </c>
      <c r="C15" s="93">
        <v>17739</v>
      </c>
      <c r="D15" s="93" t="s">
        <v>318</v>
      </c>
      <c r="E15" s="93" t="s">
        <v>319</v>
      </c>
      <c r="F15" s="93">
        <v>25</v>
      </c>
      <c r="G15" s="93" t="s">
        <v>1319</v>
      </c>
      <c r="H15" s="93" t="s">
        <v>1333</v>
      </c>
      <c r="I15" s="93" t="s">
        <v>59</v>
      </c>
      <c r="J15" s="107">
        <v>599.5</v>
      </c>
      <c r="K15" s="107">
        <v>-3041.15</v>
      </c>
      <c r="L15" s="93">
        <v>0.5</v>
      </c>
      <c r="M15" s="107">
        <v>100</v>
      </c>
      <c r="N15" s="107">
        <f>IF(M15&lt;=251, VLOOKUP(B3, 'Look Up Table'!I:J, 2, TRUE) * L15, 0)</f>
        <v>175</v>
      </c>
      <c r="O15" s="107">
        <f>IF(N15&gt;0, N15 - M15, 0)</f>
        <v>75</v>
      </c>
      <c r="P15" s="107">
        <f>IF(N15 = 0, K15 * B6, 0)</f>
        <v>0</v>
      </c>
      <c r="Q15" s="93"/>
      <c r="R15" s="93"/>
    </row>
    <row r="16" spans="1:18" x14ac:dyDescent="0.25">
      <c r="A16" s="96">
        <v>45747</v>
      </c>
      <c r="B16" s="93">
        <v>9742</v>
      </c>
      <c r="C16" s="93">
        <v>279748</v>
      </c>
      <c r="D16" s="93" t="s">
        <v>322</v>
      </c>
      <c r="E16" s="93" t="s">
        <v>323</v>
      </c>
      <c r="F16" s="93">
        <v>25</v>
      </c>
      <c r="G16" s="93" t="s">
        <v>1321</v>
      </c>
      <c r="H16" s="93" t="s">
        <v>1328</v>
      </c>
      <c r="I16" s="93" t="s">
        <v>59</v>
      </c>
      <c r="J16" s="107">
        <v>3133.46</v>
      </c>
      <c r="K16" s="107">
        <v>908.99</v>
      </c>
      <c r="L16" s="93">
        <v>0.5</v>
      </c>
      <c r="M16" s="107">
        <v>163.62</v>
      </c>
      <c r="N16" s="107">
        <f>IF(M16&lt;=251, VLOOKUP(B3, 'Look Up Table'!I:J, 2, TRUE) * L16, 0)</f>
        <v>175</v>
      </c>
      <c r="O16" s="107">
        <f>IF(N16&gt;0, N16 - M16, 0)</f>
        <v>11.379999999999995</v>
      </c>
      <c r="P16" s="107">
        <f>IF(N16 = 0, K16 * B6, 0)</f>
        <v>0</v>
      </c>
      <c r="Q16" s="93"/>
      <c r="R16" s="93"/>
    </row>
    <row r="17" spans="1:18" x14ac:dyDescent="0.25">
      <c r="A17" s="96">
        <v>45747</v>
      </c>
      <c r="B17" s="93">
        <v>9798</v>
      </c>
      <c r="C17" s="93">
        <v>21789</v>
      </c>
      <c r="D17" s="93" t="s">
        <v>542</v>
      </c>
      <c r="E17" s="93" t="s">
        <v>543</v>
      </c>
      <c r="F17" s="93">
        <v>23</v>
      </c>
      <c r="G17" s="93" t="s">
        <v>1319</v>
      </c>
      <c r="H17" s="93" t="s">
        <v>1388</v>
      </c>
      <c r="I17" s="93" t="s">
        <v>86</v>
      </c>
      <c r="J17" s="107">
        <v>0</v>
      </c>
      <c r="K17" s="107">
        <v>-685.91</v>
      </c>
      <c r="L17" s="93">
        <v>0.5</v>
      </c>
      <c r="M17" s="107">
        <v>100</v>
      </c>
      <c r="N17" s="107">
        <f>IF(M17&lt;=251, VLOOKUP(B3, 'Look Up Table'!I:J, 2, TRUE) * L17, 0)</f>
        <v>175</v>
      </c>
      <c r="O17" s="107">
        <f>IF(N17&gt;0, N17 - M17, 0)</f>
        <v>75</v>
      </c>
      <c r="P17" s="107">
        <f>IF(N17 = 0, K17 * B6, 0)</f>
        <v>0</v>
      </c>
      <c r="Q17" s="93"/>
      <c r="R17" s="93"/>
    </row>
    <row r="18" spans="1:18" x14ac:dyDescent="0.25">
      <c r="A18" s="96">
        <v>45747</v>
      </c>
      <c r="B18" s="93">
        <v>9665</v>
      </c>
      <c r="C18" s="93">
        <v>24151</v>
      </c>
      <c r="D18" s="93" t="s">
        <v>553</v>
      </c>
      <c r="E18" s="93" t="s">
        <v>554</v>
      </c>
      <c r="F18" s="93">
        <v>21</v>
      </c>
      <c r="G18" s="93" t="s">
        <v>1319</v>
      </c>
      <c r="H18" s="93" t="s">
        <v>1388</v>
      </c>
      <c r="I18" s="93" t="s">
        <v>86</v>
      </c>
      <c r="J18" s="107">
        <v>0</v>
      </c>
      <c r="K18" s="107">
        <v>-503.52</v>
      </c>
      <c r="L18" s="93">
        <v>1</v>
      </c>
      <c r="M18" s="107">
        <v>200</v>
      </c>
      <c r="N18" s="107">
        <f>IF(M18&lt;=251, VLOOKUP(B3, 'Look Up Table'!I:J, 2, TRUE) * L18, 0)</f>
        <v>350</v>
      </c>
      <c r="O18" s="107">
        <f>IF(N18&gt;0, N18 - M18, 0)</f>
        <v>150</v>
      </c>
      <c r="P18" s="107">
        <f>IF(N18 = 0, K18 * B6, 0)</f>
        <v>0</v>
      </c>
      <c r="Q18" s="93"/>
      <c r="R18" s="93"/>
    </row>
    <row r="19" spans="1:18" x14ac:dyDescent="0.25">
      <c r="A19" s="96">
        <v>45747</v>
      </c>
      <c r="B19" s="93">
        <v>9950</v>
      </c>
      <c r="C19" s="93">
        <v>24385</v>
      </c>
      <c r="D19" s="93" t="s">
        <v>556</v>
      </c>
      <c r="E19" s="93" t="s">
        <v>557</v>
      </c>
      <c r="F19" s="93">
        <v>22</v>
      </c>
      <c r="G19" s="93" t="s">
        <v>1321</v>
      </c>
      <c r="H19" s="93" t="s">
        <v>1343</v>
      </c>
      <c r="I19" s="93" t="s">
        <v>86</v>
      </c>
      <c r="J19" s="107">
        <v>3456.19</v>
      </c>
      <c r="K19" s="107">
        <v>288.07</v>
      </c>
      <c r="L19" s="93">
        <v>1</v>
      </c>
      <c r="M19" s="107">
        <v>200</v>
      </c>
      <c r="N19" s="107">
        <f>IF(M19&lt;=251, VLOOKUP(B3, 'Look Up Table'!I:J, 2, TRUE) * L19, 0)</f>
        <v>350</v>
      </c>
      <c r="O19" s="107">
        <f>IF(N19&gt;0, N19 - M19, 0)</f>
        <v>150</v>
      </c>
      <c r="P19" s="107">
        <f>IF(N19 = 0, K19 * B6, 0)</f>
        <v>0</v>
      </c>
      <c r="Q19" s="93"/>
      <c r="R19" s="93"/>
    </row>
    <row r="20" spans="1:18" x14ac:dyDescent="0.25">
      <c r="A20" s="96">
        <v>45747</v>
      </c>
      <c r="B20" s="93">
        <v>9931</v>
      </c>
      <c r="C20" s="93">
        <v>24480</v>
      </c>
      <c r="D20" s="93" t="s">
        <v>558</v>
      </c>
      <c r="E20" s="93">
        <v>107051</v>
      </c>
      <c r="F20" s="93">
        <v>23</v>
      </c>
      <c r="G20" s="93" t="s">
        <v>1389</v>
      </c>
      <c r="H20" s="93" t="s">
        <v>1390</v>
      </c>
      <c r="I20" s="93" t="s">
        <v>86</v>
      </c>
      <c r="J20" s="107">
        <v>1237.96</v>
      </c>
      <c r="K20" s="107">
        <v>-1336.09</v>
      </c>
      <c r="L20" s="93">
        <v>1</v>
      </c>
      <c r="M20" s="107">
        <v>200</v>
      </c>
      <c r="N20" s="107">
        <f>IF(M20&lt;=251, VLOOKUP(B3, 'Look Up Table'!I:J, 2, TRUE) * L20, 0)</f>
        <v>350</v>
      </c>
      <c r="O20" s="107">
        <f>IF(N20&gt;0, N20 - M20, 0)</f>
        <v>150</v>
      </c>
      <c r="P20" s="107">
        <f>IF(N20 = 0, K20 * B6, 0)</f>
        <v>0</v>
      </c>
      <c r="Q20" s="93"/>
      <c r="R20" s="93"/>
    </row>
    <row r="21" spans="1:18" x14ac:dyDescent="0.25">
      <c r="A21" s="96">
        <v>45747</v>
      </c>
      <c r="B21" s="93">
        <v>9941</v>
      </c>
      <c r="C21" s="93">
        <v>24488</v>
      </c>
      <c r="D21" s="93" t="s">
        <v>560</v>
      </c>
      <c r="E21" s="93" t="s">
        <v>561</v>
      </c>
      <c r="F21" s="93">
        <v>23</v>
      </c>
      <c r="G21" s="93" t="s">
        <v>1385</v>
      </c>
      <c r="H21" s="93" t="s">
        <v>1391</v>
      </c>
      <c r="I21" s="93" t="s">
        <v>86</v>
      </c>
      <c r="J21" s="107">
        <v>124.02</v>
      </c>
      <c r="K21" s="107">
        <v>992.27</v>
      </c>
      <c r="L21" s="93">
        <v>0.5</v>
      </c>
      <c r="M21" s="107">
        <v>178.61</v>
      </c>
      <c r="N21" s="107">
        <f>IF(M21&lt;=251, VLOOKUP(B3, 'Look Up Table'!I:J, 2, TRUE) * L21, 0)</f>
        <v>175</v>
      </c>
      <c r="O21" s="107">
        <f>IF(N21&gt;0, N21 - M21, 0)</f>
        <v>-3.6100000000000136</v>
      </c>
      <c r="P21" s="107">
        <f>IF(N21 = 0, K21 * B6, 0)</f>
        <v>0</v>
      </c>
      <c r="Q21" s="93"/>
      <c r="R21" s="93"/>
    </row>
    <row r="22" spans="1:18" x14ac:dyDescent="0.25">
      <c r="A22" s="104"/>
      <c r="B22" s="105"/>
      <c r="C22" s="105"/>
      <c r="D22" s="105"/>
      <c r="E22" s="105"/>
      <c r="F22" s="105"/>
      <c r="G22" s="105"/>
      <c r="H22" s="105"/>
      <c r="I22" s="105"/>
      <c r="J22" s="108">
        <f>SUM(J8:J21)</f>
        <v>29750.78</v>
      </c>
      <c r="K22" s="108">
        <f>SUM(K8:K21)</f>
        <v>-6192.02</v>
      </c>
      <c r="L22" s="105">
        <f>SUM(L8:L21)</f>
        <v>11.5</v>
      </c>
      <c r="M22" s="108">
        <f>SUM(M8:M21)</f>
        <v>2601.17</v>
      </c>
      <c r="N22" s="108">
        <f>SUM(N8:N21)</f>
        <v>3675</v>
      </c>
      <c r="O22" s="108">
        <f>SUM(O8:O21)</f>
        <v>1431.9699999999998</v>
      </c>
      <c r="P22" s="108">
        <f>SUM(P8:P21)</f>
        <v>0</v>
      </c>
      <c r="Q22" s="93"/>
      <c r="R22" s="93"/>
    </row>
    <row r="24" spans="1:18" x14ac:dyDescent="0.25">
      <c r="J24" s="99" t="s">
        <v>1451</v>
      </c>
      <c r="M24" s="106">
        <f>-VLOOKUP(B2, '3213'!A:G, 7, 0)</f>
        <v>-2790.58</v>
      </c>
    </row>
    <row r="25" spans="1:18" x14ac:dyDescent="0.25">
      <c r="J25" s="99"/>
      <c r="M25" s="106"/>
    </row>
    <row r="26" spans="1:18" x14ac:dyDescent="0.25">
      <c r="J26" s="99" t="s">
        <v>1264</v>
      </c>
      <c r="K26" s="92">
        <v>0.18</v>
      </c>
      <c r="M26" s="106">
        <f>M22</f>
        <v>2601.17</v>
      </c>
    </row>
    <row r="27" spans="1:18" x14ac:dyDescent="0.25">
      <c r="J27" s="99"/>
      <c r="M27" s="106"/>
    </row>
    <row r="28" spans="1:18" x14ac:dyDescent="0.25">
      <c r="A28" s="110"/>
      <c r="B28" s="109"/>
      <c r="C28" s="109"/>
      <c r="D28" t="s">
        <v>1448</v>
      </c>
      <c r="J28" s="99" t="s">
        <v>1265</v>
      </c>
      <c r="K28" s="92">
        <f>B6</f>
        <v>0</v>
      </c>
      <c r="M28" s="106">
        <f>P22</f>
        <v>0</v>
      </c>
    </row>
    <row r="29" spans="1:18" x14ac:dyDescent="0.25">
      <c r="J29" s="99"/>
      <c r="M29" s="106"/>
    </row>
    <row r="30" spans="1:18" x14ac:dyDescent="0.25">
      <c r="J30" s="99" t="s">
        <v>1452</v>
      </c>
      <c r="M30" s="106">
        <f>O22</f>
        <v>1431.9699999999998</v>
      </c>
    </row>
    <row r="31" spans="1:18" x14ac:dyDescent="0.25">
      <c r="J31" s="99"/>
      <c r="M31" s="106"/>
    </row>
    <row r="32" spans="1:18" x14ac:dyDescent="0.25">
      <c r="J32" s="99" t="s">
        <v>1453</v>
      </c>
      <c r="M32" s="106">
        <f>SUM(P22, O22)</f>
        <v>1431.9699999999998</v>
      </c>
    </row>
    <row r="33" spans="1:15" x14ac:dyDescent="0.25">
      <c r="J33" s="99"/>
      <c r="M33" s="106"/>
    </row>
    <row r="34" spans="1:15" x14ac:dyDescent="0.25">
      <c r="A34" s="110"/>
      <c r="B34" s="109"/>
      <c r="C34" s="109"/>
      <c r="D34" t="s">
        <v>1449</v>
      </c>
      <c r="J34" s="99" t="s">
        <v>1454</v>
      </c>
      <c r="M34" s="106">
        <f>J22</f>
        <v>29750.78</v>
      </c>
    </row>
    <row r="35" spans="1:15" x14ac:dyDescent="0.25">
      <c r="J35" s="99"/>
      <c r="M35" s="106"/>
    </row>
    <row r="36" spans="1:15" x14ac:dyDescent="0.25">
      <c r="J36" s="99" t="s">
        <v>1455</v>
      </c>
      <c r="K36" s="92">
        <v>-0.25</v>
      </c>
      <c r="M36" s="106">
        <f>K36 * M34</f>
        <v>-7437.6949999999997</v>
      </c>
    </row>
    <row r="37" spans="1:15" x14ac:dyDescent="0.25">
      <c r="J37" s="99"/>
      <c r="M37" s="106"/>
    </row>
    <row r="38" spans="1:15" x14ac:dyDescent="0.25">
      <c r="J38" s="99" t="s">
        <v>1456</v>
      </c>
      <c r="M38" s="106">
        <f>M34 + M36</f>
        <v>22313.084999999999</v>
      </c>
    </row>
    <row r="39" spans="1:15" x14ac:dyDescent="0.25">
      <c r="J39" s="99"/>
      <c r="M39" s="106"/>
    </row>
    <row r="40" spans="1:15" x14ac:dyDescent="0.25">
      <c r="J40" s="99" t="s">
        <v>1457</v>
      </c>
      <c r="K40" s="92">
        <v>0.05</v>
      </c>
      <c r="M40" s="106">
        <f>K40 * M38</f>
        <v>1115.65425</v>
      </c>
    </row>
    <row r="41" spans="1:15" x14ac:dyDescent="0.25">
      <c r="J41" s="99"/>
      <c r="M41" s="106"/>
    </row>
    <row r="42" spans="1:15" x14ac:dyDescent="0.25">
      <c r="J42" s="99" t="s">
        <v>1458</v>
      </c>
      <c r="K42" t="str">
        <f>VLOOKUP(B2,'Pay Summary'!A:D,4,0)</f>
        <v/>
      </c>
      <c r="M42" s="106">
        <f>IF(K42 = 1, 500, 0)</f>
        <v>0</v>
      </c>
    </row>
    <row r="43" spans="1:15" x14ac:dyDescent="0.25">
      <c r="J43" s="99"/>
      <c r="M43" s="106"/>
    </row>
    <row r="44" spans="1:15" x14ac:dyDescent="0.25">
      <c r="J44" s="99" t="s">
        <v>1450</v>
      </c>
      <c r="K44">
        <f>L22</f>
        <v>11.5</v>
      </c>
      <c r="M44" s="106">
        <f>VLOOKUP(K44, 'Look Up Table'!E:F, 2, TRUE)</f>
        <v>375</v>
      </c>
    </row>
    <row r="45" spans="1:15" x14ac:dyDescent="0.25">
      <c r="J45" s="99"/>
      <c r="M45" s="106"/>
    </row>
    <row r="46" spans="1:15" x14ac:dyDescent="0.25">
      <c r="J46" s="99" t="s">
        <v>1306</v>
      </c>
      <c r="K46" s="111" t="str">
        <f>B4</f>
        <v>3P</v>
      </c>
      <c r="M46" s="106">
        <f>IF(B5&gt;=3,IF(B4="3P",L22*50,IF(B4="A",0,IF(B4="B",L22*-50))),0)</f>
        <v>575</v>
      </c>
      <c r="N46" s="99" t="s">
        <v>1463</v>
      </c>
      <c r="O46" s="112">
        <f>'NPS Sheet'!X51</f>
        <v>0.91700000000000004</v>
      </c>
    </row>
    <row r="47" spans="1:15" x14ac:dyDescent="0.25">
      <c r="J47" s="99"/>
      <c r="M47" s="106"/>
    </row>
    <row r="48" spans="1:15" x14ac:dyDescent="0.25">
      <c r="J48" s="99" t="s">
        <v>1459</v>
      </c>
      <c r="M48" s="106">
        <f>SUM(M44, M46, M42)</f>
        <v>950</v>
      </c>
    </row>
    <row r="49" spans="10:13" x14ac:dyDescent="0.25">
      <c r="J49" s="99"/>
      <c r="M49" s="106"/>
    </row>
    <row r="50" spans="10:13" x14ac:dyDescent="0.25">
      <c r="J50" s="99" t="s">
        <v>1460</v>
      </c>
      <c r="M50" s="106">
        <f>IFERROR(VLOOKUP(B2,SPIFFS!A:H,8,0),0)</f>
        <v>4600</v>
      </c>
    </row>
    <row r="51" spans="10:13" x14ac:dyDescent="0.25">
      <c r="J51" s="99"/>
      <c r="M51" s="106"/>
    </row>
    <row r="52" spans="10:13" x14ac:dyDescent="0.25">
      <c r="J52" s="99" t="s">
        <v>1461</v>
      </c>
      <c r="M52" s="106">
        <f>SUM(M26, M32, M40, M48, M24, M50)</f>
        <v>7908.21425</v>
      </c>
    </row>
    <row r="53" spans="10:13" x14ac:dyDescent="0.25">
      <c r="J53" s="99"/>
      <c r="M53" s="106"/>
    </row>
    <row r="54" spans="10:13" x14ac:dyDescent="0.25">
      <c r="J54" s="99" t="s">
        <v>1462</v>
      </c>
      <c r="M54" s="106">
        <f>IF(M52&lt;0, SUM(M24, M48, M40, M32), 0)</f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ED580-96D8-4B87-B77C-6CC7A25E7AE7}">
  <dimension ref="A1:R55"/>
  <sheetViews>
    <sheetView workbookViewId="0"/>
  </sheetViews>
  <sheetFormatPr defaultRowHeight="15" x14ac:dyDescent="0.25"/>
  <cols>
    <col min="1" max="1" width="23" style="95" bestFit="1" customWidth="1"/>
    <col min="2" max="2" width="22.28515625" bestFit="1" customWidth="1"/>
    <col min="3" max="3" width="11.42578125" bestFit="1" customWidth="1"/>
    <col min="4" max="4" width="29.28515625" bestFit="1" customWidth="1"/>
    <col min="5" max="5" width="9.5703125" bestFit="1" customWidth="1"/>
    <col min="6" max="6" width="5" bestFit="1" customWidth="1"/>
    <col min="8" max="8" width="16.7109375" bestFit="1" customWidth="1"/>
    <col min="9" max="9" width="9.5703125" bestFit="1" customWidth="1"/>
    <col min="10" max="10" width="23.140625" bestFit="1" customWidth="1"/>
    <col min="11" max="11" width="18.42578125" bestFit="1" customWidth="1"/>
    <col min="12" max="12" width="5.7109375" bestFit="1" customWidth="1"/>
    <col min="13" max="13" width="20.140625" bestFit="1" customWidth="1"/>
    <col min="14" max="14" width="13.7109375" bestFit="1" customWidth="1"/>
    <col min="15" max="15" width="11.5703125" bestFit="1" customWidth="1"/>
    <col min="16" max="16" width="24.85546875" bestFit="1" customWidth="1"/>
  </cols>
  <sheetData>
    <row r="1" spans="1:18" x14ac:dyDescent="0.25">
      <c r="A1" s="101" t="s">
        <v>1249</v>
      </c>
      <c r="B1" s="100" t="s">
        <v>21</v>
      </c>
    </row>
    <row r="2" spans="1:18" x14ac:dyDescent="0.25">
      <c r="A2" s="101" t="s">
        <v>1307</v>
      </c>
      <c r="B2" s="100">
        <v>16734</v>
      </c>
    </row>
    <row r="3" spans="1:18" x14ac:dyDescent="0.25">
      <c r="A3" s="101" t="s">
        <v>1305</v>
      </c>
      <c r="B3" s="100">
        <f>VLOOKUP(B2, '90'!A:E, 5, 0)</f>
        <v>19</v>
      </c>
    </row>
    <row r="4" spans="1:18" x14ac:dyDescent="0.25">
      <c r="A4" s="101" t="s">
        <v>1306</v>
      </c>
      <c r="B4" s="100" t="str">
        <f>IFERROR(VLOOKUP(B2, NPS!B:H, 7, 0), 0)</f>
        <v>3P</v>
      </c>
    </row>
    <row r="5" spans="1:18" x14ac:dyDescent="0.25">
      <c r="A5" s="101" t="s">
        <v>1257</v>
      </c>
      <c r="B5" s="100">
        <f>IFERROR(VLOOKUP(B2, NPS!B:H, 3, 0), 0)</f>
        <v>4</v>
      </c>
    </row>
    <row r="6" spans="1:18" x14ac:dyDescent="0.25">
      <c r="A6" s="101" t="s">
        <v>1447</v>
      </c>
      <c r="B6" s="103">
        <f>VLOOKUP(12.5, 'Look Up Table'!A:B, 2, TRUE)</f>
        <v>0.04</v>
      </c>
    </row>
    <row r="7" spans="1:18" ht="50.1" customHeight="1" x14ac:dyDescent="0.25">
      <c r="A7" s="102" t="s">
        <v>43</v>
      </c>
      <c r="B7" s="80" t="s">
        <v>1308</v>
      </c>
      <c r="C7" s="80" t="s">
        <v>1309</v>
      </c>
      <c r="D7" s="80" t="s">
        <v>48</v>
      </c>
      <c r="E7" s="80" t="s">
        <v>1310</v>
      </c>
      <c r="F7" s="80" t="s">
        <v>1311</v>
      </c>
      <c r="G7" s="80" t="s">
        <v>1312</v>
      </c>
      <c r="H7" s="80" t="s">
        <v>1313</v>
      </c>
      <c r="I7" s="80" t="s">
        <v>51</v>
      </c>
      <c r="J7" s="80" t="s">
        <v>1314</v>
      </c>
      <c r="K7" s="80" t="s">
        <v>1315</v>
      </c>
      <c r="L7" s="80" t="s">
        <v>54</v>
      </c>
      <c r="M7" s="80" t="s">
        <v>55</v>
      </c>
      <c r="N7" s="80" t="s">
        <v>1316</v>
      </c>
      <c r="O7" s="80" t="s">
        <v>1317</v>
      </c>
      <c r="P7" s="80" t="s">
        <v>1318</v>
      </c>
    </row>
    <row r="8" spans="1:18" x14ac:dyDescent="0.25">
      <c r="A8" s="96">
        <v>45722</v>
      </c>
      <c r="B8" s="93">
        <v>9349</v>
      </c>
      <c r="C8" s="93">
        <v>23595</v>
      </c>
      <c r="D8" s="93" t="s">
        <v>563</v>
      </c>
      <c r="E8" s="93" t="s">
        <v>565</v>
      </c>
      <c r="F8" s="93">
        <v>17</v>
      </c>
      <c r="G8" s="93" t="s">
        <v>1329</v>
      </c>
      <c r="H8" s="93" t="s">
        <v>1392</v>
      </c>
      <c r="I8" s="93" t="s">
        <v>86</v>
      </c>
      <c r="J8" s="107">
        <v>555.44000000000005</v>
      </c>
      <c r="K8" s="107">
        <v>-2424.06</v>
      </c>
      <c r="L8" s="93">
        <v>1</v>
      </c>
      <c r="M8" s="107">
        <v>200</v>
      </c>
      <c r="N8" s="107">
        <f>IF(M8&lt;=251, VLOOKUP(B3, 'Look Up Table'!I:J, 2, TRUE) * L8, 0)</f>
        <v>300</v>
      </c>
      <c r="O8" s="107">
        <f>IF(N8&gt;0, N8 - M8, 0)</f>
        <v>100</v>
      </c>
      <c r="P8" s="107">
        <f>IF(N8 = 0, K8 * B6, 0)</f>
        <v>0</v>
      </c>
      <c r="Q8" s="93"/>
      <c r="R8" s="93"/>
    </row>
    <row r="9" spans="1:18" x14ac:dyDescent="0.25">
      <c r="A9" s="96">
        <v>45722</v>
      </c>
      <c r="B9" s="93">
        <v>9219</v>
      </c>
      <c r="C9" s="93">
        <v>23453</v>
      </c>
      <c r="D9" s="93" t="s">
        <v>567</v>
      </c>
      <c r="E9" s="93" t="s">
        <v>568</v>
      </c>
      <c r="F9" s="93">
        <v>20</v>
      </c>
      <c r="G9" s="93" t="s">
        <v>1393</v>
      </c>
      <c r="H9" s="93" t="s">
        <v>1394</v>
      </c>
      <c r="I9" s="93" t="s">
        <v>86</v>
      </c>
      <c r="J9" s="107">
        <v>100</v>
      </c>
      <c r="K9" s="107">
        <v>-1328.35</v>
      </c>
      <c r="L9" s="93">
        <v>1</v>
      </c>
      <c r="M9" s="107">
        <v>200</v>
      </c>
      <c r="N9" s="107">
        <f>IF(M9&lt;=251, VLOOKUP(B3, 'Look Up Table'!I:J, 2, TRUE) * L9, 0)</f>
        <v>300</v>
      </c>
      <c r="O9" s="107">
        <f>IF(N9&gt;0, N9 - M9, 0)</f>
        <v>100</v>
      </c>
      <c r="P9" s="107">
        <f>IF(N9 = 0, K9 * B6, 0)</f>
        <v>0</v>
      </c>
      <c r="Q9" s="93"/>
      <c r="R9" s="93"/>
    </row>
    <row r="10" spans="1:18" x14ac:dyDescent="0.25">
      <c r="A10" s="96">
        <v>45723</v>
      </c>
      <c r="B10" s="93">
        <v>9367</v>
      </c>
      <c r="C10" s="93">
        <v>23647</v>
      </c>
      <c r="D10" s="93" t="s">
        <v>570</v>
      </c>
      <c r="E10" s="93" t="s">
        <v>571</v>
      </c>
      <c r="F10" s="93">
        <v>22</v>
      </c>
      <c r="G10" s="93" t="s">
        <v>1319</v>
      </c>
      <c r="H10" s="93" t="s">
        <v>1351</v>
      </c>
      <c r="I10" s="93" t="s">
        <v>86</v>
      </c>
      <c r="J10" s="107">
        <v>1296.81</v>
      </c>
      <c r="K10" s="107">
        <v>-935.42</v>
      </c>
      <c r="L10" s="93">
        <v>0.5</v>
      </c>
      <c r="M10" s="107">
        <v>100</v>
      </c>
      <c r="N10" s="107">
        <f>IF(M10&lt;=251, VLOOKUP(B3, 'Look Up Table'!I:J, 2, TRUE) * L10, 0)</f>
        <v>150</v>
      </c>
      <c r="O10" s="107">
        <f>IF(N10&gt;0, N10 - M10, 0)</f>
        <v>50</v>
      </c>
      <c r="P10" s="107">
        <f>IF(N10 = 0, K10 * B6, 0)</f>
        <v>0</v>
      </c>
      <c r="Q10" s="93"/>
      <c r="R10" s="93"/>
    </row>
    <row r="11" spans="1:18" x14ac:dyDescent="0.25">
      <c r="A11" s="96">
        <v>45728</v>
      </c>
      <c r="B11" s="93">
        <v>9115</v>
      </c>
      <c r="C11" s="93">
        <v>23302</v>
      </c>
      <c r="D11" s="93" t="s">
        <v>573</v>
      </c>
      <c r="E11" s="93" t="s">
        <v>574</v>
      </c>
      <c r="F11" s="93">
        <v>19</v>
      </c>
      <c r="G11" s="93" t="s">
        <v>1371</v>
      </c>
      <c r="H11" s="93" t="s">
        <v>1395</v>
      </c>
      <c r="I11" s="93" t="s">
        <v>86</v>
      </c>
      <c r="J11" s="107">
        <v>0</v>
      </c>
      <c r="K11" s="107">
        <v>-2586.6</v>
      </c>
      <c r="L11" s="93">
        <v>1</v>
      </c>
      <c r="M11" s="107">
        <v>200</v>
      </c>
      <c r="N11" s="107">
        <f>IF(M11&lt;=251, VLOOKUP(B3, 'Look Up Table'!I:J, 2, TRUE) * L11, 0)</f>
        <v>300</v>
      </c>
      <c r="O11" s="107">
        <f>IF(N11&gt;0, N11 - M11, 0)</f>
        <v>100</v>
      </c>
      <c r="P11" s="107">
        <f>IF(N11 = 0, K11 * B6, 0)</f>
        <v>0</v>
      </c>
      <c r="Q11" s="93"/>
      <c r="R11" s="93"/>
    </row>
    <row r="12" spans="1:18" x14ac:dyDescent="0.25">
      <c r="A12" s="96">
        <v>45734</v>
      </c>
      <c r="B12" s="93" t="s">
        <v>581</v>
      </c>
      <c r="C12" s="93">
        <v>23912</v>
      </c>
      <c r="D12" s="93" t="s">
        <v>576</v>
      </c>
      <c r="E12" s="93" t="s">
        <v>577</v>
      </c>
      <c r="F12" s="93">
        <v>23</v>
      </c>
      <c r="G12" s="93" t="s">
        <v>1319</v>
      </c>
      <c r="H12" s="93" t="s">
        <v>1396</v>
      </c>
      <c r="I12" s="93" t="s">
        <v>86</v>
      </c>
      <c r="J12" s="107">
        <v>7003.7</v>
      </c>
      <c r="K12" s="107">
        <v>-2015.82</v>
      </c>
      <c r="L12" s="93">
        <v>1</v>
      </c>
      <c r="M12" s="107">
        <v>200</v>
      </c>
      <c r="N12" s="107">
        <f>IF(M12&lt;=251, VLOOKUP(B3, 'Look Up Table'!I:J, 2, TRUE) * L12, 0)</f>
        <v>300</v>
      </c>
      <c r="O12" s="107">
        <f>IF(N12&gt;0, N12 - M12, 0)</f>
        <v>100</v>
      </c>
      <c r="P12" s="107">
        <f>IF(N12 = 0, K12 * B6, 0)</f>
        <v>0</v>
      </c>
      <c r="Q12" s="93"/>
      <c r="R12" s="93"/>
    </row>
    <row r="13" spans="1:18" x14ac:dyDescent="0.25">
      <c r="A13" s="96">
        <v>45734</v>
      </c>
      <c r="B13" s="93">
        <v>9436</v>
      </c>
      <c r="C13" s="93">
        <v>23760</v>
      </c>
      <c r="D13" s="93" t="s">
        <v>582</v>
      </c>
      <c r="E13" s="93" t="s">
        <v>583</v>
      </c>
      <c r="F13" s="93">
        <v>23</v>
      </c>
      <c r="G13" s="93" t="s">
        <v>1319</v>
      </c>
      <c r="H13" s="93" t="s">
        <v>1397</v>
      </c>
      <c r="I13" s="93" t="s">
        <v>86</v>
      </c>
      <c r="J13" s="107">
        <v>2667.4</v>
      </c>
      <c r="K13" s="107">
        <v>3136</v>
      </c>
      <c r="L13" s="93">
        <v>1</v>
      </c>
      <c r="M13" s="107">
        <v>564.48</v>
      </c>
      <c r="N13" s="107">
        <f>IF(M13&lt;=251, VLOOKUP(B3, 'Look Up Table'!I:J, 2, TRUE) * L13, 0)</f>
        <v>0</v>
      </c>
      <c r="O13" s="107">
        <f>IF(N13&gt;0, N13 - M13, 0)</f>
        <v>0</v>
      </c>
      <c r="P13" s="107">
        <f>IF(N13 = 0, K13 * B6, 0)</f>
        <v>125.44</v>
      </c>
      <c r="Q13" s="93"/>
      <c r="R13" s="93"/>
    </row>
    <row r="14" spans="1:18" x14ac:dyDescent="0.25">
      <c r="A14" s="96">
        <v>45741</v>
      </c>
      <c r="B14" s="93">
        <v>9605</v>
      </c>
      <c r="C14" s="93">
        <v>24037</v>
      </c>
      <c r="D14" s="93" t="s">
        <v>585</v>
      </c>
      <c r="E14" s="93" t="s">
        <v>586</v>
      </c>
      <c r="F14" s="93">
        <v>22</v>
      </c>
      <c r="G14" s="93" t="s">
        <v>1321</v>
      </c>
      <c r="H14" s="93" t="s">
        <v>1327</v>
      </c>
      <c r="I14" s="93" t="s">
        <v>86</v>
      </c>
      <c r="J14" s="107">
        <v>2429.8200000000002</v>
      </c>
      <c r="K14" s="107">
        <v>2333.0100000000002</v>
      </c>
      <c r="L14" s="93">
        <v>1</v>
      </c>
      <c r="M14" s="107">
        <v>419.94</v>
      </c>
      <c r="N14" s="107">
        <f>IF(M14&lt;=251, VLOOKUP(B3, 'Look Up Table'!I:J, 2, TRUE) * L14, 0)</f>
        <v>0</v>
      </c>
      <c r="O14" s="107">
        <f>IF(N14&gt;0, N14 - M14, 0)</f>
        <v>0</v>
      </c>
      <c r="P14" s="107">
        <f>IF(N14 = 0, K14 * B6, 0)</f>
        <v>93.320400000000006</v>
      </c>
      <c r="Q14" s="93"/>
      <c r="R14" s="93"/>
    </row>
    <row r="15" spans="1:18" x14ac:dyDescent="0.25">
      <c r="A15" s="96">
        <v>45741</v>
      </c>
      <c r="B15" s="93">
        <v>9567</v>
      </c>
      <c r="C15" s="93">
        <v>23998</v>
      </c>
      <c r="D15" s="93" t="s">
        <v>590</v>
      </c>
      <c r="E15" s="93" t="s">
        <v>591</v>
      </c>
      <c r="F15" s="93">
        <v>22</v>
      </c>
      <c r="G15" s="93" t="s">
        <v>1319</v>
      </c>
      <c r="H15" s="93" t="s">
        <v>1351</v>
      </c>
      <c r="I15" s="93" t="s">
        <v>86</v>
      </c>
      <c r="J15" s="107">
        <v>1553.22</v>
      </c>
      <c r="K15" s="107">
        <v>-42.28</v>
      </c>
      <c r="L15" s="93">
        <v>0.5</v>
      </c>
      <c r="M15" s="107">
        <v>100</v>
      </c>
      <c r="N15" s="107">
        <f>IF(M15&lt;=251, VLOOKUP(B3, 'Look Up Table'!I:J, 2, TRUE) * L15, 0)</f>
        <v>150</v>
      </c>
      <c r="O15" s="107">
        <f>IF(N15&gt;0, N15 - M15, 0)</f>
        <v>50</v>
      </c>
      <c r="P15" s="107">
        <f>IF(N15 = 0, K15 * B6, 0)</f>
        <v>0</v>
      </c>
      <c r="Q15" s="93"/>
      <c r="R15" s="93"/>
    </row>
    <row r="16" spans="1:18" x14ac:dyDescent="0.25">
      <c r="A16" s="96">
        <v>45741</v>
      </c>
      <c r="B16" s="93">
        <v>9555</v>
      </c>
      <c r="C16" s="93">
        <v>23980</v>
      </c>
      <c r="D16" s="93" t="s">
        <v>594</v>
      </c>
      <c r="E16" s="93" t="s">
        <v>595</v>
      </c>
      <c r="F16" s="93">
        <v>24</v>
      </c>
      <c r="G16" s="93" t="s">
        <v>1321</v>
      </c>
      <c r="H16" s="93" t="s">
        <v>1343</v>
      </c>
      <c r="I16" s="93" t="s">
        <v>86</v>
      </c>
      <c r="J16" s="107">
        <v>0</v>
      </c>
      <c r="K16" s="107">
        <v>-1312.23</v>
      </c>
      <c r="L16" s="93">
        <v>1</v>
      </c>
      <c r="M16" s="107">
        <v>200</v>
      </c>
      <c r="N16" s="107">
        <f>IF(M16&lt;=251, VLOOKUP(B3, 'Look Up Table'!I:J, 2, TRUE) * L16, 0)</f>
        <v>300</v>
      </c>
      <c r="O16" s="107">
        <f>IF(N16&gt;0, N16 - M16, 0)</f>
        <v>100</v>
      </c>
      <c r="P16" s="107">
        <f>IF(N16 = 0, K16 * B6, 0)</f>
        <v>0</v>
      </c>
      <c r="Q16" s="93"/>
      <c r="R16" s="93"/>
    </row>
    <row r="17" spans="1:18" x14ac:dyDescent="0.25">
      <c r="A17" s="96">
        <v>45744</v>
      </c>
      <c r="B17" s="93">
        <v>9754</v>
      </c>
      <c r="C17" s="93">
        <v>24268</v>
      </c>
      <c r="D17" s="93" t="s">
        <v>596</v>
      </c>
      <c r="E17" s="93" t="s">
        <v>492</v>
      </c>
      <c r="F17" s="93">
        <v>22</v>
      </c>
      <c r="G17" s="93" t="s">
        <v>1319</v>
      </c>
      <c r="H17" s="93" t="s">
        <v>1398</v>
      </c>
      <c r="I17" s="93" t="s">
        <v>86</v>
      </c>
      <c r="J17" s="107">
        <v>0</v>
      </c>
      <c r="K17" s="107">
        <v>1627.34</v>
      </c>
      <c r="L17" s="93">
        <v>1</v>
      </c>
      <c r="M17" s="107">
        <v>292.92</v>
      </c>
      <c r="N17" s="107">
        <f>IF(M17&lt;=251, VLOOKUP(B3, 'Look Up Table'!I:J, 2, TRUE) * L17, 0)</f>
        <v>0</v>
      </c>
      <c r="O17" s="107">
        <f>IF(N17&gt;0, N17 - M17, 0)</f>
        <v>0</v>
      </c>
      <c r="P17" s="107">
        <f>IF(N17 = 0, K17 * B6, 0)</f>
        <v>65.093599999999995</v>
      </c>
      <c r="Q17" s="93"/>
      <c r="R17" s="93"/>
    </row>
    <row r="18" spans="1:18" x14ac:dyDescent="0.25">
      <c r="A18" s="96">
        <v>45747</v>
      </c>
      <c r="B18" s="93">
        <v>9791</v>
      </c>
      <c r="C18" s="93">
        <v>24309</v>
      </c>
      <c r="D18" s="93" t="s">
        <v>597</v>
      </c>
      <c r="E18" s="93" t="s">
        <v>598</v>
      </c>
      <c r="F18" s="93">
        <v>22</v>
      </c>
      <c r="G18" s="93" t="s">
        <v>1319</v>
      </c>
      <c r="H18" s="93" t="s">
        <v>1399</v>
      </c>
      <c r="I18" s="93" t="s">
        <v>86</v>
      </c>
      <c r="J18" s="107">
        <v>3179.78</v>
      </c>
      <c r="K18" s="107">
        <v>-1224.82</v>
      </c>
      <c r="L18" s="93">
        <v>1</v>
      </c>
      <c r="M18" s="107">
        <v>200</v>
      </c>
      <c r="N18" s="107">
        <f>IF(M18&lt;=251, VLOOKUP(B3, 'Look Up Table'!I:J, 2, TRUE) * L18, 0)</f>
        <v>300</v>
      </c>
      <c r="O18" s="107">
        <f>IF(N18&gt;0, N18 - M18, 0)</f>
        <v>100</v>
      </c>
      <c r="P18" s="107">
        <f>IF(N18 = 0, K18 * B6, 0)</f>
        <v>0</v>
      </c>
      <c r="Q18" s="93"/>
      <c r="R18" s="93"/>
    </row>
    <row r="19" spans="1:18" x14ac:dyDescent="0.25">
      <c r="A19" s="96">
        <v>45747</v>
      </c>
      <c r="B19" s="93">
        <v>9798</v>
      </c>
      <c r="C19" s="93">
        <v>21789</v>
      </c>
      <c r="D19" s="93" t="s">
        <v>542</v>
      </c>
      <c r="E19" s="93" t="s">
        <v>543</v>
      </c>
      <c r="F19" s="93">
        <v>23</v>
      </c>
      <c r="G19" s="93" t="s">
        <v>1319</v>
      </c>
      <c r="H19" s="93" t="s">
        <v>1388</v>
      </c>
      <c r="I19" s="93" t="s">
        <v>86</v>
      </c>
      <c r="J19" s="107">
        <v>0</v>
      </c>
      <c r="K19" s="107">
        <v>-685.91</v>
      </c>
      <c r="L19" s="93">
        <v>0.5</v>
      </c>
      <c r="M19" s="107">
        <v>100</v>
      </c>
      <c r="N19" s="107">
        <f>IF(M19&lt;=251, VLOOKUP(B3, 'Look Up Table'!I:J, 2, TRUE) * L19, 0)</f>
        <v>150</v>
      </c>
      <c r="O19" s="107">
        <f>IF(N19&gt;0, N19 - M19, 0)</f>
        <v>50</v>
      </c>
      <c r="P19" s="107">
        <f>IF(N19 = 0, K19 * B6, 0)</f>
        <v>0</v>
      </c>
      <c r="Q19" s="93"/>
      <c r="R19" s="93"/>
    </row>
    <row r="20" spans="1:18" x14ac:dyDescent="0.25">
      <c r="A20" s="96">
        <v>45747</v>
      </c>
      <c r="B20" s="93" t="s">
        <v>605</v>
      </c>
      <c r="C20" s="93">
        <v>24436</v>
      </c>
      <c r="D20" s="93" t="s">
        <v>600</v>
      </c>
      <c r="E20" s="93" t="s">
        <v>601</v>
      </c>
      <c r="F20" s="93">
        <v>22</v>
      </c>
      <c r="G20" s="93" t="s">
        <v>1319</v>
      </c>
      <c r="H20" s="93" t="s">
        <v>1400</v>
      </c>
      <c r="I20" s="93" t="s">
        <v>86</v>
      </c>
      <c r="J20" s="107">
        <v>1000</v>
      </c>
      <c r="K20" s="107">
        <v>27.77</v>
      </c>
      <c r="L20" s="93">
        <v>0.5</v>
      </c>
      <c r="M20" s="107">
        <v>100</v>
      </c>
      <c r="N20" s="107">
        <f>IF(M20&lt;=251, VLOOKUP(B3, 'Look Up Table'!I:J, 2, TRUE) * L20, 0)</f>
        <v>150</v>
      </c>
      <c r="O20" s="107">
        <f>IF(N20&gt;0, N20 - M20, 0)</f>
        <v>50</v>
      </c>
      <c r="P20" s="107">
        <f>IF(N20 = 0, K20 * B6, 0)</f>
        <v>0</v>
      </c>
      <c r="Q20" s="93"/>
      <c r="R20" s="93"/>
    </row>
    <row r="21" spans="1:18" x14ac:dyDescent="0.25">
      <c r="A21" s="96">
        <v>45747</v>
      </c>
      <c r="B21" s="93">
        <v>9850</v>
      </c>
      <c r="C21" s="93">
        <v>24384</v>
      </c>
      <c r="D21" s="93" t="s">
        <v>606</v>
      </c>
      <c r="E21" s="93">
        <v>632651</v>
      </c>
      <c r="F21" s="93">
        <v>23</v>
      </c>
      <c r="G21" s="93" t="s">
        <v>1401</v>
      </c>
      <c r="H21" s="93" t="s">
        <v>1402</v>
      </c>
      <c r="I21" s="93" t="s">
        <v>86</v>
      </c>
      <c r="J21" s="107">
        <v>0</v>
      </c>
      <c r="K21" s="107">
        <v>994.71</v>
      </c>
      <c r="L21" s="93">
        <v>1</v>
      </c>
      <c r="M21" s="107">
        <v>200</v>
      </c>
      <c r="N21" s="107">
        <f>IF(M21&lt;=251, VLOOKUP(B3, 'Look Up Table'!I:J, 2, TRUE) * L21, 0)</f>
        <v>300</v>
      </c>
      <c r="O21" s="107">
        <f>IF(N21&gt;0, N21 - M21, 0)</f>
        <v>100</v>
      </c>
      <c r="P21" s="107">
        <f>IF(N21 = 0, K21 * B6, 0)</f>
        <v>0</v>
      </c>
      <c r="Q21" s="93"/>
      <c r="R21" s="93"/>
    </row>
    <row r="22" spans="1:18" x14ac:dyDescent="0.25">
      <c r="A22" s="96">
        <v>45747</v>
      </c>
      <c r="B22" s="93">
        <v>9946</v>
      </c>
      <c r="C22" s="93">
        <v>24492</v>
      </c>
      <c r="D22" s="93" t="s">
        <v>608</v>
      </c>
      <c r="E22" s="93" t="s">
        <v>609</v>
      </c>
      <c r="F22" s="93">
        <v>23</v>
      </c>
      <c r="G22" s="93" t="s">
        <v>1371</v>
      </c>
      <c r="H22" s="93" t="s">
        <v>1403</v>
      </c>
      <c r="I22" s="93" t="s">
        <v>86</v>
      </c>
      <c r="J22" s="107">
        <v>592.5</v>
      </c>
      <c r="K22" s="107">
        <v>1688.88</v>
      </c>
      <c r="L22" s="93">
        <v>0.5</v>
      </c>
      <c r="M22" s="107">
        <v>304</v>
      </c>
      <c r="N22" s="107">
        <f>IF(M22&lt;=251, VLOOKUP(B3, 'Look Up Table'!I:J, 2, TRUE) * L22, 0)</f>
        <v>0</v>
      </c>
      <c r="O22" s="107">
        <f>IF(N22&gt;0, N22 - M22, 0)</f>
        <v>0</v>
      </c>
      <c r="P22" s="107">
        <f>IF(N22 = 0, K22 * B6, 0)</f>
        <v>67.555199999999999</v>
      </c>
      <c r="Q22" s="93"/>
      <c r="R22" s="93"/>
    </row>
    <row r="23" spans="1:18" x14ac:dyDescent="0.25">
      <c r="A23" s="104"/>
      <c r="B23" s="105"/>
      <c r="C23" s="105"/>
      <c r="D23" s="105"/>
      <c r="E23" s="105"/>
      <c r="F23" s="105"/>
      <c r="G23" s="105"/>
      <c r="H23" s="105"/>
      <c r="I23" s="105"/>
      <c r="J23" s="108">
        <f>SUM(J8:J22)</f>
        <v>20378.669999999998</v>
      </c>
      <c r="K23" s="108">
        <f>SUM(K8:K22)</f>
        <v>-2747.7799999999988</v>
      </c>
      <c r="L23" s="105">
        <f>SUM(L8:L22)</f>
        <v>12.5</v>
      </c>
      <c r="M23" s="108">
        <f>SUM(M8:M22)</f>
        <v>3381.34</v>
      </c>
      <c r="N23" s="108">
        <f>SUM(N8:N22)</f>
        <v>2700</v>
      </c>
      <c r="O23" s="108">
        <f>SUM(O8:O22)</f>
        <v>900</v>
      </c>
      <c r="P23" s="108">
        <f>SUM(P8:P22)</f>
        <v>351.4092</v>
      </c>
      <c r="Q23" s="93"/>
      <c r="R23" s="93"/>
    </row>
    <row r="25" spans="1:18" x14ac:dyDescent="0.25">
      <c r="J25" s="99" t="s">
        <v>1451</v>
      </c>
      <c r="M25" s="106">
        <f>-VLOOKUP(B2, '3213'!A:G, 7, 0)</f>
        <v>-2576.08</v>
      </c>
    </row>
    <row r="26" spans="1:18" x14ac:dyDescent="0.25">
      <c r="J26" s="99"/>
      <c r="M26" s="106"/>
    </row>
    <row r="27" spans="1:18" x14ac:dyDescent="0.25">
      <c r="J27" s="99" t="s">
        <v>1264</v>
      </c>
      <c r="K27" s="92">
        <v>0.18</v>
      </c>
      <c r="M27" s="106">
        <f>M23</f>
        <v>3381.34</v>
      </c>
    </row>
    <row r="28" spans="1:18" x14ac:dyDescent="0.25">
      <c r="J28" s="99"/>
      <c r="M28" s="106"/>
    </row>
    <row r="29" spans="1:18" x14ac:dyDescent="0.25">
      <c r="A29" s="110"/>
      <c r="B29" s="109"/>
      <c r="C29" s="109"/>
      <c r="D29" t="s">
        <v>1448</v>
      </c>
      <c r="J29" s="99" t="s">
        <v>1265</v>
      </c>
      <c r="K29" s="92">
        <f>B6</f>
        <v>0.04</v>
      </c>
      <c r="M29" s="106">
        <f>P23</f>
        <v>351.4092</v>
      </c>
    </row>
    <row r="30" spans="1:18" x14ac:dyDescent="0.25">
      <c r="J30" s="99"/>
      <c r="M30" s="106"/>
    </row>
    <row r="31" spans="1:18" x14ac:dyDescent="0.25">
      <c r="J31" s="99" t="s">
        <v>1452</v>
      </c>
      <c r="M31" s="106">
        <f>O23</f>
        <v>900</v>
      </c>
    </row>
    <row r="32" spans="1:18" x14ac:dyDescent="0.25">
      <c r="J32" s="99"/>
      <c r="M32" s="106"/>
    </row>
    <row r="33" spans="1:15" x14ac:dyDescent="0.25">
      <c r="J33" s="99" t="s">
        <v>1453</v>
      </c>
      <c r="M33" s="106">
        <f>SUM(P23, O23)</f>
        <v>1251.4092000000001</v>
      </c>
    </row>
    <row r="34" spans="1:15" x14ac:dyDescent="0.25">
      <c r="J34" s="99"/>
      <c r="M34" s="106"/>
    </row>
    <row r="35" spans="1:15" x14ac:dyDescent="0.25">
      <c r="A35" s="110"/>
      <c r="B35" s="109"/>
      <c r="C35" s="109"/>
      <c r="D35" t="s">
        <v>1449</v>
      </c>
      <c r="J35" s="99" t="s">
        <v>1454</v>
      </c>
      <c r="M35" s="106">
        <f>J23</f>
        <v>20378.669999999998</v>
      </c>
    </row>
    <row r="36" spans="1:15" x14ac:dyDescent="0.25">
      <c r="J36" s="99"/>
      <c r="M36" s="106"/>
    </row>
    <row r="37" spans="1:15" x14ac:dyDescent="0.25">
      <c r="J37" s="99" t="s">
        <v>1455</v>
      </c>
      <c r="K37" s="92">
        <v>-0.25</v>
      </c>
      <c r="M37" s="106">
        <f>K37 * M35</f>
        <v>-5094.6674999999996</v>
      </c>
    </row>
    <row r="38" spans="1:15" x14ac:dyDescent="0.25">
      <c r="J38" s="99"/>
      <c r="M38" s="106"/>
    </row>
    <row r="39" spans="1:15" x14ac:dyDescent="0.25">
      <c r="J39" s="99" t="s">
        <v>1456</v>
      </c>
      <c r="M39" s="106">
        <f>M35 + M37</f>
        <v>15284.002499999999</v>
      </c>
    </row>
    <row r="40" spans="1:15" x14ac:dyDescent="0.25">
      <c r="J40" s="99"/>
      <c r="M40" s="106"/>
    </row>
    <row r="41" spans="1:15" x14ac:dyDescent="0.25">
      <c r="J41" s="99" t="s">
        <v>1457</v>
      </c>
      <c r="K41" s="92">
        <v>0.05</v>
      </c>
      <c r="M41" s="106">
        <f>K41 * M39</f>
        <v>764.20012499999996</v>
      </c>
    </row>
    <row r="42" spans="1:15" x14ac:dyDescent="0.25">
      <c r="J42" s="99"/>
      <c r="M42" s="106"/>
    </row>
    <row r="43" spans="1:15" x14ac:dyDescent="0.25">
      <c r="J43" s="99" t="s">
        <v>1458</v>
      </c>
      <c r="K43" t="str">
        <f>VLOOKUP(B2,'Pay Summary'!A:D,4,0)</f>
        <v/>
      </c>
      <c r="M43" s="106">
        <f>IF(K43 = 1, 500, 0)</f>
        <v>0</v>
      </c>
    </row>
    <row r="44" spans="1:15" x14ac:dyDescent="0.25">
      <c r="J44" s="99"/>
      <c r="M44" s="106"/>
    </row>
    <row r="45" spans="1:15" x14ac:dyDescent="0.25">
      <c r="J45" s="99" t="s">
        <v>1450</v>
      </c>
      <c r="K45">
        <f>L23</f>
        <v>12.5</v>
      </c>
      <c r="M45" s="106">
        <f>VLOOKUP(K45, 'Look Up Table'!E:F, 2, TRUE)</f>
        <v>750</v>
      </c>
    </row>
    <row r="46" spans="1:15" x14ac:dyDescent="0.25">
      <c r="J46" s="99"/>
      <c r="M46" s="106"/>
    </row>
    <row r="47" spans="1:15" x14ac:dyDescent="0.25">
      <c r="J47" s="99" t="s">
        <v>1306</v>
      </c>
      <c r="K47" s="111" t="str">
        <f>B4</f>
        <v>3P</v>
      </c>
      <c r="M47" s="106">
        <f>IF(B5&gt;=3,IF(B4="3P",L23*50,IF(B4="A",0,IF(B4="B",L23*-50))),0)</f>
        <v>625</v>
      </c>
      <c r="N47" s="99" t="s">
        <v>1463</v>
      </c>
      <c r="O47" s="112">
        <f>'NPS Sheet'!X51</f>
        <v>0.91700000000000004</v>
      </c>
    </row>
    <row r="48" spans="1:15" x14ac:dyDescent="0.25">
      <c r="J48" s="99"/>
      <c r="M48" s="106"/>
    </row>
    <row r="49" spans="10:13" x14ac:dyDescent="0.25">
      <c r="J49" s="99" t="s">
        <v>1459</v>
      </c>
      <c r="M49" s="106">
        <f>SUM(M45, M47, M43)</f>
        <v>1375</v>
      </c>
    </row>
    <row r="50" spans="10:13" x14ac:dyDescent="0.25">
      <c r="J50" s="99"/>
      <c r="M50" s="106"/>
    </row>
    <row r="51" spans="10:13" x14ac:dyDescent="0.25">
      <c r="J51" s="99" t="s">
        <v>1460</v>
      </c>
      <c r="M51" s="106">
        <f>IFERROR(VLOOKUP(B2,SPIFFS!A:H,8,0),0)</f>
        <v>250</v>
      </c>
    </row>
    <row r="52" spans="10:13" x14ac:dyDescent="0.25">
      <c r="J52" s="99"/>
      <c r="M52" s="106"/>
    </row>
    <row r="53" spans="10:13" x14ac:dyDescent="0.25">
      <c r="J53" s="99" t="s">
        <v>1461</v>
      </c>
      <c r="M53" s="106">
        <f>SUM(M27, M33, M41, M49, M25, M51)</f>
        <v>4445.8693250000006</v>
      </c>
    </row>
    <row r="54" spans="10:13" x14ac:dyDescent="0.25">
      <c r="J54" s="99"/>
      <c r="M54" s="106"/>
    </row>
    <row r="55" spans="10:13" x14ac:dyDescent="0.25">
      <c r="J55" s="99" t="s">
        <v>1462</v>
      </c>
      <c r="M55" s="106">
        <f>IF(M53&lt;0, SUM(M25, M49, M41, M33), 0)</f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A5DAA-5C02-4F20-8AD7-A1B947EEF69D}">
  <dimension ref="A1:R57"/>
  <sheetViews>
    <sheetView workbookViewId="0"/>
  </sheetViews>
  <sheetFormatPr defaultRowHeight="15" x14ac:dyDescent="0.25"/>
  <cols>
    <col min="1" max="1" width="23" style="95" bestFit="1" customWidth="1"/>
    <col min="2" max="2" width="19.7109375" bestFit="1" customWidth="1"/>
    <col min="3" max="3" width="11.42578125" bestFit="1" customWidth="1"/>
    <col min="4" max="4" width="28.28515625" bestFit="1" customWidth="1"/>
    <col min="5" max="5" width="9.5703125" bestFit="1" customWidth="1"/>
    <col min="6" max="6" width="5" bestFit="1" customWidth="1"/>
    <col min="7" max="7" width="22.140625" bestFit="1" customWidth="1"/>
    <col min="8" max="8" width="17" bestFit="1" customWidth="1"/>
    <col min="9" max="9" width="9.5703125" bestFit="1" customWidth="1"/>
    <col min="10" max="10" width="23.140625" bestFit="1" customWidth="1"/>
    <col min="11" max="11" width="18.42578125" bestFit="1" customWidth="1"/>
    <col min="12" max="12" width="5.7109375" bestFit="1" customWidth="1"/>
    <col min="13" max="13" width="20.140625" bestFit="1" customWidth="1"/>
    <col min="14" max="14" width="13.7109375" bestFit="1" customWidth="1"/>
    <col min="15" max="15" width="11.5703125" bestFit="1" customWidth="1"/>
    <col min="16" max="16" width="24.85546875" bestFit="1" customWidth="1"/>
  </cols>
  <sheetData>
    <row r="1" spans="1:18" x14ac:dyDescent="0.25">
      <c r="A1" s="101" t="s">
        <v>1249</v>
      </c>
      <c r="B1" s="100" t="s">
        <v>1250</v>
      </c>
    </row>
    <row r="2" spans="1:18" x14ac:dyDescent="0.25">
      <c r="A2" s="101" t="s">
        <v>1307</v>
      </c>
      <c r="B2" s="100">
        <v>20993</v>
      </c>
    </row>
    <row r="3" spans="1:18" x14ac:dyDescent="0.25">
      <c r="A3" s="101" t="s">
        <v>1305</v>
      </c>
      <c r="B3" s="100">
        <f>VLOOKUP(B2, '90'!A:E, 5, 0)</f>
        <v>22</v>
      </c>
    </row>
    <row r="4" spans="1:18" x14ac:dyDescent="0.25">
      <c r="A4" s="101" t="s">
        <v>1306</v>
      </c>
      <c r="B4" s="100" t="str">
        <f>IFERROR(VLOOKUP(B2, NPS!B:H, 7, 0), 0)</f>
        <v>3P</v>
      </c>
    </row>
    <row r="5" spans="1:18" x14ac:dyDescent="0.25">
      <c r="A5" s="101" t="s">
        <v>1257</v>
      </c>
      <c r="B5" s="100">
        <f>IFERROR(VLOOKUP(B2, NPS!B:H, 3, 0), 0)</f>
        <v>3</v>
      </c>
    </row>
    <row r="6" spans="1:18" x14ac:dyDescent="0.25">
      <c r="A6" s="101" t="s">
        <v>1447</v>
      </c>
      <c r="B6" s="103">
        <f>VLOOKUP(14.5, 'Look Up Table'!A:B, 2, TRUE)</f>
        <v>0.04</v>
      </c>
    </row>
    <row r="7" spans="1:18" ht="50.1" customHeight="1" x14ac:dyDescent="0.25">
      <c r="A7" s="102" t="s">
        <v>43</v>
      </c>
      <c r="B7" s="80" t="s">
        <v>1308</v>
      </c>
      <c r="C7" s="80" t="s">
        <v>1309</v>
      </c>
      <c r="D7" s="80" t="s">
        <v>48</v>
      </c>
      <c r="E7" s="80" t="s">
        <v>1310</v>
      </c>
      <c r="F7" s="80" t="s">
        <v>1311</v>
      </c>
      <c r="G7" s="80" t="s">
        <v>1312</v>
      </c>
      <c r="H7" s="80" t="s">
        <v>1313</v>
      </c>
      <c r="I7" s="80" t="s">
        <v>51</v>
      </c>
      <c r="J7" s="80" t="s">
        <v>1314</v>
      </c>
      <c r="K7" s="80" t="s">
        <v>1315</v>
      </c>
      <c r="L7" s="80" t="s">
        <v>54</v>
      </c>
      <c r="M7" s="80" t="s">
        <v>55</v>
      </c>
      <c r="N7" s="80" t="s">
        <v>1316</v>
      </c>
      <c r="O7" s="80" t="s">
        <v>1317</v>
      </c>
      <c r="P7" s="80" t="s">
        <v>1318</v>
      </c>
    </row>
    <row r="8" spans="1:18" x14ac:dyDescent="0.25">
      <c r="A8" s="96">
        <v>45723</v>
      </c>
      <c r="B8" s="93">
        <v>9306</v>
      </c>
      <c r="C8" s="93">
        <v>279953</v>
      </c>
      <c r="D8" s="93" t="s">
        <v>611</v>
      </c>
      <c r="E8" s="93" t="s">
        <v>612</v>
      </c>
      <c r="F8" s="93">
        <v>22</v>
      </c>
      <c r="G8" s="93" t="s">
        <v>1319</v>
      </c>
      <c r="H8" s="93" t="s">
        <v>1388</v>
      </c>
      <c r="I8" s="93" t="s">
        <v>86</v>
      </c>
      <c r="J8" s="107">
        <v>1546.76</v>
      </c>
      <c r="K8" s="107">
        <v>750</v>
      </c>
      <c r="L8" s="93">
        <v>1</v>
      </c>
      <c r="M8" s="107">
        <v>200</v>
      </c>
      <c r="N8" s="107">
        <f>IF(M8&lt;=251, VLOOKUP(B3, 'Look Up Table'!I:J, 2, TRUE) * L8, 0)</f>
        <v>350</v>
      </c>
      <c r="O8" s="107">
        <f>IF(N8&gt;0, N8 - M8, 0)</f>
        <v>150</v>
      </c>
      <c r="P8" s="107">
        <f>IF(N8 = 0, K8 * B6, 0)</f>
        <v>0</v>
      </c>
      <c r="Q8" s="93"/>
      <c r="R8" s="93"/>
    </row>
    <row r="9" spans="1:18" x14ac:dyDescent="0.25">
      <c r="A9" s="96">
        <v>45723</v>
      </c>
      <c r="B9" s="93">
        <v>9309</v>
      </c>
      <c r="C9" s="93">
        <v>262043</v>
      </c>
      <c r="D9" s="93" t="s">
        <v>614</v>
      </c>
      <c r="E9" s="93" t="s">
        <v>615</v>
      </c>
      <c r="F9" s="93">
        <v>22</v>
      </c>
      <c r="G9" s="93" t="s">
        <v>1319</v>
      </c>
      <c r="H9" s="93" t="s">
        <v>1367</v>
      </c>
      <c r="I9" s="93" t="s">
        <v>86</v>
      </c>
      <c r="J9" s="107">
        <v>5921.36</v>
      </c>
      <c r="K9" s="107">
        <v>-2628.65</v>
      </c>
      <c r="L9" s="93">
        <v>1</v>
      </c>
      <c r="M9" s="107">
        <v>200</v>
      </c>
      <c r="N9" s="107">
        <f>IF(M9&lt;=251, VLOOKUP(B3, 'Look Up Table'!I:J, 2, TRUE) * L9, 0)</f>
        <v>350</v>
      </c>
      <c r="O9" s="107">
        <f>IF(N9&gt;0, N9 - M9, 0)</f>
        <v>150</v>
      </c>
      <c r="P9" s="107">
        <f>IF(N9 = 0, K9 * B6, 0)</f>
        <v>0</v>
      </c>
      <c r="Q9" s="93"/>
      <c r="R9" s="93"/>
    </row>
    <row r="10" spans="1:18" x14ac:dyDescent="0.25">
      <c r="A10" s="96">
        <v>45728</v>
      </c>
      <c r="B10" s="93">
        <v>9498</v>
      </c>
      <c r="C10" s="93">
        <v>23866</v>
      </c>
      <c r="D10" s="93" t="s">
        <v>619</v>
      </c>
      <c r="E10" s="93" t="s">
        <v>620</v>
      </c>
      <c r="F10" s="93">
        <v>21</v>
      </c>
      <c r="G10" s="93" t="s">
        <v>1321</v>
      </c>
      <c r="H10" s="93" t="s">
        <v>1404</v>
      </c>
      <c r="I10" s="93" t="s">
        <v>86</v>
      </c>
      <c r="J10" s="107">
        <v>7088.97</v>
      </c>
      <c r="K10" s="107">
        <v>2725</v>
      </c>
      <c r="L10" s="93">
        <v>1</v>
      </c>
      <c r="M10" s="107">
        <v>490.5</v>
      </c>
      <c r="N10" s="107">
        <f>IF(M10&lt;=251, VLOOKUP(B3, 'Look Up Table'!I:J, 2, TRUE) * L10, 0)</f>
        <v>0</v>
      </c>
      <c r="O10" s="107">
        <f>IF(N10&gt;0, N10 - M10, 0)</f>
        <v>0</v>
      </c>
      <c r="P10" s="107">
        <f>IF(N10 = 0, K10 * B6, 0)</f>
        <v>109</v>
      </c>
      <c r="Q10" s="93"/>
      <c r="R10" s="93"/>
    </row>
    <row r="11" spans="1:18" x14ac:dyDescent="0.25">
      <c r="A11" s="96">
        <v>45730</v>
      </c>
      <c r="B11" s="93">
        <v>9430</v>
      </c>
      <c r="C11" s="93">
        <v>23746</v>
      </c>
      <c r="D11" s="93" t="s">
        <v>624</v>
      </c>
      <c r="E11" s="93" t="s">
        <v>625</v>
      </c>
      <c r="F11" s="93">
        <v>23</v>
      </c>
      <c r="G11" s="93" t="s">
        <v>1319</v>
      </c>
      <c r="H11" s="93" t="s">
        <v>1388</v>
      </c>
      <c r="I11" s="93" t="s">
        <v>86</v>
      </c>
      <c r="J11" s="107">
        <v>4259.2</v>
      </c>
      <c r="K11" s="107">
        <v>-6765.74</v>
      </c>
      <c r="L11" s="93">
        <v>1</v>
      </c>
      <c r="M11" s="107">
        <v>200</v>
      </c>
      <c r="N11" s="107">
        <f>IF(M11&lt;=251, VLOOKUP(B3, 'Look Up Table'!I:J, 2, TRUE) * L11, 0)</f>
        <v>350</v>
      </c>
      <c r="O11" s="107">
        <f>IF(N11&gt;0, N11 - M11, 0)</f>
        <v>150</v>
      </c>
      <c r="P11" s="107">
        <f>IF(N11 = 0, K11 * B6, 0)</f>
        <v>0</v>
      </c>
      <c r="Q11" s="93"/>
      <c r="R11" s="93"/>
    </row>
    <row r="12" spans="1:18" x14ac:dyDescent="0.25">
      <c r="A12" s="96">
        <v>45734</v>
      </c>
      <c r="B12" s="93">
        <v>9584</v>
      </c>
      <c r="C12" s="93">
        <v>24014</v>
      </c>
      <c r="D12" s="93" t="s">
        <v>627</v>
      </c>
      <c r="E12" s="93" t="s">
        <v>628</v>
      </c>
      <c r="F12" s="93">
        <v>25</v>
      </c>
      <c r="G12" s="93" t="s">
        <v>1319</v>
      </c>
      <c r="H12" s="93" t="s">
        <v>1344</v>
      </c>
      <c r="I12" s="93" t="s">
        <v>59</v>
      </c>
      <c r="J12" s="107">
        <v>662</v>
      </c>
      <c r="K12" s="107">
        <v>-3210</v>
      </c>
      <c r="L12" s="93">
        <v>1</v>
      </c>
      <c r="M12" s="107">
        <v>200</v>
      </c>
      <c r="N12" s="107">
        <f>IF(M12&lt;=251, VLOOKUP(B3, 'Look Up Table'!I:J, 2, TRUE) * L12, 0)</f>
        <v>350</v>
      </c>
      <c r="O12" s="107">
        <f>IF(N12&gt;0, N12 - M12, 0)</f>
        <v>150</v>
      </c>
      <c r="P12" s="107">
        <f>IF(N12 = 0, K12 * B6, 0)</f>
        <v>0</v>
      </c>
      <c r="Q12" s="93"/>
      <c r="R12" s="93"/>
    </row>
    <row r="13" spans="1:18" x14ac:dyDescent="0.25">
      <c r="A13" s="96">
        <v>45735</v>
      </c>
      <c r="B13" s="93">
        <v>9563</v>
      </c>
      <c r="C13" s="93">
        <v>23984</v>
      </c>
      <c r="D13" s="93" t="s">
        <v>629</v>
      </c>
      <c r="E13" s="93" t="s">
        <v>630</v>
      </c>
      <c r="F13" s="93">
        <v>22</v>
      </c>
      <c r="G13" s="93" t="s">
        <v>1405</v>
      </c>
      <c r="H13" s="93" t="s">
        <v>1406</v>
      </c>
      <c r="I13" s="93" t="s">
        <v>86</v>
      </c>
      <c r="J13" s="107">
        <v>8294.65</v>
      </c>
      <c r="K13" s="107">
        <v>-615.05999999999995</v>
      </c>
      <c r="L13" s="93">
        <v>1</v>
      </c>
      <c r="M13" s="107">
        <v>200</v>
      </c>
      <c r="N13" s="107">
        <f>IF(M13&lt;=251, VLOOKUP(B3, 'Look Up Table'!I:J, 2, TRUE) * L13, 0)</f>
        <v>350</v>
      </c>
      <c r="O13" s="107">
        <f>IF(N13&gt;0, N13 - M13, 0)</f>
        <v>150</v>
      </c>
      <c r="P13" s="107">
        <f>IF(N13 = 0, K13 * B6, 0)</f>
        <v>0</v>
      </c>
      <c r="Q13" s="93"/>
      <c r="R13" s="93"/>
    </row>
    <row r="14" spans="1:18" x14ac:dyDescent="0.25">
      <c r="A14" s="96">
        <v>45736</v>
      </c>
      <c r="B14" s="93">
        <v>9643</v>
      </c>
      <c r="C14" s="93">
        <v>24097</v>
      </c>
      <c r="D14" s="93" t="s">
        <v>536</v>
      </c>
      <c r="E14" s="93" t="s">
        <v>537</v>
      </c>
      <c r="F14" s="93">
        <v>21</v>
      </c>
      <c r="G14" s="93" t="s">
        <v>1337</v>
      </c>
      <c r="H14" s="93" t="s">
        <v>1382</v>
      </c>
      <c r="I14" s="93" t="s">
        <v>86</v>
      </c>
      <c r="J14" s="107">
        <v>348</v>
      </c>
      <c r="K14" s="107">
        <v>-63.56</v>
      </c>
      <c r="L14" s="93">
        <v>0.5</v>
      </c>
      <c r="M14" s="107">
        <v>100</v>
      </c>
      <c r="N14" s="107">
        <f>IF(M14&lt;=251, VLOOKUP(B3, 'Look Up Table'!I:J, 2, TRUE) * L14, 0)</f>
        <v>175</v>
      </c>
      <c r="O14" s="107">
        <f>IF(N14&gt;0, N14 - M14, 0)</f>
        <v>75</v>
      </c>
      <c r="P14" s="107">
        <f>IF(N14 = 0, K14 * B6, 0)</f>
        <v>0</v>
      </c>
      <c r="Q14" s="93"/>
      <c r="R14" s="93"/>
    </row>
    <row r="15" spans="1:18" x14ac:dyDescent="0.25">
      <c r="A15" s="96">
        <v>45742</v>
      </c>
      <c r="B15" s="93">
        <v>9634</v>
      </c>
      <c r="C15" s="93">
        <v>24007</v>
      </c>
      <c r="D15" s="93" t="s">
        <v>632</v>
      </c>
      <c r="E15" s="93" t="s">
        <v>633</v>
      </c>
      <c r="F15" s="93">
        <v>23</v>
      </c>
      <c r="G15" s="93" t="s">
        <v>1321</v>
      </c>
      <c r="H15" s="93" t="s">
        <v>1404</v>
      </c>
      <c r="I15" s="93" t="s">
        <v>86</v>
      </c>
      <c r="J15" s="107">
        <v>6284.06</v>
      </c>
      <c r="K15" s="107">
        <v>329.88</v>
      </c>
      <c r="L15" s="93">
        <v>1</v>
      </c>
      <c r="M15" s="107">
        <v>200</v>
      </c>
      <c r="N15" s="107">
        <f>IF(M15&lt;=251, VLOOKUP(B3, 'Look Up Table'!I:J, 2, TRUE) * L15, 0)</f>
        <v>350</v>
      </c>
      <c r="O15" s="107">
        <f>IF(N15&gt;0, N15 - M15, 0)</f>
        <v>150</v>
      </c>
      <c r="P15" s="107">
        <f>IF(N15 = 0, K15 * B6, 0)</f>
        <v>0</v>
      </c>
      <c r="Q15" s="93"/>
      <c r="R15" s="93"/>
    </row>
    <row r="16" spans="1:18" x14ac:dyDescent="0.25">
      <c r="A16" s="96">
        <v>45742</v>
      </c>
      <c r="B16" s="93">
        <v>9681</v>
      </c>
      <c r="C16" s="93">
        <v>24192</v>
      </c>
      <c r="D16" s="93" t="s">
        <v>635</v>
      </c>
      <c r="E16" s="93" t="s">
        <v>636</v>
      </c>
      <c r="F16" s="93">
        <v>22</v>
      </c>
      <c r="G16" s="93" t="s">
        <v>1319</v>
      </c>
      <c r="H16" s="93" t="s">
        <v>1343</v>
      </c>
      <c r="I16" s="93" t="s">
        <v>86</v>
      </c>
      <c r="J16" s="107">
        <v>2686.95</v>
      </c>
      <c r="K16" s="107">
        <v>-3288.57</v>
      </c>
      <c r="L16" s="93">
        <v>1</v>
      </c>
      <c r="M16" s="107">
        <v>200</v>
      </c>
      <c r="N16" s="107">
        <f>IF(M16&lt;=251, VLOOKUP(B3, 'Look Up Table'!I:J, 2, TRUE) * L16, 0)</f>
        <v>350</v>
      </c>
      <c r="O16" s="107">
        <f>IF(N16&gt;0, N16 - M16, 0)</f>
        <v>150</v>
      </c>
      <c r="P16" s="107">
        <f>IF(N16 = 0, K16 * B6, 0)</f>
        <v>0</v>
      </c>
      <c r="Q16" s="93"/>
      <c r="R16" s="93"/>
    </row>
    <row r="17" spans="1:18" x14ac:dyDescent="0.25">
      <c r="A17" s="96">
        <v>45747</v>
      </c>
      <c r="B17" s="93">
        <v>9699</v>
      </c>
      <c r="C17" s="93">
        <v>24217</v>
      </c>
      <c r="D17" s="93" t="s">
        <v>638</v>
      </c>
      <c r="E17" s="93" t="s">
        <v>639</v>
      </c>
      <c r="F17" s="93">
        <v>25</v>
      </c>
      <c r="G17" s="93" t="s">
        <v>1321</v>
      </c>
      <c r="H17" s="93" t="s">
        <v>1324</v>
      </c>
      <c r="I17" s="93" t="s">
        <v>59</v>
      </c>
      <c r="J17" s="107">
        <v>2175.94</v>
      </c>
      <c r="K17" s="107">
        <v>780</v>
      </c>
      <c r="L17" s="93">
        <v>1</v>
      </c>
      <c r="M17" s="107">
        <v>200</v>
      </c>
      <c r="N17" s="107">
        <f>IF(M17&lt;=251, VLOOKUP(B3, 'Look Up Table'!I:J, 2, TRUE) * L17, 0)</f>
        <v>350</v>
      </c>
      <c r="O17" s="107">
        <f>IF(N17&gt;0, N17 - M17, 0)</f>
        <v>150</v>
      </c>
      <c r="P17" s="107">
        <f>IF(N17 = 0, K17 * B6, 0)</f>
        <v>0</v>
      </c>
      <c r="Q17" s="93"/>
      <c r="R17" s="93"/>
    </row>
    <row r="18" spans="1:18" x14ac:dyDescent="0.25">
      <c r="A18" s="96">
        <v>45747</v>
      </c>
      <c r="B18" s="93">
        <v>9748</v>
      </c>
      <c r="C18" s="93">
        <v>24273</v>
      </c>
      <c r="D18" s="93" t="s">
        <v>330</v>
      </c>
      <c r="E18" s="93" t="s">
        <v>331</v>
      </c>
      <c r="F18" s="93">
        <v>25</v>
      </c>
      <c r="G18" s="93" t="s">
        <v>1321</v>
      </c>
      <c r="H18" s="93" t="s">
        <v>1346</v>
      </c>
      <c r="I18" s="93" t="s">
        <v>59</v>
      </c>
      <c r="J18" s="107">
        <v>3062.54</v>
      </c>
      <c r="K18" s="107">
        <v>-1820.49</v>
      </c>
      <c r="L18" s="93">
        <v>0.5</v>
      </c>
      <c r="M18" s="107">
        <v>100</v>
      </c>
      <c r="N18" s="107">
        <f>IF(M18&lt;=251, VLOOKUP(B3, 'Look Up Table'!I:J, 2, TRUE) * L18, 0)</f>
        <v>175</v>
      </c>
      <c r="O18" s="107">
        <f>IF(N18&gt;0, N18 - M18, 0)</f>
        <v>75</v>
      </c>
      <c r="P18" s="107">
        <f>IF(N18 = 0, K18 * B6, 0)</f>
        <v>0</v>
      </c>
      <c r="Q18" s="93"/>
      <c r="R18" s="93"/>
    </row>
    <row r="19" spans="1:18" x14ac:dyDescent="0.25">
      <c r="A19" s="96">
        <v>45747</v>
      </c>
      <c r="B19" s="93">
        <v>9771</v>
      </c>
      <c r="C19" s="93">
        <v>24284</v>
      </c>
      <c r="D19" s="93" t="s">
        <v>390</v>
      </c>
      <c r="E19" s="93" t="s">
        <v>391</v>
      </c>
      <c r="F19" s="93">
        <v>25</v>
      </c>
      <c r="G19" s="93" t="s">
        <v>1319</v>
      </c>
      <c r="H19" s="93" t="s">
        <v>1344</v>
      </c>
      <c r="I19" s="93" t="s">
        <v>59</v>
      </c>
      <c r="J19" s="107">
        <v>481</v>
      </c>
      <c r="K19" s="107">
        <v>752.5</v>
      </c>
      <c r="L19" s="93">
        <v>0.5</v>
      </c>
      <c r="M19" s="107">
        <v>135.44999999999999</v>
      </c>
      <c r="N19" s="107">
        <f>IF(M19&lt;=251, VLOOKUP(B3, 'Look Up Table'!I:J, 2, TRUE) * L19, 0)</f>
        <v>175</v>
      </c>
      <c r="O19" s="107">
        <f>IF(N19&gt;0, N19 - M19, 0)</f>
        <v>39.550000000000011</v>
      </c>
      <c r="P19" s="107">
        <f>IF(N19 = 0, K19 * B6, 0)</f>
        <v>0</v>
      </c>
      <c r="Q19" s="93"/>
      <c r="R19" s="93"/>
    </row>
    <row r="20" spans="1:18" x14ac:dyDescent="0.25">
      <c r="A20" s="96">
        <v>45747</v>
      </c>
      <c r="B20" s="93">
        <v>9797</v>
      </c>
      <c r="C20" s="93">
        <v>24329</v>
      </c>
      <c r="D20" s="93" t="s">
        <v>640</v>
      </c>
      <c r="E20" s="93" t="s">
        <v>641</v>
      </c>
      <c r="F20" s="93">
        <v>25</v>
      </c>
      <c r="G20" s="93" t="s">
        <v>1319</v>
      </c>
      <c r="H20" s="93" t="s">
        <v>1407</v>
      </c>
      <c r="I20" s="93" t="s">
        <v>59</v>
      </c>
      <c r="J20" s="107">
        <v>5670.89</v>
      </c>
      <c r="K20" s="107">
        <v>16772.47</v>
      </c>
      <c r="L20" s="93">
        <v>1</v>
      </c>
      <c r="M20" s="107">
        <v>3019.04</v>
      </c>
      <c r="N20" s="107">
        <f>IF(M20&lt;=251, VLOOKUP(B3, 'Look Up Table'!I:J, 2, TRUE) * L20, 0)</f>
        <v>0</v>
      </c>
      <c r="O20" s="107">
        <f>IF(N20&gt;0, N20 - M20, 0)</f>
        <v>0</v>
      </c>
      <c r="P20" s="107">
        <f>IF(N20 = 0, K20 * B6, 0)</f>
        <v>670.89880000000005</v>
      </c>
      <c r="Q20" s="93"/>
      <c r="R20" s="93"/>
    </row>
    <row r="21" spans="1:18" x14ac:dyDescent="0.25">
      <c r="A21" s="96">
        <v>45747</v>
      </c>
      <c r="B21" s="93">
        <v>9821</v>
      </c>
      <c r="C21" s="93">
        <v>278845</v>
      </c>
      <c r="D21" s="93" t="s">
        <v>643</v>
      </c>
      <c r="E21" s="93" t="s">
        <v>644</v>
      </c>
      <c r="F21" s="93">
        <v>22</v>
      </c>
      <c r="G21" s="93" t="s">
        <v>1319</v>
      </c>
      <c r="H21" s="93" t="s">
        <v>1351</v>
      </c>
      <c r="I21" s="93" t="s">
        <v>86</v>
      </c>
      <c r="J21" s="107">
        <v>2379.25</v>
      </c>
      <c r="K21" s="107">
        <v>589.5</v>
      </c>
      <c r="L21" s="93">
        <v>1</v>
      </c>
      <c r="M21" s="107">
        <v>200</v>
      </c>
      <c r="N21" s="107">
        <f>IF(M21&lt;=251, VLOOKUP(B3, 'Look Up Table'!I:J, 2, TRUE) * L21, 0)</f>
        <v>350</v>
      </c>
      <c r="O21" s="107">
        <f>IF(N21&gt;0, N21 - M21, 0)</f>
        <v>150</v>
      </c>
      <c r="P21" s="107">
        <f>IF(N21 = 0, K21 * B6, 0)</f>
        <v>0</v>
      </c>
      <c r="Q21" s="93"/>
      <c r="R21" s="93"/>
    </row>
    <row r="22" spans="1:18" x14ac:dyDescent="0.25">
      <c r="A22" s="96">
        <v>45747</v>
      </c>
      <c r="B22" s="93">
        <v>9925</v>
      </c>
      <c r="C22" s="93">
        <v>24475</v>
      </c>
      <c r="D22" s="93" t="s">
        <v>645</v>
      </c>
      <c r="E22" s="93" t="s">
        <v>646</v>
      </c>
      <c r="F22" s="93">
        <v>22</v>
      </c>
      <c r="G22" s="93" t="s">
        <v>1321</v>
      </c>
      <c r="H22" s="93" t="s">
        <v>1349</v>
      </c>
      <c r="I22" s="93" t="s">
        <v>86</v>
      </c>
      <c r="J22" s="107">
        <v>3428.82</v>
      </c>
      <c r="K22" s="107">
        <v>-2076.9499999999998</v>
      </c>
      <c r="L22" s="93">
        <v>1</v>
      </c>
      <c r="M22" s="107">
        <v>200</v>
      </c>
      <c r="N22" s="107">
        <f>IF(M22&lt;=251, VLOOKUP(B3, 'Look Up Table'!I:J, 2, TRUE) * L22, 0)</f>
        <v>350</v>
      </c>
      <c r="O22" s="107">
        <f>IF(N22&gt;0, N22 - M22, 0)</f>
        <v>150</v>
      </c>
      <c r="P22" s="107">
        <f>IF(N22 = 0, K22 * B6, 0)</f>
        <v>0</v>
      </c>
      <c r="Q22" s="93"/>
      <c r="R22" s="93"/>
    </row>
    <row r="23" spans="1:18" x14ac:dyDescent="0.25">
      <c r="A23" s="96">
        <v>45747</v>
      </c>
      <c r="B23" s="93" t="s">
        <v>605</v>
      </c>
      <c r="C23" s="93">
        <v>24436</v>
      </c>
      <c r="D23" s="93" t="s">
        <v>600</v>
      </c>
      <c r="E23" s="93" t="s">
        <v>601</v>
      </c>
      <c r="F23" s="93">
        <v>22</v>
      </c>
      <c r="G23" s="93" t="s">
        <v>1319</v>
      </c>
      <c r="H23" s="93" t="s">
        <v>1400</v>
      </c>
      <c r="I23" s="93" t="s">
        <v>86</v>
      </c>
      <c r="J23" s="107">
        <v>1000</v>
      </c>
      <c r="K23" s="107">
        <v>27.77</v>
      </c>
      <c r="L23" s="93">
        <v>0.5</v>
      </c>
      <c r="M23" s="107">
        <v>100</v>
      </c>
      <c r="N23" s="107">
        <f>IF(M23&lt;=251, VLOOKUP(B3, 'Look Up Table'!I:J, 2, TRUE) * L23, 0)</f>
        <v>175</v>
      </c>
      <c r="O23" s="107">
        <f>IF(N23&gt;0, N23 - M23, 0)</f>
        <v>75</v>
      </c>
      <c r="P23" s="107">
        <f>IF(N23 = 0, K23 * B6, 0)</f>
        <v>0</v>
      </c>
      <c r="Q23" s="93"/>
      <c r="R23" s="93"/>
    </row>
    <row r="24" spans="1:18" x14ac:dyDescent="0.25">
      <c r="A24" s="96">
        <v>45747</v>
      </c>
      <c r="B24" s="93">
        <v>9941</v>
      </c>
      <c r="C24" s="93">
        <v>24488</v>
      </c>
      <c r="D24" s="93" t="s">
        <v>560</v>
      </c>
      <c r="E24" s="93" t="s">
        <v>561</v>
      </c>
      <c r="F24" s="93">
        <v>23</v>
      </c>
      <c r="G24" s="93" t="s">
        <v>1385</v>
      </c>
      <c r="H24" s="93" t="s">
        <v>1391</v>
      </c>
      <c r="I24" s="93" t="s">
        <v>86</v>
      </c>
      <c r="J24" s="107">
        <v>124.02</v>
      </c>
      <c r="K24" s="107">
        <v>992.27</v>
      </c>
      <c r="L24" s="93">
        <v>0.5</v>
      </c>
      <c r="M24" s="107">
        <v>178.61</v>
      </c>
      <c r="N24" s="107">
        <f>IF(M24&lt;=251, VLOOKUP(B3, 'Look Up Table'!I:J, 2, TRUE) * L24, 0)</f>
        <v>175</v>
      </c>
      <c r="O24" s="107">
        <f>IF(N24&gt;0, N24 - M24, 0)</f>
        <v>-3.6100000000000136</v>
      </c>
      <c r="P24" s="107">
        <f>IF(N24 = 0, K24 * B6, 0)</f>
        <v>0</v>
      </c>
      <c r="Q24" s="93"/>
      <c r="R24" s="93"/>
    </row>
    <row r="25" spans="1:18" x14ac:dyDescent="0.25">
      <c r="A25" s="104"/>
      <c r="B25" s="105"/>
      <c r="C25" s="105"/>
      <c r="D25" s="105"/>
      <c r="E25" s="105"/>
      <c r="F25" s="105"/>
      <c r="G25" s="105"/>
      <c r="H25" s="105"/>
      <c r="I25" s="105"/>
      <c r="J25" s="108">
        <f>SUM(J8:J24)</f>
        <v>55414.409999999996</v>
      </c>
      <c r="K25" s="108">
        <f>SUM(K8:K24)</f>
        <v>3250.3700000000026</v>
      </c>
      <c r="L25" s="105">
        <f>SUM(L8:L24)</f>
        <v>14.5</v>
      </c>
      <c r="M25" s="108">
        <f>SUM(M8:M24)</f>
        <v>6123.5999999999995</v>
      </c>
      <c r="N25" s="108">
        <f>SUM(N8:N24)</f>
        <v>4375</v>
      </c>
      <c r="O25" s="108">
        <f>SUM(O8:O24)</f>
        <v>1760.94</v>
      </c>
      <c r="P25" s="108">
        <f>SUM(P8:P24)</f>
        <v>779.89880000000005</v>
      </c>
      <c r="Q25" s="93"/>
      <c r="R25" s="93"/>
    </row>
    <row r="27" spans="1:18" x14ac:dyDescent="0.25">
      <c r="J27" s="99" t="s">
        <v>1451</v>
      </c>
      <c r="M27" s="106">
        <f>-VLOOKUP(B2, '3213'!A:G, 7, 0)</f>
        <v>-2516.9299999999998</v>
      </c>
    </row>
    <row r="28" spans="1:18" x14ac:dyDescent="0.25">
      <c r="J28" s="99"/>
      <c r="M28" s="106"/>
    </row>
    <row r="29" spans="1:18" x14ac:dyDescent="0.25">
      <c r="J29" s="99" t="s">
        <v>1264</v>
      </c>
      <c r="K29" s="92">
        <v>0.18</v>
      </c>
      <c r="M29" s="106">
        <f>M25</f>
        <v>6123.5999999999995</v>
      </c>
    </row>
    <row r="30" spans="1:18" x14ac:dyDescent="0.25">
      <c r="J30" s="99"/>
      <c r="M30" s="106"/>
    </row>
    <row r="31" spans="1:18" x14ac:dyDescent="0.25">
      <c r="A31" s="110"/>
      <c r="B31" s="109"/>
      <c r="C31" s="109"/>
      <c r="D31" t="s">
        <v>1448</v>
      </c>
      <c r="J31" s="99" t="s">
        <v>1265</v>
      </c>
      <c r="K31" s="92">
        <f>B6</f>
        <v>0.04</v>
      </c>
      <c r="M31" s="106">
        <f>P25</f>
        <v>779.89880000000005</v>
      </c>
    </row>
    <row r="32" spans="1:18" x14ac:dyDescent="0.25">
      <c r="J32" s="99"/>
      <c r="M32" s="106"/>
    </row>
    <row r="33" spans="1:13" x14ac:dyDescent="0.25">
      <c r="J33" s="99" t="s">
        <v>1452</v>
      </c>
      <c r="M33" s="106">
        <f>O25</f>
        <v>1760.94</v>
      </c>
    </row>
    <row r="34" spans="1:13" x14ac:dyDescent="0.25">
      <c r="J34" s="99"/>
      <c r="M34" s="106"/>
    </row>
    <row r="35" spans="1:13" x14ac:dyDescent="0.25">
      <c r="J35" s="99" t="s">
        <v>1453</v>
      </c>
      <c r="M35" s="106">
        <f>SUM(P25, O25)</f>
        <v>2540.8388</v>
      </c>
    </row>
    <row r="36" spans="1:13" x14ac:dyDescent="0.25">
      <c r="J36" s="99"/>
      <c r="M36" s="106"/>
    </row>
    <row r="37" spans="1:13" x14ac:dyDescent="0.25">
      <c r="A37" s="110"/>
      <c r="B37" s="109"/>
      <c r="C37" s="109"/>
      <c r="D37" t="s">
        <v>1449</v>
      </c>
      <c r="J37" s="99" t="s">
        <v>1454</v>
      </c>
      <c r="M37" s="106">
        <f>J25</f>
        <v>55414.409999999996</v>
      </c>
    </row>
    <row r="38" spans="1:13" x14ac:dyDescent="0.25">
      <c r="J38" s="99"/>
      <c r="M38" s="106"/>
    </row>
    <row r="39" spans="1:13" x14ac:dyDescent="0.25">
      <c r="J39" s="99" t="s">
        <v>1455</v>
      </c>
      <c r="K39" s="92">
        <v>-0.25</v>
      </c>
      <c r="M39" s="106">
        <f>K39 * M37</f>
        <v>-13853.602499999999</v>
      </c>
    </row>
    <row r="40" spans="1:13" x14ac:dyDescent="0.25">
      <c r="J40" s="99"/>
      <c r="M40" s="106"/>
    </row>
    <row r="41" spans="1:13" x14ac:dyDescent="0.25">
      <c r="J41" s="99" t="s">
        <v>1456</v>
      </c>
      <c r="M41" s="106">
        <f>M37 + M39</f>
        <v>41560.807499999995</v>
      </c>
    </row>
    <row r="42" spans="1:13" x14ac:dyDescent="0.25">
      <c r="J42" s="99"/>
      <c r="M42" s="106"/>
    </row>
    <row r="43" spans="1:13" x14ac:dyDescent="0.25">
      <c r="J43" s="99" t="s">
        <v>1457</v>
      </c>
      <c r="K43" s="92">
        <v>0.05</v>
      </c>
      <c r="M43" s="106">
        <f>K43 * M41</f>
        <v>2078.040375</v>
      </c>
    </row>
    <row r="44" spans="1:13" x14ac:dyDescent="0.25">
      <c r="J44" s="99"/>
      <c r="M44" s="106"/>
    </row>
    <row r="45" spans="1:13" x14ac:dyDescent="0.25">
      <c r="J45" s="99" t="s">
        <v>1458</v>
      </c>
      <c r="K45" t="str">
        <f>VLOOKUP(B2,'Pay Summary'!A:D,4,0)</f>
        <v/>
      </c>
      <c r="M45" s="106">
        <f>IF(K45 = 1, 500, 0)</f>
        <v>0</v>
      </c>
    </row>
    <row r="46" spans="1:13" x14ac:dyDescent="0.25">
      <c r="J46" s="99"/>
      <c r="M46" s="106"/>
    </row>
    <row r="47" spans="1:13" x14ac:dyDescent="0.25">
      <c r="J47" s="99" t="s">
        <v>1450</v>
      </c>
      <c r="K47">
        <f>L25</f>
        <v>14.5</v>
      </c>
      <c r="M47" s="106">
        <f>VLOOKUP(K47, 'Look Up Table'!E:F, 2, TRUE)</f>
        <v>750</v>
      </c>
    </row>
    <row r="48" spans="1:13" x14ac:dyDescent="0.25">
      <c r="J48" s="99"/>
      <c r="M48" s="106"/>
    </row>
    <row r="49" spans="10:15" x14ac:dyDescent="0.25">
      <c r="J49" s="99" t="s">
        <v>1306</v>
      </c>
      <c r="K49" s="111" t="str">
        <f>B4</f>
        <v>3P</v>
      </c>
      <c r="M49" s="106">
        <f>IF(B5&gt;=3,IF(B4="3P",L25*50,IF(B4="A",0,IF(B4="B",L25*-50))),0)</f>
        <v>725</v>
      </c>
      <c r="N49" s="99" t="s">
        <v>1463</v>
      </c>
      <c r="O49" s="112">
        <f>'NPS Sheet'!X51</f>
        <v>0.91700000000000004</v>
      </c>
    </row>
    <row r="50" spans="10:15" x14ac:dyDescent="0.25">
      <c r="J50" s="99"/>
      <c r="M50" s="106"/>
    </row>
    <row r="51" spans="10:15" x14ac:dyDescent="0.25">
      <c r="J51" s="99" t="s">
        <v>1459</v>
      </c>
      <c r="M51" s="106">
        <f>SUM(M47, M49, M45)</f>
        <v>1475</v>
      </c>
    </row>
    <row r="52" spans="10:15" x14ac:dyDescent="0.25">
      <c r="J52" s="99"/>
      <c r="M52" s="106"/>
    </row>
    <row r="53" spans="10:15" x14ac:dyDescent="0.25">
      <c r="J53" s="99" t="s">
        <v>1460</v>
      </c>
      <c r="M53" s="106">
        <f>IFERROR(VLOOKUP(B2,SPIFFS!A:H,8,0),0)</f>
        <v>1500</v>
      </c>
    </row>
    <row r="54" spans="10:15" x14ac:dyDescent="0.25">
      <c r="J54" s="99"/>
      <c r="M54" s="106"/>
    </row>
    <row r="55" spans="10:15" x14ac:dyDescent="0.25">
      <c r="J55" s="99" t="s">
        <v>1461</v>
      </c>
      <c r="M55" s="106">
        <f>SUM(M29, M35, M43, M51, M27, M53)</f>
        <v>11200.549175</v>
      </c>
    </row>
    <row r="56" spans="10:15" x14ac:dyDescent="0.25">
      <c r="J56" s="99"/>
      <c r="M56" s="106"/>
    </row>
    <row r="57" spans="10:15" x14ac:dyDescent="0.25">
      <c r="J57" s="99" t="s">
        <v>1462</v>
      </c>
      <c r="M57" s="106">
        <f>IF(M55&lt;0, SUM(M27, M51, M43, M35), 0)</f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10DA8-2258-4973-BF41-A3690E7DD45A}">
  <dimension ref="A1:R55"/>
  <sheetViews>
    <sheetView workbookViewId="0"/>
  </sheetViews>
  <sheetFormatPr defaultRowHeight="15" x14ac:dyDescent="0.25"/>
  <cols>
    <col min="1" max="1" width="23" style="95" bestFit="1" customWidth="1"/>
    <col min="2" max="2" width="21" bestFit="1" customWidth="1"/>
    <col min="3" max="3" width="11.42578125" bestFit="1" customWidth="1"/>
    <col min="4" max="4" width="34.85546875" bestFit="1" customWidth="1"/>
    <col min="5" max="5" width="9.5703125" bestFit="1" customWidth="1"/>
    <col min="6" max="6" width="5" bestFit="1" customWidth="1"/>
    <col min="8" max="8" width="17.5703125" bestFit="1" customWidth="1"/>
    <col min="9" max="9" width="9.5703125" bestFit="1" customWidth="1"/>
    <col min="10" max="10" width="23.140625" bestFit="1" customWidth="1"/>
    <col min="11" max="11" width="18.42578125" bestFit="1" customWidth="1"/>
    <col min="12" max="12" width="5.7109375" bestFit="1" customWidth="1"/>
    <col min="13" max="13" width="20.140625" bestFit="1" customWidth="1"/>
    <col min="14" max="14" width="13.7109375" bestFit="1" customWidth="1"/>
    <col min="15" max="15" width="11.5703125" bestFit="1" customWidth="1"/>
    <col min="16" max="16" width="24.85546875" bestFit="1" customWidth="1"/>
  </cols>
  <sheetData>
    <row r="1" spans="1:18" x14ac:dyDescent="0.25">
      <c r="A1" s="101" t="s">
        <v>1249</v>
      </c>
      <c r="B1" s="100" t="s">
        <v>1251</v>
      </c>
    </row>
    <row r="2" spans="1:18" x14ac:dyDescent="0.25">
      <c r="A2" s="101" t="s">
        <v>1307</v>
      </c>
      <c r="B2" s="100">
        <v>22145</v>
      </c>
    </row>
    <row r="3" spans="1:18" x14ac:dyDescent="0.25">
      <c r="A3" s="101" t="s">
        <v>1305</v>
      </c>
      <c r="B3" s="100">
        <f>VLOOKUP(B2, '90'!A:E, 5, 0)</f>
        <v>17</v>
      </c>
    </row>
    <row r="4" spans="1:18" x14ac:dyDescent="0.25">
      <c r="A4" s="101" t="s">
        <v>1306</v>
      </c>
      <c r="B4" s="100" t="str">
        <f>IFERROR(VLOOKUP(B2, NPS!B:H, 7, 0), 0)</f>
        <v>3P</v>
      </c>
    </row>
    <row r="5" spans="1:18" x14ac:dyDescent="0.25">
      <c r="A5" s="101" t="s">
        <v>1257</v>
      </c>
      <c r="B5" s="100">
        <f>IFERROR(VLOOKUP(B2, NPS!B:H, 3, 0), 0)</f>
        <v>3</v>
      </c>
    </row>
    <row r="6" spans="1:18" x14ac:dyDescent="0.25">
      <c r="A6" s="101" t="s">
        <v>1447</v>
      </c>
      <c r="B6" s="103">
        <f>VLOOKUP(14, 'Look Up Table'!A:B, 2, TRUE)</f>
        <v>0.04</v>
      </c>
    </row>
    <row r="7" spans="1:18" ht="50.1" customHeight="1" x14ac:dyDescent="0.25">
      <c r="A7" s="102" t="s">
        <v>43</v>
      </c>
      <c r="B7" s="80" t="s">
        <v>1308</v>
      </c>
      <c r="C7" s="80" t="s">
        <v>1309</v>
      </c>
      <c r="D7" s="80" t="s">
        <v>48</v>
      </c>
      <c r="E7" s="80" t="s">
        <v>1310</v>
      </c>
      <c r="F7" s="80" t="s">
        <v>1311</v>
      </c>
      <c r="G7" s="80" t="s">
        <v>1312</v>
      </c>
      <c r="H7" s="80" t="s">
        <v>1313</v>
      </c>
      <c r="I7" s="80" t="s">
        <v>51</v>
      </c>
      <c r="J7" s="80" t="s">
        <v>1314</v>
      </c>
      <c r="K7" s="80" t="s">
        <v>1315</v>
      </c>
      <c r="L7" s="80" t="s">
        <v>54</v>
      </c>
      <c r="M7" s="80" t="s">
        <v>55</v>
      </c>
      <c r="N7" s="80" t="s">
        <v>1316</v>
      </c>
      <c r="O7" s="80" t="s">
        <v>1317</v>
      </c>
      <c r="P7" s="80" t="s">
        <v>1318</v>
      </c>
    </row>
    <row r="8" spans="1:18" x14ac:dyDescent="0.25">
      <c r="A8" s="96">
        <v>45722</v>
      </c>
      <c r="B8" s="93">
        <v>9335</v>
      </c>
      <c r="C8" s="93">
        <v>23587</v>
      </c>
      <c r="D8" s="93" t="s">
        <v>401</v>
      </c>
      <c r="E8" s="93" t="s">
        <v>402</v>
      </c>
      <c r="F8" s="93">
        <v>25</v>
      </c>
      <c r="G8" s="93" t="s">
        <v>1321</v>
      </c>
      <c r="H8" s="93" t="s">
        <v>1326</v>
      </c>
      <c r="I8" s="93" t="s">
        <v>59</v>
      </c>
      <c r="J8" s="107">
        <v>731.49</v>
      </c>
      <c r="K8" s="107">
        <v>-72.19</v>
      </c>
      <c r="L8" s="93">
        <v>0.5</v>
      </c>
      <c r="M8" s="107">
        <v>100</v>
      </c>
      <c r="N8" s="107">
        <f>IF(M8&lt;=251, VLOOKUP(B3, 'Look Up Table'!I:J, 2, TRUE) * L8, 0)</f>
        <v>150</v>
      </c>
      <c r="O8" s="107">
        <f>IF(N8&gt;0, N8 - M8, 0)</f>
        <v>50</v>
      </c>
      <c r="P8" s="107">
        <f>IF(N8 = 0, K8 * B6, 0)</f>
        <v>0</v>
      </c>
      <c r="Q8" s="93"/>
      <c r="R8" s="93"/>
    </row>
    <row r="9" spans="1:18" x14ac:dyDescent="0.25">
      <c r="A9" s="96">
        <v>45728</v>
      </c>
      <c r="B9" s="93">
        <v>9473</v>
      </c>
      <c r="C9" s="93">
        <v>12454</v>
      </c>
      <c r="D9" s="93" t="s">
        <v>651</v>
      </c>
      <c r="E9" s="93" t="s">
        <v>652</v>
      </c>
      <c r="F9" s="93">
        <v>25</v>
      </c>
      <c r="G9" s="93" t="s">
        <v>1319</v>
      </c>
      <c r="H9" s="93" t="s">
        <v>1323</v>
      </c>
      <c r="I9" s="93" t="s">
        <v>59</v>
      </c>
      <c r="J9" s="107">
        <v>2642.42</v>
      </c>
      <c r="K9" s="107">
        <v>6159</v>
      </c>
      <c r="L9" s="93">
        <v>1</v>
      </c>
      <c r="M9" s="107">
        <v>1108.6199999999999</v>
      </c>
      <c r="N9" s="107">
        <f>IF(M9&lt;=251, VLOOKUP(B3, 'Look Up Table'!I:J, 2, TRUE) * L9, 0)</f>
        <v>0</v>
      </c>
      <c r="O9" s="107">
        <f>IF(N9&gt;0, N9 - M9, 0)</f>
        <v>0</v>
      </c>
      <c r="P9" s="107">
        <f>IF(N9 = 0, K9 * B6, 0)</f>
        <v>246.36</v>
      </c>
      <c r="Q9" s="93"/>
      <c r="R9" s="93"/>
    </row>
    <row r="10" spans="1:18" x14ac:dyDescent="0.25">
      <c r="A10" s="96">
        <v>45728</v>
      </c>
      <c r="B10" s="93">
        <v>9491</v>
      </c>
      <c r="C10" s="93">
        <v>23837</v>
      </c>
      <c r="D10" s="93" t="s">
        <v>653</v>
      </c>
      <c r="E10" s="93" t="s">
        <v>654</v>
      </c>
      <c r="F10" s="93">
        <v>25</v>
      </c>
      <c r="G10" s="93" t="s">
        <v>1321</v>
      </c>
      <c r="H10" s="93" t="s">
        <v>1408</v>
      </c>
      <c r="I10" s="93" t="s">
        <v>59</v>
      </c>
      <c r="J10" s="107">
        <v>3982.02</v>
      </c>
      <c r="K10" s="107">
        <v>514</v>
      </c>
      <c r="L10" s="93">
        <v>1</v>
      </c>
      <c r="M10" s="107">
        <v>200</v>
      </c>
      <c r="N10" s="107">
        <f>IF(M10&lt;=251, VLOOKUP(B3, 'Look Up Table'!I:J, 2, TRUE) * L10, 0)</f>
        <v>300</v>
      </c>
      <c r="O10" s="107">
        <f>IF(N10&gt;0, N10 - M10, 0)</f>
        <v>100</v>
      </c>
      <c r="P10" s="107">
        <f>IF(N10 = 0, K10 * B6, 0)</f>
        <v>0</v>
      </c>
      <c r="Q10" s="93"/>
      <c r="R10" s="93"/>
    </row>
    <row r="11" spans="1:18" x14ac:dyDescent="0.25">
      <c r="A11" s="96">
        <v>45733</v>
      </c>
      <c r="B11" s="93">
        <v>9439</v>
      </c>
      <c r="C11" s="93">
        <v>23771</v>
      </c>
      <c r="D11" s="93" t="s">
        <v>658</v>
      </c>
      <c r="E11" s="93" t="s">
        <v>659</v>
      </c>
      <c r="F11" s="93">
        <v>25</v>
      </c>
      <c r="G11" s="93" t="s">
        <v>1321</v>
      </c>
      <c r="H11" s="93" t="s">
        <v>1346</v>
      </c>
      <c r="I11" s="93" t="s">
        <v>59</v>
      </c>
      <c r="J11" s="107">
        <v>2865.9</v>
      </c>
      <c r="K11" s="107">
        <v>-4207</v>
      </c>
      <c r="L11" s="93">
        <v>1</v>
      </c>
      <c r="M11" s="107">
        <v>200</v>
      </c>
      <c r="N11" s="107">
        <f>IF(M11&lt;=251, VLOOKUP(B3, 'Look Up Table'!I:J, 2, TRUE) * L11, 0)</f>
        <v>300</v>
      </c>
      <c r="O11" s="107">
        <f>IF(N11&gt;0, N11 - M11, 0)</f>
        <v>100</v>
      </c>
      <c r="P11" s="107">
        <f>IF(N11 = 0, K11 * B6, 0)</f>
        <v>0</v>
      </c>
      <c r="Q11" s="93"/>
      <c r="R11" s="93"/>
    </row>
    <row r="12" spans="1:18" x14ac:dyDescent="0.25">
      <c r="A12" s="96">
        <v>45733</v>
      </c>
      <c r="B12" s="93">
        <v>9524</v>
      </c>
      <c r="C12" s="93">
        <v>255550</v>
      </c>
      <c r="D12" s="93" t="s">
        <v>660</v>
      </c>
      <c r="E12" s="93" t="s">
        <v>661</v>
      </c>
      <c r="F12" s="93">
        <v>25</v>
      </c>
      <c r="G12" s="93" t="s">
        <v>1321</v>
      </c>
      <c r="H12" s="93" t="s">
        <v>1346</v>
      </c>
      <c r="I12" s="93" t="s">
        <v>59</v>
      </c>
      <c r="J12" s="107">
        <v>4698.5</v>
      </c>
      <c r="K12" s="107">
        <v>7304</v>
      </c>
      <c r="L12" s="93">
        <v>1</v>
      </c>
      <c r="M12" s="107">
        <v>1314.72</v>
      </c>
      <c r="N12" s="107">
        <f>IF(M12&lt;=251, VLOOKUP(B3, 'Look Up Table'!I:J, 2, TRUE) * L12, 0)</f>
        <v>0</v>
      </c>
      <c r="O12" s="107">
        <f>IF(N12&gt;0, N12 - M12, 0)</f>
        <v>0</v>
      </c>
      <c r="P12" s="107">
        <f>IF(N12 = 0, K12 * B6, 0)</f>
        <v>292.16000000000003</v>
      </c>
      <c r="Q12" s="93"/>
      <c r="R12" s="93"/>
    </row>
    <row r="13" spans="1:18" x14ac:dyDescent="0.25">
      <c r="A13" s="96">
        <v>45733</v>
      </c>
      <c r="B13" s="93">
        <v>9550</v>
      </c>
      <c r="C13" s="93">
        <v>23972</v>
      </c>
      <c r="D13" s="93" t="s">
        <v>662</v>
      </c>
      <c r="E13" s="93">
        <v>5126466</v>
      </c>
      <c r="F13" s="93">
        <v>25</v>
      </c>
      <c r="G13" s="93" t="s">
        <v>1321</v>
      </c>
      <c r="H13" s="93" t="s">
        <v>1379</v>
      </c>
      <c r="I13" s="93" t="s">
        <v>59</v>
      </c>
      <c r="J13" s="107">
        <v>3377.66</v>
      </c>
      <c r="K13" s="107">
        <v>2177</v>
      </c>
      <c r="L13" s="93">
        <v>1</v>
      </c>
      <c r="M13" s="107">
        <v>391.86</v>
      </c>
      <c r="N13" s="107">
        <f>IF(M13&lt;=251, VLOOKUP(B3, 'Look Up Table'!I:J, 2, TRUE) * L13, 0)</f>
        <v>0</v>
      </c>
      <c r="O13" s="107">
        <f>IF(N13&gt;0, N13 - M13, 0)</f>
        <v>0</v>
      </c>
      <c r="P13" s="107">
        <f>IF(N13 = 0, K13 * B6, 0)</f>
        <v>87.08</v>
      </c>
      <c r="Q13" s="93"/>
      <c r="R13" s="93"/>
    </row>
    <row r="14" spans="1:18" x14ac:dyDescent="0.25">
      <c r="A14" s="96">
        <v>45735</v>
      </c>
      <c r="B14" s="93">
        <v>9592</v>
      </c>
      <c r="C14" s="93">
        <v>24024</v>
      </c>
      <c r="D14" s="93" t="s">
        <v>665</v>
      </c>
      <c r="E14" s="93" t="s">
        <v>666</v>
      </c>
      <c r="F14" s="93">
        <v>25</v>
      </c>
      <c r="G14" s="93" t="s">
        <v>1319</v>
      </c>
      <c r="H14" s="93" t="s">
        <v>1409</v>
      </c>
      <c r="I14" s="93" t="s">
        <v>59</v>
      </c>
      <c r="J14" s="107">
        <v>408.6</v>
      </c>
      <c r="K14" s="107">
        <v>-2395</v>
      </c>
      <c r="L14" s="93">
        <v>1</v>
      </c>
      <c r="M14" s="107">
        <v>200</v>
      </c>
      <c r="N14" s="107">
        <f>IF(M14&lt;=251, VLOOKUP(B3, 'Look Up Table'!I:J, 2, TRUE) * L14, 0)</f>
        <v>300</v>
      </c>
      <c r="O14" s="107">
        <f>IF(N14&gt;0, N14 - M14, 0)</f>
        <v>100</v>
      </c>
      <c r="P14" s="107">
        <f>IF(N14 = 0, K14 * B6, 0)</f>
        <v>0</v>
      </c>
      <c r="Q14" s="93"/>
      <c r="R14" s="93"/>
    </row>
    <row r="15" spans="1:18" x14ac:dyDescent="0.25">
      <c r="A15" s="96">
        <v>45742</v>
      </c>
      <c r="B15" s="93">
        <v>9685</v>
      </c>
      <c r="C15" s="93">
        <v>24196</v>
      </c>
      <c r="D15" s="93" t="s">
        <v>668</v>
      </c>
      <c r="E15" s="93" t="s">
        <v>669</v>
      </c>
      <c r="F15" s="93">
        <v>25</v>
      </c>
      <c r="G15" s="93" t="s">
        <v>1319</v>
      </c>
      <c r="H15" s="93" t="s">
        <v>1333</v>
      </c>
      <c r="I15" s="93" t="s">
        <v>59</v>
      </c>
      <c r="J15" s="107">
        <v>5729.95</v>
      </c>
      <c r="K15" s="107">
        <v>5343.41</v>
      </c>
      <c r="L15" s="93">
        <v>1</v>
      </c>
      <c r="M15" s="107">
        <v>961.81</v>
      </c>
      <c r="N15" s="107">
        <f>IF(M15&lt;=251, VLOOKUP(B3, 'Look Up Table'!I:J, 2, TRUE) * L15, 0)</f>
        <v>0</v>
      </c>
      <c r="O15" s="107">
        <f>IF(N15&gt;0, N15 - M15, 0)</f>
        <v>0</v>
      </c>
      <c r="P15" s="107">
        <f>IF(N15 = 0, K15 * B6, 0)</f>
        <v>213.7364</v>
      </c>
      <c r="Q15" s="93"/>
      <c r="R15" s="93"/>
    </row>
    <row r="16" spans="1:18" x14ac:dyDescent="0.25">
      <c r="A16" s="96">
        <v>45743</v>
      </c>
      <c r="B16" s="93">
        <v>9732</v>
      </c>
      <c r="C16" s="93">
        <v>24247</v>
      </c>
      <c r="D16" s="93" t="s">
        <v>670</v>
      </c>
      <c r="E16" s="93" t="s">
        <v>671</v>
      </c>
      <c r="F16" s="93">
        <v>25</v>
      </c>
      <c r="G16" s="93" t="s">
        <v>1329</v>
      </c>
      <c r="H16" s="93" t="s">
        <v>1334</v>
      </c>
      <c r="I16" s="93" t="s">
        <v>59</v>
      </c>
      <c r="J16" s="107">
        <v>2193.71</v>
      </c>
      <c r="K16" s="107">
        <v>-1440</v>
      </c>
      <c r="L16" s="93">
        <v>1</v>
      </c>
      <c r="M16" s="107">
        <v>200</v>
      </c>
      <c r="N16" s="107">
        <f>IF(M16&lt;=251, VLOOKUP(B3, 'Look Up Table'!I:J, 2, TRUE) * L16, 0)</f>
        <v>300</v>
      </c>
      <c r="O16" s="107">
        <f>IF(N16&gt;0, N16 - M16, 0)</f>
        <v>100</v>
      </c>
      <c r="P16" s="107">
        <f>IF(N16 = 0, K16 * B6, 0)</f>
        <v>0</v>
      </c>
      <c r="Q16" s="93"/>
      <c r="R16" s="93"/>
    </row>
    <row r="17" spans="1:18" x14ac:dyDescent="0.25">
      <c r="A17" s="96">
        <v>45743</v>
      </c>
      <c r="B17" s="93">
        <v>9712</v>
      </c>
      <c r="C17" s="93">
        <v>24234</v>
      </c>
      <c r="D17" s="93" t="s">
        <v>672</v>
      </c>
      <c r="E17" s="93" t="s">
        <v>673</v>
      </c>
      <c r="F17" s="93">
        <v>25</v>
      </c>
      <c r="G17" s="93" t="s">
        <v>1321</v>
      </c>
      <c r="H17" s="93" t="s">
        <v>1324</v>
      </c>
      <c r="I17" s="93" t="s">
        <v>59</v>
      </c>
      <c r="J17" s="107">
        <v>977</v>
      </c>
      <c r="K17" s="107">
        <v>814.57</v>
      </c>
      <c r="L17" s="93">
        <v>1</v>
      </c>
      <c r="M17" s="107">
        <v>200</v>
      </c>
      <c r="N17" s="107">
        <f>IF(M17&lt;=251, VLOOKUP(B3, 'Look Up Table'!I:J, 2, TRUE) * L17, 0)</f>
        <v>300</v>
      </c>
      <c r="O17" s="107">
        <f>IF(N17&gt;0, N17 - M17, 0)</f>
        <v>100</v>
      </c>
      <c r="P17" s="107">
        <f>IF(N17 = 0, K17 * B6, 0)</f>
        <v>0</v>
      </c>
      <c r="Q17" s="93"/>
      <c r="R17" s="93"/>
    </row>
    <row r="18" spans="1:18" x14ac:dyDescent="0.25">
      <c r="A18" s="96">
        <v>45744</v>
      </c>
      <c r="B18" s="93">
        <v>9756</v>
      </c>
      <c r="C18" s="93">
        <v>226994</v>
      </c>
      <c r="D18" s="93" t="s">
        <v>674</v>
      </c>
      <c r="E18" s="93" t="s">
        <v>675</v>
      </c>
      <c r="F18" s="93">
        <v>25</v>
      </c>
      <c r="G18" s="93" t="s">
        <v>1321</v>
      </c>
      <c r="H18" s="93" t="s">
        <v>1348</v>
      </c>
      <c r="I18" s="93" t="s">
        <v>59</v>
      </c>
      <c r="J18" s="107">
        <v>2158.9899999999998</v>
      </c>
      <c r="K18" s="107">
        <v>775</v>
      </c>
      <c r="L18" s="93">
        <v>0.5</v>
      </c>
      <c r="M18" s="107">
        <v>139.5</v>
      </c>
      <c r="N18" s="107">
        <f>IF(M18&lt;=251, VLOOKUP(B3, 'Look Up Table'!I:J, 2, TRUE) * L18, 0)</f>
        <v>150</v>
      </c>
      <c r="O18" s="107">
        <f>IF(N18&gt;0, N18 - M18, 0)</f>
        <v>10.5</v>
      </c>
      <c r="P18" s="107">
        <f>IF(N18 = 0, K18 * B6, 0)</f>
        <v>0</v>
      </c>
      <c r="Q18" s="93"/>
      <c r="R18" s="93"/>
    </row>
    <row r="19" spans="1:18" x14ac:dyDescent="0.25">
      <c r="A19" s="96">
        <v>45747</v>
      </c>
      <c r="B19" s="93">
        <v>9974</v>
      </c>
      <c r="C19" s="93">
        <v>24529</v>
      </c>
      <c r="D19" s="93" t="s">
        <v>678</v>
      </c>
      <c r="E19" s="93" t="s">
        <v>679</v>
      </c>
      <c r="F19" s="93">
        <v>25</v>
      </c>
      <c r="G19" s="93" t="s">
        <v>1321</v>
      </c>
      <c r="H19" s="93" t="s">
        <v>1370</v>
      </c>
      <c r="I19" s="93" t="s">
        <v>59</v>
      </c>
      <c r="J19" s="107">
        <v>5284.94</v>
      </c>
      <c r="K19" s="107">
        <v>2556</v>
      </c>
      <c r="L19" s="93">
        <v>1</v>
      </c>
      <c r="M19" s="107">
        <v>460.08</v>
      </c>
      <c r="N19" s="107">
        <f>IF(M19&lt;=251, VLOOKUP(B3, 'Look Up Table'!I:J, 2, TRUE) * L19, 0)</f>
        <v>0</v>
      </c>
      <c r="O19" s="107">
        <f>IF(N19&gt;0, N19 - M19, 0)</f>
        <v>0</v>
      </c>
      <c r="P19" s="107">
        <f>IF(N19 = 0, K19 * B6, 0)</f>
        <v>102.24000000000001</v>
      </c>
      <c r="Q19" s="93"/>
      <c r="R19" s="93"/>
    </row>
    <row r="20" spans="1:18" x14ac:dyDescent="0.25">
      <c r="A20" s="96">
        <v>45747</v>
      </c>
      <c r="B20" s="93">
        <v>9928</v>
      </c>
      <c r="C20" s="93">
        <v>24477</v>
      </c>
      <c r="D20" s="93" t="s">
        <v>683</v>
      </c>
      <c r="E20" s="93" t="s">
        <v>684</v>
      </c>
      <c r="F20" s="93">
        <v>25</v>
      </c>
      <c r="G20" s="93" t="s">
        <v>1321</v>
      </c>
      <c r="H20" s="93" t="s">
        <v>1346</v>
      </c>
      <c r="I20" s="93" t="s">
        <v>59</v>
      </c>
      <c r="J20" s="107">
        <v>1962</v>
      </c>
      <c r="K20" s="107">
        <v>17.190000000000001</v>
      </c>
      <c r="L20" s="93">
        <v>1</v>
      </c>
      <c r="M20" s="107">
        <v>200</v>
      </c>
      <c r="N20" s="107">
        <f>IF(M20&lt;=251, VLOOKUP(B3, 'Look Up Table'!I:J, 2, TRUE) * L20, 0)</f>
        <v>300</v>
      </c>
      <c r="O20" s="107">
        <f>IF(N20&gt;0, N20 - M20, 0)</f>
        <v>100</v>
      </c>
      <c r="P20" s="107">
        <f>IF(N20 = 0, K20 * B6, 0)</f>
        <v>0</v>
      </c>
      <c r="Q20" s="93"/>
      <c r="R20" s="93"/>
    </row>
    <row r="21" spans="1:18" x14ac:dyDescent="0.25">
      <c r="A21" s="96">
        <v>45747</v>
      </c>
      <c r="B21" s="93">
        <v>9627</v>
      </c>
      <c r="C21" s="93">
        <v>23388</v>
      </c>
      <c r="D21" s="93" t="s">
        <v>647</v>
      </c>
      <c r="E21" s="93" t="s">
        <v>685</v>
      </c>
      <c r="F21" s="93">
        <v>25</v>
      </c>
      <c r="G21" s="93" t="s">
        <v>1319</v>
      </c>
      <c r="H21" s="93" t="s">
        <v>1344</v>
      </c>
      <c r="I21" s="93" t="s">
        <v>59</v>
      </c>
      <c r="J21" s="107">
        <v>3329.18</v>
      </c>
      <c r="K21" s="107">
        <v>-1737.3</v>
      </c>
      <c r="L21" s="93">
        <v>1</v>
      </c>
      <c r="M21" s="107">
        <v>200</v>
      </c>
      <c r="N21" s="107">
        <f>IF(M21&lt;=251, VLOOKUP(B3, 'Look Up Table'!I:J, 2, TRUE) * L21, 0)</f>
        <v>300</v>
      </c>
      <c r="O21" s="107">
        <f>IF(N21&gt;0, N21 - M21, 0)</f>
        <v>100</v>
      </c>
      <c r="P21" s="107">
        <f>IF(N21 = 0, K21 * B6, 0)</f>
        <v>0</v>
      </c>
      <c r="Q21" s="93"/>
      <c r="R21" s="93"/>
    </row>
    <row r="22" spans="1:18" x14ac:dyDescent="0.25">
      <c r="A22" s="96">
        <v>45747</v>
      </c>
      <c r="B22" s="93" t="s">
        <v>688</v>
      </c>
      <c r="C22" s="93">
        <v>24234</v>
      </c>
      <c r="D22" s="93" t="s">
        <v>672</v>
      </c>
      <c r="E22" s="93" t="s">
        <v>680</v>
      </c>
      <c r="F22" s="93">
        <v>24</v>
      </c>
      <c r="G22" s="93" t="s">
        <v>1319</v>
      </c>
      <c r="H22" s="93" t="s">
        <v>1323</v>
      </c>
      <c r="I22" s="93" t="s">
        <v>59</v>
      </c>
      <c r="J22" s="107">
        <v>2883.76</v>
      </c>
      <c r="K22" s="107">
        <v>5279.26</v>
      </c>
      <c r="L22" s="93">
        <v>1</v>
      </c>
      <c r="M22" s="107">
        <v>950.27</v>
      </c>
      <c r="N22" s="107">
        <f>IF(M22&lt;=251, VLOOKUP(B3, 'Look Up Table'!I:J, 2, TRUE) * L22, 0)</f>
        <v>0</v>
      </c>
      <c r="O22" s="107">
        <f>IF(N22&gt;0, N22 - M22, 0)</f>
        <v>0</v>
      </c>
      <c r="P22" s="107">
        <f>IF(N22 = 0, K22 * B6, 0)</f>
        <v>211.1704</v>
      </c>
      <c r="Q22" s="93"/>
      <c r="R22" s="93"/>
    </row>
    <row r="23" spans="1:18" x14ac:dyDescent="0.25">
      <c r="A23" s="104"/>
      <c r="B23" s="105"/>
      <c r="C23" s="105"/>
      <c r="D23" s="105"/>
      <c r="E23" s="105"/>
      <c r="F23" s="105"/>
      <c r="G23" s="105"/>
      <c r="H23" s="105"/>
      <c r="I23" s="105"/>
      <c r="J23" s="108">
        <f>SUM(J8:J22)</f>
        <v>43226.12</v>
      </c>
      <c r="K23" s="108">
        <f>SUM(K8:K22)</f>
        <v>21087.940000000002</v>
      </c>
      <c r="L23" s="105">
        <f>SUM(L8:L22)</f>
        <v>14</v>
      </c>
      <c r="M23" s="108">
        <f>SUM(M8:M22)</f>
        <v>6826.8600000000006</v>
      </c>
      <c r="N23" s="108">
        <f>SUM(N8:N22)</f>
        <v>2400</v>
      </c>
      <c r="O23" s="108">
        <f>SUM(O8:O22)</f>
        <v>760.5</v>
      </c>
      <c r="P23" s="108">
        <f>SUM(P8:P22)</f>
        <v>1152.7468000000001</v>
      </c>
      <c r="Q23" s="93"/>
      <c r="R23" s="93"/>
    </row>
    <row r="25" spans="1:18" x14ac:dyDescent="0.25">
      <c r="J25" s="99" t="s">
        <v>1451</v>
      </c>
      <c r="M25" s="106">
        <f>-VLOOKUP(B2, '3213'!A:G, 7, 0)</f>
        <v>-2188.16</v>
      </c>
    </row>
    <row r="26" spans="1:18" x14ac:dyDescent="0.25">
      <c r="J26" s="99"/>
      <c r="M26" s="106"/>
    </row>
    <row r="27" spans="1:18" x14ac:dyDescent="0.25">
      <c r="J27" s="99" t="s">
        <v>1264</v>
      </c>
      <c r="K27" s="92">
        <v>0.18</v>
      </c>
      <c r="M27" s="106">
        <f>M23</f>
        <v>6826.8600000000006</v>
      </c>
    </row>
    <row r="28" spans="1:18" x14ac:dyDescent="0.25">
      <c r="J28" s="99"/>
      <c r="M28" s="106"/>
    </row>
    <row r="29" spans="1:18" x14ac:dyDescent="0.25">
      <c r="A29" s="110"/>
      <c r="B29" s="109"/>
      <c r="C29" s="109"/>
      <c r="D29" t="s">
        <v>1448</v>
      </c>
      <c r="J29" s="99" t="s">
        <v>1265</v>
      </c>
      <c r="K29" s="92">
        <f>B6</f>
        <v>0.04</v>
      </c>
      <c r="M29" s="106">
        <f>P23</f>
        <v>1152.7468000000001</v>
      </c>
    </row>
    <row r="30" spans="1:18" x14ac:dyDescent="0.25">
      <c r="J30" s="99"/>
      <c r="M30" s="106"/>
    </row>
    <row r="31" spans="1:18" x14ac:dyDescent="0.25">
      <c r="J31" s="99" t="s">
        <v>1452</v>
      </c>
      <c r="M31" s="106">
        <f>O23</f>
        <v>760.5</v>
      </c>
    </row>
    <row r="32" spans="1:18" x14ac:dyDescent="0.25">
      <c r="J32" s="99"/>
      <c r="M32" s="106"/>
    </row>
    <row r="33" spans="1:15" x14ac:dyDescent="0.25">
      <c r="J33" s="99" t="s">
        <v>1453</v>
      </c>
      <c r="M33" s="106">
        <f>SUM(P23, O23)</f>
        <v>1913.2468000000001</v>
      </c>
    </row>
    <row r="34" spans="1:15" x14ac:dyDescent="0.25">
      <c r="J34" s="99"/>
      <c r="M34" s="106"/>
    </row>
    <row r="35" spans="1:15" x14ac:dyDescent="0.25">
      <c r="A35" s="110"/>
      <c r="B35" s="109"/>
      <c r="C35" s="109"/>
      <c r="D35" t="s">
        <v>1449</v>
      </c>
      <c r="J35" s="99" t="s">
        <v>1454</v>
      </c>
      <c r="M35" s="106">
        <f>J23</f>
        <v>43226.12</v>
      </c>
    </row>
    <row r="36" spans="1:15" x14ac:dyDescent="0.25">
      <c r="J36" s="99"/>
      <c r="M36" s="106"/>
    </row>
    <row r="37" spans="1:15" x14ac:dyDescent="0.25">
      <c r="J37" s="99" t="s">
        <v>1455</v>
      </c>
      <c r="K37" s="92">
        <v>-0.25</v>
      </c>
      <c r="M37" s="106">
        <f>K37 * M35</f>
        <v>-10806.53</v>
      </c>
    </row>
    <row r="38" spans="1:15" x14ac:dyDescent="0.25">
      <c r="J38" s="99"/>
      <c r="M38" s="106"/>
    </row>
    <row r="39" spans="1:15" x14ac:dyDescent="0.25">
      <c r="J39" s="99" t="s">
        <v>1456</v>
      </c>
      <c r="M39" s="106">
        <f>M35 + M37</f>
        <v>32419.590000000004</v>
      </c>
    </row>
    <row r="40" spans="1:15" x14ac:dyDescent="0.25">
      <c r="J40" s="99"/>
      <c r="M40" s="106"/>
    </row>
    <row r="41" spans="1:15" x14ac:dyDescent="0.25">
      <c r="J41" s="99" t="s">
        <v>1457</v>
      </c>
      <c r="K41" s="92">
        <v>0.05</v>
      </c>
      <c r="M41" s="106">
        <f>K41 * M39</f>
        <v>1620.9795000000004</v>
      </c>
    </row>
    <row r="42" spans="1:15" x14ac:dyDescent="0.25">
      <c r="J42" s="99"/>
      <c r="M42" s="106"/>
    </row>
    <row r="43" spans="1:15" x14ac:dyDescent="0.25">
      <c r="J43" s="99" t="s">
        <v>1458</v>
      </c>
      <c r="K43" t="str">
        <f>VLOOKUP(B2,'Pay Summary'!A:D,4,0)</f>
        <v/>
      </c>
      <c r="M43" s="106">
        <f>IF(K43 = 1, 500, 0)</f>
        <v>0</v>
      </c>
    </row>
    <row r="44" spans="1:15" x14ac:dyDescent="0.25">
      <c r="J44" s="99"/>
      <c r="M44" s="106"/>
    </row>
    <row r="45" spans="1:15" x14ac:dyDescent="0.25">
      <c r="J45" s="99" t="s">
        <v>1450</v>
      </c>
      <c r="K45">
        <f>L23</f>
        <v>14</v>
      </c>
      <c r="M45" s="106">
        <f>VLOOKUP(K45, 'Look Up Table'!E:F, 2, TRUE)</f>
        <v>750</v>
      </c>
    </row>
    <row r="46" spans="1:15" x14ac:dyDescent="0.25">
      <c r="J46" s="99"/>
      <c r="M46" s="106"/>
    </row>
    <row r="47" spans="1:15" x14ac:dyDescent="0.25">
      <c r="J47" s="99" t="s">
        <v>1306</v>
      </c>
      <c r="K47" s="111" t="str">
        <f>B4</f>
        <v>3P</v>
      </c>
      <c r="M47" s="106">
        <f>IF(B5&gt;=3,IF(B4="3P",L23*50,IF(B4="A",0,IF(B4="B",L23*-50))),0)</f>
        <v>700</v>
      </c>
      <c r="N47" s="99" t="s">
        <v>1463</v>
      </c>
      <c r="O47" s="112">
        <f>'NPS Sheet'!X51</f>
        <v>0.91700000000000004</v>
      </c>
    </row>
    <row r="48" spans="1:15" x14ac:dyDescent="0.25">
      <c r="J48" s="99"/>
      <c r="M48" s="106"/>
    </row>
    <row r="49" spans="10:13" x14ac:dyDescent="0.25">
      <c r="J49" s="99" t="s">
        <v>1459</v>
      </c>
      <c r="M49" s="106">
        <f>SUM(M45, M47, M43)</f>
        <v>1450</v>
      </c>
    </row>
    <row r="50" spans="10:13" x14ac:dyDescent="0.25">
      <c r="J50" s="99"/>
      <c r="M50" s="106"/>
    </row>
    <row r="51" spans="10:13" x14ac:dyDescent="0.25">
      <c r="J51" s="99" t="s">
        <v>1460</v>
      </c>
      <c r="M51" s="106">
        <f>IFERROR(VLOOKUP(B2,SPIFFS!A:H,8,0),0)</f>
        <v>2650</v>
      </c>
    </row>
    <row r="52" spans="10:13" x14ac:dyDescent="0.25">
      <c r="J52" s="99"/>
      <c r="M52" s="106"/>
    </row>
    <row r="53" spans="10:13" x14ac:dyDescent="0.25">
      <c r="J53" s="99" t="s">
        <v>1461</v>
      </c>
      <c r="M53" s="106">
        <f>SUM(M27, M33, M41, M49, M25, M51)</f>
        <v>12272.926300000003</v>
      </c>
    </row>
    <row r="54" spans="10:13" x14ac:dyDescent="0.25">
      <c r="J54" s="99"/>
      <c r="M54" s="106"/>
    </row>
    <row r="55" spans="10:13" x14ac:dyDescent="0.25">
      <c r="J55" s="99" t="s">
        <v>1462</v>
      </c>
      <c r="M55" s="106">
        <f>IF(M53&lt;0, SUM(M25, M49, M41, M33), 0)</f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000ED-DFC0-4FC8-BAA4-91826DD2B2B0}">
  <dimension ref="A1:R45"/>
  <sheetViews>
    <sheetView workbookViewId="0"/>
  </sheetViews>
  <sheetFormatPr defaultRowHeight="15" x14ac:dyDescent="0.25"/>
  <cols>
    <col min="1" max="1" width="23" style="95" bestFit="1" customWidth="1"/>
    <col min="2" max="2" width="17.5703125" bestFit="1" customWidth="1"/>
    <col min="3" max="3" width="11.42578125" bestFit="1" customWidth="1"/>
    <col min="4" max="4" width="17.7109375" bestFit="1" customWidth="1"/>
    <col min="5" max="5" width="8.42578125" bestFit="1" customWidth="1"/>
    <col min="6" max="6" width="5" bestFit="1" customWidth="1"/>
    <col min="8" max="8" width="15.42578125" bestFit="1" customWidth="1"/>
    <col min="9" max="9" width="9.5703125" bestFit="1" customWidth="1"/>
    <col min="10" max="10" width="23.140625" bestFit="1" customWidth="1"/>
    <col min="11" max="11" width="18.42578125" bestFit="1" customWidth="1"/>
    <col min="12" max="12" width="5.7109375" bestFit="1" customWidth="1"/>
    <col min="13" max="13" width="20.140625" bestFit="1" customWidth="1"/>
    <col min="14" max="14" width="13.7109375" bestFit="1" customWidth="1"/>
    <col min="15" max="15" width="11.5703125" bestFit="1" customWidth="1"/>
    <col min="16" max="16" width="24.85546875" bestFit="1" customWidth="1"/>
  </cols>
  <sheetData>
    <row r="1" spans="1:18" x14ac:dyDescent="0.25">
      <c r="A1" s="101" t="s">
        <v>1249</v>
      </c>
      <c r="B1" s="100" t="s">
        <v>1252</v>
      </c>
    </row>
    <row r="2" spans="1:18" x14ac:dyDescent="0.25">
      <c r="A2" s="101" t="s">
        <v>1307</v>
      </c>
      <c r="B2" s="100">
        <v>22478</v>
      </c>
    </row>
    <row r="3" spans="1:18" x14ac:dyDescent="0.25">
      <c r="A3" s="101" t="s">
        <v>1305</v>
      </c>
      <c r="B3" s="100">
        <f>VLOOKUP(B2, '90'!A:E, 5, 0)</f>
        <v>5</v>
      </c>
    </row>
    <row r="4" spans="1:18" x14ac:dyDescent="0.25">
      <c r="A4" s="101" t="s">
        <v>1306</v>
      </c>
      <c r="B4" s="100" t="str">
        <f>IFERROR(VLOOKUP(B2, NPS!B:H, 7, 0), 0)</f>
        <v>A</v>
      </c>
    </row>
    <row r="5" spans="1:18" x14ac:dyDescent="0.25">
      <c r="A5" s="101" t="s">
        <v>1257</v>
      </c>
      <c r="B5" s="100">
        <f>IFERROR(VLOOKUP(B2, NPS!B:H, 3, 0), 0)</f>
        <v>0</v>
      </c>
    </row>
    <row r="6" spans="1:18" x14ac:dyDescent="0.25">
      <c r="A6" s="101" t="s">
        <v>1447</v>
      </c>
      <c r="B6" s="103">
        <f>VLOOKUP(5, 'Look Up Table'!A:B, 2, TRUE)</f>
        <v>0</v>
      </c>
    </row>
    <row r="7" spans="1:18" ht="50.1" customHeight="1" x14ac:dyDescent="0.25">
      <c r="A7" s="102" t="s">
        <v>43</v>
      </c>
      <c r="B7" s="80" t="s">
        <v>1308</v>
      </c>
      <c r="C7" s="80" t="s">
        <v>1309</v>
      </c>
      <c r="D7" s="80" t="s">
        <v>48</v>
      </c>
      <c r="E7" s="80" t="s">
        <v>1310</v>
      </c>
      <c r="F7" s="80" t="s">
        <v>1311</v>
      </c>
      <c r="G7" s="80" t="s">
        <v>1312</v>
      </c>
      <c r="H7" s="80" t="s">
        <v>1313</v>
      </c>
      <c r="I7" s="80" t="s">
        <v>51</v>
      </c>
      <c r="J7" s="80" t="s">
        <v>1314</v>
      </c>
      <c r="K7" s="80" t="s">
        <v>1315</v>
      </c>
      <c r="L7" s="80" t="s">
        <v>54</v>
      </c>
      <c r="M7" s="80" t="s">
        <v>55</v>
      </c>
      <c r="N7" s="80" t="s">
        <v>1316</v>
      </c>
      <c r="O7" s="80" t="s">
        <v>1317</v>
      </c>
      <c r="P7" s="80" t="s">
        <v>1318</v>
      </c>
    </row>
    <row r="8" spans="1:18" x14ac:dyDescent="0.25">
      <c r="A8" s="96">
        <v>45721</v>
      </c>
      <c r="B8" s="93">
        <v>9333</v>
      </c>
      <c r="C8" s="93">
        <v>23586</v>
      </c>
      <c r="D8" s="93" t="s">
        <v>689</v>
      </c>
      <c r="E8" s="93" t="s">
        <v>690</v>
      </c>
      <c r="F8" s="93">
        <v>25</v>
      </c>
      <c r="G8" s="93" t="s">
        <v>1319</v>
      </c>
      <c r="H8" s="93" t="s">
        <v>1344</v>
      </c>
      <c r="I8" s="93" t="s">
        <v>59</v>
      </c>
      <c r="J8" s="107">
        <v>1654</v>
      </c>
      <c r="K8" s="107">
        <v>1445</v>
      </c>
      <c r="L8" s="93">
        <v>1</v>
      </c>
      <c r="M8" s="107">
        <v>260.10000000000002</v>
      </c>
      <c r="N8" s="107">
        <f>IF(M8&lt;=251, VLOOKUP(B3, 'Look Up Table'!I:J, 2, TRUE) * L8, 0)</f>
        <v>0</v>
      </c>
      <c r="O8" s="107">
        <f>IF(N8&gt;0, N8 - M8, 0)</f>
        <v>0</v>
      </c>
      <c r="P8" s="107">
        <f>IF(N8 = 0, K8 * B6, 0)</f>
        <v>0</v>
      </c>
      <c r="Q8" s="93"/>
      <c r="R8" s="93"/>
    </row>
    <row r="9" spans="1:18" x14ac:dyDescent="0.25">
      <c r="A9" s="96">
        <v>45734</v>
      </c>
      <c r="B9" s="93">
        <v>9481</v>
      </c>
      <c r="C9" s="93">
        <v>23824</v>
      </c>
      <c r="D9" s="93" t="s">
        <v>691</v>
      </c>
      <c r="E9" s="93" t="s">
        <v>692</v>
      </c>
      <c r="F9" s="93">
        <v>25</v>
      </c>
      <c r="G9" s="93" t="s">
        <v>1321</v>
      </c>
      <c r="H9" s="93" t="s">
        <v>1326</v>
      </c>
      <c r="I9" s="93" t="s">
        <v>59</v>
      </c>
      <c r="J9" s="107">
        <v>3918.65</v>
      </c>
      <c r="K9" s="107">
        <v>1460.22</v>
      </c>
      <c r="L9" s="93">
        <v>1</v>
      </c>
      <c r="M9" s="107">
        <v>262.83999999999997</v>
      </c>
      <c r="N9" s="107">
        <f>IF(M9&lt;=251, VLOOKUP(B3, 'Look Up Table'!I:J, 2, TRUE) * L9, 0)</f>
        <v>0</v>
      </c>
      <c r="O9" s="107">
        <f>IF(N9&gt;0, N9 - M9, 0)</f>
        <v>0</v>
      </c>
      <c r="P9" s="107">
        <f>IF(N9 = 0, K9 * B6, 0)</f>
        <v>0</v>
      </c>
      <c r="Q9" s="93"/>
      <c r="R9" s="93"/>
    </row>
    <row r="10" spans="1:18" x14ac:dyDescent="0.25">
      <c r="A10" s="96">
        <v>45747</v>
      </c>
      <c r="B10" s="93">
        <v>9786</v>
      </c>
      <c r="C10" s="93">
        <v>24300</v>
      </c>
      <c r="D10" s="93" t="s">
        <v>693</v>
      </c>
      <c r="E10" s="93" t="s">
        <v>694</v>
      </c>
      <c r="F10" s="93">
        <v>25</v>
      </c>
      <c r="G10" s="93" t="s">
        <v>1319</v>
      </c>
      <c r="H10" s="93" t="s">
        <v>1323</v>
      </c>
      <c r="I10" s="93" t="s">
        <v>59</v>
      </c>
      <c r="J10" s="107">
        <v>1283</v>
      </c>
      <c r="K10" s="107">
        <v>5221.5</v>
      </c>
      <c r="L10" s="93">
        <v>1</v>
      </c>
      <c r="M10" s="107">
        <v>939.87</v>
      </c>
      <c r="N10" s="107">
        <f>IF(M10&lt;=251, VLOOKUP(B3, 'Look Up Table'!I:J, 2, TRUE) * L10, 0)</f>
        <v>0</v>
      </c>
      <c r="O10" s="107">
        <f>IF(N10&gt;0, N10 - M10, 0)</f>
        <v>0</v>
      </c>
      <c r="P10" s="107">
        <f>IF(N10 = 0, K10 * B6, 0)</f>
        <v>0</v>
      </c>
      <c r="Q10" s="93"/>
      <c r="R10" s="93"/>
    </row>
    <row r="11" spans="1:18" x14ac:dyDescent="0.25">
      <c r="A11" s="96">
        <v>45747</v>
      </c>
      <c r="B11" s="93">
        <v>9823</v>
      </c>
      <c r="C11" s="93">
        <v>24345</v>
      </c>
      <c r="D11" s="93" t="s">
        <v>697</v>
      </c>
      <c r="E11" s="93" t="s">
        <v>698</v>
      </c>
      <c r="F11" s="93">
        <v>25</v>
      </c>
      <c r="G11" s="93" t="s">
        <v>1319</v>
      </c>
      <c r="H11" s="93" t="s">
        <v>1366</v>
      </c>
      <c r="I11" s="93" t="s">
        <v>59</v>
      </c>
      <c r="J11" s="107">
        <v>728</v>
      </c>
      <c r="K11" s="107">
        <v>-2523.59</v>
      </c>
      <c r="L11" s="93">
        <v>1</v>
      </c>
      <c r="M11" s="107">
        <v>200</v>
      </c>
      <c r="N11" s="107">
        <f>IF(M11&lt;=251, VLOOKUP(B3, 'Look Up Table'!I:J, 2, TRUE) * L11, 0)</f>
        <v>200</v>
      </c>
      <c r="O11" s="107">
        <f>IF(N11&gt;0, N11 - M11, 0)</f>
        <v>0</v>
      </c>
      <c r="P11" s="107">
        <f>IF(N11 = 0, K11 * B6, 0)</f>
        <v>0</v>
      </c>
      <c r="Q11" s="93"/>
      <c r="R11" s="93"/>
    </row>
    <row r="12" spans="1:18" x14ac:dyDescent="0.25">
      <c r="A12" s="96">
        <v>45747</v>
      </c>
      <c r="B12" s="93">
        <v>9934</v>
      </c>
      <c r="C12" s="93">
        <v>274833</v>
      </c>
      <c r="D12" s="93" t="s">
        <v>699</v>
      </c>
      <c r="E12" s="93">
        <v>5237011</v>
      </c>
      <c r="F12" s="93">
        <v>25</v>
      </c>
      <c r="G12" s="93" t="s">
        <v>1321</v>
      </c>
      <c r="H12" s="93" t="s">
        <v>1379</v>
      </c>
      <c r="I12" s="93" t="s">
        <v>59</v>
      </c>
      <c r="J12" s="107">
        <v>462</v>
      </c>
      <c r="K12" s="107">
        <v>-2149</v>
      </c>
      <c r="L12" s="93">
        <v>1</v>
      </c>
      <c r="M12" s="107">
        <v>200</v>
      </c>
      <c r="N12" s="107">
        <f>IF(M12&lt;=251, VLOOKUP(B3, 'Look Up Table'!I:J, 2, TRUE) * L12, 0)</f>
        <v>200</v>
      </c>
      <c r="O12" s="107">
        <f>IF(N12&gt;0, N12 - M12, 0)</f>
        <v>0</v>
      </c>
      <c r="P12" s="107">
        <f>IF(N12 = 0, K12 * B6, 0)</f>
        <v>0</v>
      </c>
      <c r="Q12" s="93"/>
      <c r="R12" s="93"/>
    </row>
    <row r="13" spans="1:18" x14ac:dyDescent="0.25">
      <c r="A13" s="104"/>
      <c r="B13" s="105"/>
      <c r="C13" s="105"/>
      <c r="D13" s="105"/>
      <c r="E13" s="105"/>
      <c r="F13" s="105"/>
      <c r="G13" s="105"/>
      <c r="H13" s="105"/>
      <c r="I13" s="105"/>
      <c r="J13" s="108">
        <f>SUM(J8:J12)</f>
        <v>8045.65</v>
      </c>
      <c r="K13" s="108">
        <f>SUM(K8:K12)</f>
        <v>3454.13</v>
      </c>
      <c r="L13" s="105">
        <f>SUM(L8:L12)</f>
        <v>5</v>
      </c>
      <c r="M13" s="108">
        <f>SUM(M8:M12)</f>
        <v>1862.81</v>
      </c>
      <c r="N13" s="108">
        <f>SUM(N8:N12)</f>
        <v>400</v>
      </c>
      <c r="O13" s="108">
        <f>SUM(O8:O12)</f>
        <v>0</v>
      </c>
      <c r="P13" s="108">
        <f>SUM(P8:P12)</f>
        <v>0</v>
      </c>
      <c r="Q13" s="93"/>
      <c r="R13" s="93"/>
    </row>
    <row r="15" spans="1:18" x14ac:dyDescent="0.25">
      <c r="J15" s="99" t="s">
        <v>1451</v>
      </c>
      <c r="M15" s="106">
        <f>-VLOOKUP(B2, '3213'!A:G, 7, 0)</f>
        <v>-2111.46</v>
      </c>
    </row>
    <row r="16" spans="1:18" x14ac:dyDescent="0.25">
      <c r="J16" s="99"/>
      <c r="M16" s="106"/>
    </row>
    <row r="17" spans="1:13" x14ac:dyDescent="0.25">
      <c r="J17" s="99" t="s">
        <v>1264</v>
      </c>
      <c r="K17" s="92">
        <v>0.18</v>
      </c>
      <c r="M17" s="106">
        <f>M13</f>
        <v>1862.81</v>
      </c>
    </row>
    <row r="18" spans="1:13" x14ac:dyDescent="0.25">
      <c r="J18" s="99"/>
      <c r="M18" s="106"/>
    </row>
    <row r="19" spans="1:13" x14ac:dyDescent="0.25">
      <c r="A19" s="110"/>
      <c r="B19" s="109"/>
      <c r="C19" s="109"/>
      <c r="D19" t="s">
        <v>1448</v>
      </c>
      <c r="J19" s="99" t="s">
        <v>1265</v>
      </c>
      <c r="K19" s="92">
        <f>B6</f>
        <v>0</v>
      </c>
      <c r="M19" s="106">
        <f>P13</f>
        <v>0</v>
      </c>
    </row>
    <row r="20" spans="1:13" x14ac:dyDescent="0.25">
      <c r="J20" s="99"/>
      <c r="M20" s="106"/>
    </row>
    <row r="21" spans="1:13" x14ac:dyDescent="0.25">
      <c r="J21" s="99" t="s">
        <v>1452</v>
      </c>
      <c r="M21" s="106">
        <f>O13</f>
        <v>0</v>
      </c>
    </row>
    <row r="22" spans="1:13" x14ac:dyDescent="0.25">
      <c r="J22" s="99"/>
      <c r="M22" s="106"/>
    </row>
    <row r="23" spans="1:13" x14ac:dyDescent="0.25">
      <c r="J23" s="99" t="s">
        <v>1453</v>
      </c>
      <c r="M23" s="106">
        <f>SUM(P13, O13)</f>
        <v>0</v>
      </c>
    </row>
    <row r="24" spans="1:13" x14ac:dyDescent="0.25">
      <c r="J24" s="99"/>
      <c r="M24" s="106"/>
    </row>
    <row r="25" spans="1:13" x14ac:dyDescent="0.25">
      <c r="A25" s="110"/>
      <c r="B25" s="109"/>
      <c r="C25" s="109"/>
      <c r="D25" t="s">
        <v>1449</v>
      </c>
      <c r="J25" s="99" t="s">
        <v>1454</v>
      </c>
      <c r="M25" s="106">
        <f>J13</f>
        <v>8045.65</v>
      </c>
    </row>
    <row r="26" spans="1:13" x14ac:dyDescent="0.25">
      <c r="J26" s="99"/>
      <c r="M26" s="106"/>
    </row>
    <row r="27" spans="1:13" x14ac:dyDescent="0.25">
      <c r="J27" s="99" t="s">
        <v>1455</v>
      </c>
      <c r="K27" s="92">
        <v>-0.25</v>
      </c>
      <c r="M27" s="106">
        <f>K27 * M25</f>
        <v>-2011.4124999999999</v>
      </c>
    </row>
    <row r="28" spans="1:13" x14ac:dyDescent="0.25">
      <c r="J28" s="99"/>
      <c r="M28" s="106"/>
    </row>
    <row r="29" spans="1:13" x14ac:dyDescent="0.25">
      <c r="J29" s="99" t="s">
        <v>1456</v>
      </c>
      <c r="M29" s="106">
        <f>M25 + M27</f>
        <v>6034.2374999999993</v>
      </c>
    </row>
    <row r="30" spans="1:13" x14ac:dyDescent="0.25">
      <c r="J30" s="99"/>
      <c r="M30" s="106"/>
    </row>
    <row r="31" spans="1:13" x14ac:dyDescent="0.25">
      <c r="J31" s="99" t="s">
        <v>1457</v>
      </c>
      <c r="K31" s="92">
        <v>0.05</v>
      </c>
      <c r="M31" s="106">
        <f>K31 * M29</f>
        <v>301.71187499999996</v>
      </c>
    </row>
    <row r="32" spans="1:13" x14ac:dyDescent="0.25">
      <c r="J32" s="99"/>
      <c r="M32" s="106"/>
    </row>
    <row r="33" spans="10:15" x14ac:dyDescent="0.25">
      <c r="J33" s="99" t="s">
        <v>1458</v>
      </c>
      <c r="K33" t="str">
        <f>VLOOKUP(B2,'Pay Summary'!A:D,4,0)</f>
        <v/>
      </c>
      <c r="M33" s="106">
        <f>IF(K33 = 1, 500, 0)</f>
        <v>0</v>
      </c>
    </row>
    <row r="34" spans="10:15" x14ac:dyDescent="0.25">
      <c r="J34" s="99"/>
      <c r="M34" s="106"/>
    </row>
    <row r="35" spans="10:15" x14ac:dyDescent="0.25">
      <c r="J35" s="99" t="s">
        <v>1450</v>
      </c>
      <c r="K35">
        <f>L13</f>
        <v>5</v>
      </c>
      <c r="M35" s="106">
        <f>VLOOKUP(K35, 'Look Up Table'!E:F, 2, TRUE)</f>
        <v>0</v>
      </c>
    </row>
    <row r="36" spans="10:15" x14ac:dyDescent="0.25">
      <c r="J36" s="99"/>
      <c r="M36" s="106"/>
    </row>
    <row r="37" spans="10:15" x14ac:dyDescent="0.25">
      <c r="J37" s="99" t="s">
        <v>1306</v>
      </c>
      <c r="K37" s="111" t="str">
        <f>B4</f>
        <v>A</v>
      </c>
      <c r="M37" s="106">
        <f>IF(B5&gt;=3,IF(B4="3P",L13*50,IF(B4="A",0,IF(B4="B",L13*-50))),0)</f>
        <v>0</v>
      </c>
      <c r="N37" s="99" t="s">
        <v>1463</v>
      </c>
      <c r="O37" s="112">
        <f>'NPS Sheet'!X51</f>
        <v>0.91700000000000004</v>
      </c>
    </row>
    <row r="38" spans="10:15" x14ac:dyDescent="0.25">
      <c r="J38" s="99"/>
      <c r="M38" s="106"/>
    </row>
    <row r="39" spans="10:15" x14ac:dyDescent="0.25">
      <c r="J39" s="99" t="s">
        <v>1459</v>
      </c>
      <c r="M39" s="106">
        <f>SUM(M35, M37, M33)</f>
        <v>0</v>
      </c>
    </row>
    <row r="40" spans="10:15" x14ac:dyDescent="0.25">
      <c r="J40" s="99"/>
      <c r="M40" s="106"/>
    </row>
    <row r="41" spans="10:15" x14ac:dyDescent="0.25">
      <c r="J41" s="99" t="s">
        <v>1460</v>
      </c>
      <c r="M41" s="106">
        <f>IFERROR(VLOOKUP(B2,SPIFFS!A:H,8,0),0)</f>
        <v>202.8</v>
      </c>
    </row>
    <row r="42" spans="10:15" x14ac:dyDescent="0.25">
      <c r="J42" s="99"/>
      <c r="M42" s="106"/>
    </row>
    <row r="43" spans="10:15" x14ac:dyDescent="0.25">
      <c r="J43" s="99" t="s">
        <v>1461</v>
      </c>
      <c r="M43" s="106">
        <f>SUM(M17, M23, M31, M39, M15, M41)</f>
        <v>255.86187499999988</v>
      </c>
    </row>
    <row r="44" spans="10:15" x14ac:dyDescent="0.25">
      <c r="J44" s="99"/>
      <c r="M44" s="106"/>
    </row>
    <row r="45" spans="10:15" x14ac:dyDescent="0.25">
      <c r="J45" s="99" t="s">
        <v>1462</v>
      </c>
      <c r="M45" s="106">
        <f>IF(M43&lt;0, SUM(M15, M39, M31, M23), 0)</f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AC426-2D40-4589-9A16-AC3EA2A6717C}">
  <dimension ref="A1:R55"/>
  <sheetViews>
    <sheetView workbookViewId="0"/>
  </sheetViews>
  <sheetFormatPr defaultRowHeight="15" x14ac:dyDescent="0.25"/>
  <cols>
    <col min="1" max="1" width="23" style="95" bestFit="1" customWidth="1"/>
    <col min="2" max="2" width="17.42578125" bestFit="1" customWidth="1"/>
    <col min="3" max="3" width="11.42578125" bestFit="1" customWidth="1"/>
    <col min="4" max="4" width="27.5703125" bestFit="1" customWidth="1"/>
    <col min="5" max="5" width="10" bestFit="1" customWidth="1"/>
    <col min="6" max="6" width="5" bestFit="1" customWidth="1"/>
    <col min="7" max="7" width="12.140625" bestFit="1" customWidth="1"/>
    <col min="9" max="9" width="9.5703125" bestFit="1" customWidth="1"/>
    <col min="10" max="10" width="23.140625" bestFit="1" customWidth="1"/>
    <col min="11" max="11" width="18.42578125" bestFit="1" customWidth="1"/>
    <col min="12" max="12" width="5.7109375" bestFit="1" customWidth="1"/>
    <col min="13" max="13" width="20.140625" bestFit="1" customWidth="1"/>
    <col min="14" max="14" width="13.7109375" bestFit="1" customWidth="1"/>
    <col min="15" max="15" width="11.5703125" bestFit="1" customWidth="1"/>
    <col min="16" max="16" width="24.85546875" bestFit="1" customWidth="1"/>
  </cols>
  <sheetData>
    <row r="1" spans="1:18" x14ac:dyDescent="0.25">
      <c r="A1" s="101" t="s">
        <v>1249</v>
      </c>
      <c r="B1" s="100" t="s">
        <v>1253</v>
      </c>
    </row>
    <row r="2" spans="1:18" x14ac:dyDescent="0.25">
      <c r="A2" s="101" t="s">
        <v>1307</v>
      </c>
      <c r="B2" s="100">
        <v>22564</v>
      </c>
    </row>
    <row r="3" spans="1:18" x14ac:dyDescent="0.25">
      <c r="A3" s="101" t="s">
        <v>1305</v>
      </c>
      <c r="B3" s="100">
        <f>VLOOKUP(B2, '90'!A:E, 5, 0)</f>
        <v>10</v>
      </c>
    </row>
    <row r="4" spans="1:18" x14ac:dyDescent="0.25">
      <c r="A4" s="101" t="s">
        <v>1306</v>
      </c>
      <c r="B4" s="100" t="str">
        <f>IFERROR(VLOOKUP(B2, NPS!B:H, 7, 0), 0)</f>
        <v>3P</v>
      </c>
    </row>
    <row r="5" spans="1:18" x14ac:dyDescent="0.25">
      <c r="A5" s="101" t="s">
        <v>1257</v>
      </c>
      <c r="B5" s="100">
        <f>IFERROR(VLOOKUP(B2, NPS!B:H, 3, 0), 0)</f>
        <v>3</v>
      </c>
    </row>
    <row r="6" spans="1:18" x14ac:dyDescent="0.25">
      <c r="A6" s="101" t="s">
        <v>1447</v>
      </c>
      <c r="B6" s="103">
        <f>VLOOKUP(14, 'Look Up Table'!A:B, 2, TRUE)</f>
        <v>0.04</v>
      </c>
    </row>
    <row r="7" spans="1:18" ht="50.1" customHeight="1" x14ac:dyDescent="0.25">
      <c r="A7" s="102" t="s">
        <v>43</v>
      </c>
      <c r="B7" s="80" t="s">
        <v>1308</v>
      </c>
      <c r="C7" s="80" t="s">
        <v>1309</v>
      </c>
      <c r="D7" s="80" t="s">
        <v>48</v>
      </c>
      <c r="E7" s="80" t="s">
        <v>1310</v>
      </c>
      <c r="F7" s="80" t="s">
        <v>1311</v>
      </c>
      <c r="G7" s="80" t="s">
        <v>1312</v>
      </c>
      <c r="H7" s="80" t="s">
        <v>1313</v>
      </c>
      <c r="I7" s="80" t="s">
        <v>51</v>
      </c>
      <c r="J7" s="80" t="s">
        <v>1314</v>
      </c>
      <c r="K7" s="80" t="s">
        <v>1315</v>
      </c>
      <c r="L7" s="80" t="s">
        <v>54</v>
      </c>
      <c r="M7" s="80" t="s">
        <v>55</v>
      </c>
      <c r="N7" s="80" t="s">
        <v>1316</v>
      </c>
      <c r="O7" s="80" t="s">
        <v>1317</v>
      </c>
      <c r="P7" s="80" t="s">
        <v>1318</v>
      </c>
    </row>
    <row r="8" spans="1:18" x14ac:dyDescent="0.25">
      <c r="A8" s="96">
        <v>45721</v>
      </c>
      <c r="B8" s="93" t="s">
        <v>61</v>
      </c>
      <c r="C8" s="93">
        <v>23583</v>
      </c>
      <c r="D8" s="93" t="s">
        <v>62</v>
      </c>
      <c r="E8" s="93">
        <v>5217204</v>
      </c>
      <c r="F8" s="93">
        <v>25</v>
      </c>
      <c r="G8" s="93" t="s">
        <v>1321</v>
      </c>
      <c r="H8" s="93" t="s">
        <v>1322</v>
      </c>
      <c r="I8" s="93" t="s">
        <v>59</v>
      </c>
      <c r="J8" s="107">
        <v>1005.29</v>
      </c>
      <c r="K8" s="107">
        <v>234.62</v>
      </c>
      <c r="L8" s="93">
        <v>0.5</v>
      </c>
      <c r="M8" s="107">
        <v>100</v>
      </c>
      <c r="N8" s="107">
        <f>IF(M8&lt;=251, VLOOKUP(B3, 'Look Up Table'!I:J, 2, TRUE) * L8, 0)</f>
        <v>100</v>
      </c>
      <c r="O8" s="107">
        <f>IF(N8&gt;0, N8 - M8, 0)</f>
        <v>0</v>
      </c>
      <c r="P8" s="107">
        <f>IF(N8 = 0, K8 * B6, 0)</f>
        <v>0</v>
      </c>
      <c r="Q8" s="93"/>
      <c r="R8" s="93"/>
    </row>
    <row r="9" spans="1:18" x14ac:dyDescent="0.25">
      <c r="A9" s="96">
        <v>45721</v>
      </c>
      <c r="B9" s="93">
        <v>9326</v>
      </c>
      <c r="C9" s="93">
        <v>23576</v>
      </c>
      <c r="D9" s="93" t="s">
        <v>700</v>
      </c>
      <c r="E9" s="93" t="s">
        <v>701</v>
      </c>
      <c r="F9" s="93">
        <v>25</v>
      </c>
      <c r="G9" s="93" t="s">
        <v>1319</v>
      </c>
      <c r="H9" s="93" t="s">
        <v>1323</v>
      </c>
      <c r="I9" s="93" t="s">
        <v>59</v>
      </c>
      <c r="J9" s="107">
        <v>3202.36</v>
      </c>
      <c r="K9" s="107">
        <v>3165</v>
      </c>
      <c r="L9" s="93">
        <v>1</v>
      </c>
      <c r="M9" s="107">
        <v>569.70000000000005</v>
      </c>
      <c r="N9" s="107">
        <f>IF(M9&lt;=251, VLOOKUP(B3, 'Look Up Table'!I:J, 2, TRUE) * L9, 0)</f>
        <v>0</v>
      </c>
      <c r="O9" s="107">
        <f>IF(N9&gt;0, N9 - M9, 0)</f>
        <v>0</v>
      </c>
      <c r="P9" s="107">
        <f>IF(N9 = 0, K9 * B6, 0)</f>
        <v>126.60000000000001</v>
      </c>
      <c r="Q9" s="93"/>
      <c r="R9" s="93"/>
    </row>
    <row r="10" spans="1:18" x14ac:dyDescent="0.25">
      <c r="A10" s="96">
        <v>45727</v>
      </c>
      <c r="B10" s="93">
        <v>9418</v>
      </c>
      <c r="C10" s="93">
        <v>23725</v>
      </c>
      <c r="D10" s="93" t="s">
        <v>702</v>
      </c>
      <c r="E10" s="93" t="s">
        <v>703</v>
      </c>
      <c r="F10" s="93">
        <v>20</v>
      </c>
      <c r="G10" s="93" t="s">
        <v>1410</v>
      </c>
      <c r="H10" s="93" t="s">
        <v>1411</v>
      </c>
      <c r="I10" s="93" t="s">
        <v>86</v>
      </c>
      <c r="J10" s="107">
        <v>1688.12</v>
      </c>
      <c r="K10" s="107">
        <v>2624.59</v>
      </c>
      <c r="L10" s="93">
        <v>1</v>
      </c>
      <c r="M10" s="107">
        <v>472.43</v>
      </c>
      <c r="N10" s="107">
        <f>IF(M10&lt;=251, VLOOKUP(B3, 'Look Up Table'!I:J, 2, TRUE) * L10, 0)</f>
        <v>0</v>
      </c>
      <c r="O10" s="107">
        <f>IF(N10&gt;0, N10 - M10, 0)</f>
        <v>0</v>
      </c>
      <c r="P10" s="107">
        <f>IF(N10 = 0, K10 * B6, 0)</f>
        <v>104.98360000000001</v>
      </c>
      <c r="Q10" s="93"/>
      <c r="R10" s="93"/>
    </row>
    <row r="11" spans="1:18" x14ac:dyDescent="0.25">
      <c r="A11" s="96">
        <v>45728</v>
      </c>
      <c r="B11" s="93">
        <v>9466</v>
      </c>
      <c r="C11" s="93">
        <v>23813</v>
      </c>
      <c r="D11" s="93" t="s">
        <v>705</v>
      </c>
      <c r="E11" s="93" t="s">
        <v>706</v>
      </c>
      <c r="F11" s="93">
        <v>23</v>
      </c>
      <c r="G11" s="93" t="s">
        <v>1321</v>
      </c>
      <c r="H11" s="93" t="s">
        <v>1365</v>
      </c>
      <c r="I11" s="93" t="s">
        <v>86</v>
      </c>
      <c r="J11" s="107">
        <v>4291.05</v>
      </c>
      <c r="K11" s="107">
        <v>-879.27</v>
      </c>
      <c r="L11" s="93">
        <v>1</v>
      </c>
      <c r="M11" s="107">
        <v>200</v>
      </c>
      <c r="N11" s="107">
        <f>IF(M11&lt;=251, VLOOKUP(B3, 'Look Up Table'!I:J, 2, TRUE) * L11, 0)</f>
        <v>200</v>
      </c>
      <c r="O11" s="107">
        <f>IF(N11&gt;0, N11 - M11, 0)</f>
        <v>0</v>
      </c>
      <c r="P11" s="107">
        <f>IF(N11 = 0, K11 * B6, 0)</f>
        <v>0</v>
      </c>
      <c r="Q11" s="93"/>
      <c r="R11" s="93"/>
    </row>
    <row r="12" spans="1:18" x14ac:dyDescent="0.25">
      <c r="A12" s="96">
        <v>45734</v>
      </c>
      <c r="B12" s="93">
        <v>9583</v>
      </c>
      <c r="C12" s="93">
        <v>24013</v>
      </c>
      <c r="D12" s="93" t="s">
        <v>714</v>
      </c>
      <c r="E12" s="93" t="s">
        <v>715</v>
      </c>
      <c r="F12" s="93">
        <v>25</v>
      </c>
      <c r="G12" s="93" t="s">
        <v>1321</v>
      </c>
      <c r="H12" s="93" t="s">
        <v>1346</v>
      </c>
      <c r="I12" s="93" t="s">
        <v>59</v>
      </c>
      <c r="J12" s="107">
        <v>1248</v>
      </c>
      <c r="K12" s="107">
        <v>-5730.45</v>
      </c>
      <c r="L12" s="93">
        <v>1</v>
      </c>
      <c r="M12" s="107">
        <v>200</v>
      </c>
      <c r="N12" s="107">
        <f>IF(M12&lt;=251, VLOOKUP(B3, 'Look Up Table'!I:J, 2, TRUE) * L12, 0)</f>
        <v>200</v>
      </c>
      <c r="O12" s="107">
        <f>IF(N12&gt;0, N12 - M12, 0)</f>
        <v>0</v>
      </c>
      <c r="P12" s="107">
        <f>IF(N12 = 0, K12 * B6, 0)</f>
        <v>0</v>
      </c>
      <c r="Q12" s="93"/>
      <c r="R12" s="93"/>
    </row>
    <row r="13" spans="1:18" x14ac:dyDescent="0.25">
      <c r="A13" s="96">
        <v>45741</v>
      </c>
      <c r="B13" s="93" t="s">
        <v>716</v>
      </c>
      <c r="C13" s="93">
        <v>23945</v>
      </c>
      <c r="D13" s="93" t="s">
        <v>709</v>
      </c>
      <c r="E13" s="93" t="s">
        <v>710</v>
      </c>
      <c r="F13" s="93">
        <v>25</v>
      </c>
      <c r="G13" s="93" t="s">
        <v>1319</v>
      </c>
      <c r="H13" s="93" t="s">
        <v>1397</v>
      </c>
      <c r="I13" s="93" t="s">
        <v>59</v>
      </c>
      <c r="J13" s="107">
        <v>9774</v>
      </c>
      <c r="K13" s="107">
        <v>33202</v>
      </c>
      <c r="L13" s="93">
        <v>1</v>
      </c>
      <c r="M13" s="107">
        <v>5976.36</v>
      </c>
      <c r="N13" s="107">
        <f>IF(M13&lt;=251, VLOOKUP(B3, 'Look Up Table'!I:J, 2, TRUE) * L13, 0)</f>
        <v>0</v>
      </c>
      <c r="O13" s="107">
        <f>IF(N13&gt;0, N13 - M13, 0)</f>
        <v>0</v>
      </c>
      <c r="P13" s="107">
        <f>IF(N13 = 0, K13 * B6, 0)</f>
        <v>1328.08</v>
      </c>
      <c r="Q13" s="93"/>
      <c r="R13" s="93"/>
    </row>
    <row r="14" spans="1:18" x14ac:dyDescent="0.25">
      <c r="A14" s="96">
        <v>45741</v>
      </c>
      <c r="B14" s="93">
        <v>9566</v>
      </c>
      <c r="C14" s="93">
        <v>23997</v>
      </c>
      <c r="D14" s="93" t="s">
        <v>717</v>
      </c>
      <c r="E14" s="93" t="s">
        <v>718</v>
      </c>
      <c r="F14" s="93">
        <v>25</v>
      </c>
      <c r="G14" s="93" t="s">
        <v>1319</v>
      </c>
      <c r="H14" s="93" t="s">
        <v>1374</v>
      </c>
      <c r="I14" s="93" t="s">
        <v>59</v>
      </c>
      <c r="J14" s="107">
        <v>2437.15</v>
      </c>
      <c r="K14" s="107">
        <v>4205.6899999999996</v>
      </c>
      <c r="L14" s="93">
        <v>1</v>
      </c>
      <c r="M14" s="107">
        <v>757.02</v>
      </c>
      <c r="N14" s="107">
        <f>IF(M14&lt;=251, VLOOKUP(B3, 'Look Up Table'!I:J, 2, TRUE) * L14, 0)</f>
        <v>0</v>
      </c>
      <c r="O14" s="107">
        <f>IF(N14&gt;0, N14 - M14, 0)</f>
        <v>0</v>
      </c>
      <c r="P14" s="107">
        <f>IF(N14 = 0, K14 * B6, 0)</f>
        <v>168.2276</v>
      </c>
      <c r="Q14" s="93"/>
      <c r="R14" s="93"/>
    </row>
    <row r="15" spans="1:18" x14ac:dyDescent="0.25">
      <c r="A15" s="96">
        <v>45742</v>
      </c>
      <c r="B15" s="93">
        <v>9684</v>
      </c>
      <c r="C15" s="93">
        <v>24194</v>
      </c>
      <c r="D15" s="93" t="s">
        <v>719</v>
      </c>
      <c r="E15" s="93" t="s">
        <v>720</v>
      </c>
      <c r="F15" s="93">
        <v>24</v>
      </c>
      <c r="G15" s="93" t="s">
        <v>1319</v>
      </c>
      <c r="H15" s="93" t="s">
        <v>1362</v>
      </c>
      <c r="I15" s="93" t="s">
        <v>86</v>
      </c>
      <c r="J15" s="107">
        <v>3911.6</v>
      </c>
      <c r="K15" s="107">
        <v>1535.97</v>
      </c>
      <c r="L15" s="93">
        <v>1</v>
      </c>
      <c r="M15" s="107">
        <v>276.47000000000003</v>
      </c>
      <c r="N15" s="107">
        <f>IF(M15&lt;=251, VLOOKUP(B3, 'Look Up Table'!I:J, 2, TRUE) * L15, 0)</f>
        <v>0</v>
      </c>
      <c r="O15" s="107">
        <f>IF(N15&gt;0, N15 - M15, 0)</f>
        <v>0</v>
      </c>
      <c r="P15" s="107">
        <f>IF(N15 = 0, K15 * B6, 0)</f>
        <v>61.438800000000001</v>
      </c>
      <c r="Q15" s="93"/>
      <c r="R15" s="93"/>
    </row>
    <row r="16" spans="1:18" x14ac:dyDescent="0.25">
      <c r="A16" s="96">
        <v>45744</v>
      </c>
      <c r="B16" s="93">
        <v>9747</v>
      </c>
      <c r="C16" s="93">
        <v>24264</v>
      </c>
      <c r="D16" s="93" t="s">
        <v>724</v>
      </c>
      <c r="E16" s="93" t="s">
        <v>725</v>
      </c>
      <c r="F16" s="93">
        <v>25</v>
      </c>
      <c r="G16" s="93" t="s">
        <v>1321</v>
      </c>
      <c r="H16" s="93" t="s">
        <v>1346</v>
      </c>
      <c r="I16" s="93" t="s">
        <v>59</v>
      </c>
      <c r="J16" s="107">
        <v>225</v>
      </c>
      <c r="K16" s="107">
        <v>2575</v>
      </c>
      <c r="L16" s="93">
        <v>1</v>
      </c>
      <c r="M16" s="107">
        <v>463.5</v>
      </c>
      <c r="N16" s="107">
        <f>IF(M16&lt;=251, VLOOKUP(B3, 'Look Up Table'!I:J, 2, TRUE) * L16, 0)</f>
        <v>0</v>
      </c>
      <c r="O16" s="107">
        <f>IF(N16&gt;0, N16 - M16, 0)</f>
        <v>0</v>
      </c>
      <c r="P16" s="107">
        <f>IF(N16 = 0, K16 * B6, 0)</f>
        <v>103</v>
      </c>
      <c r="Q16" s="93"/>
      <c r="R16" s="93"/>
    </row>
    <row r="17" spans="1:18" x14ac:dyDescent="0.25">
      <c r="A17" s="96">
        <v>45747</v>
      </c>
      <c r="B17" s="93">
        <v>9930</v>
      </c>
      <c r="C17" s="93">
        <v>24479</v>
      </c>
      <c r="D17" s="93" t="s">
        <v>726</v>
      </c>
      <c r="E17" s="93" t="s">
        <v>727</v>
      </c>
      <c r="F17" s="93">
        <v>25</v>
      </c>
      <c r="G17" s="93" t="s">
        <v>1321</v>
      </c>
      <c r="H17" s="93" t="s">
        <v>1324</v>
      </c>
      <c r="I17" s="93" t="s">
        <v>59</v>
      </c>
      <c r="J17" s="107">
        <v>1530.4</v>
      </c>
      <c r="K17" s="107">
        <v>-3264</v>
      </c>
      <c r="L17" s="93">
        <v>1</v>
      </c>
      <c r="M17" s="107">
        <v>200</v>
      </c>
      <c r="N17" s="107">
        <f>IF(M17&lt;=251, VLOOKUP(B3, 'Look Up Table'!I:J, 2, TRUE) * L17, 0)</f>
        <v>200</v>
      </c>
      <c r="O17" s="107">
        <f>IF(N17&gt;0, N17 - M17, 0)</f>
        <v>0</v>
      </c>
      <c r="P17" s="107">
        <f>IF(N17 = 0, K17 * B6, 0)</f>
        <v>0</v>
      </c>
      <c r="Q17" s="93"/>
      <c r="R17" s="93"/>
    </row>
    <row r="18" spans="1:18" x14ac:dyDescent="0.25">
      <c r="A18" s="96">
        <v>45747</v>
      </c>
      <c r="B18" s="93">
        <v>9908</v>
      </c>
      <c r="C18" s="93">
        <v>221677</v>
      </c>
      <c r="D18" s="93" t="s">
        <v>730</v>
      </c>
      <c r="E18" s="93" t="s">
        <v>731</v>
      </c>
      <c r="F18" s="93">
        <v>25</v>
      </c>
      <c r="G18" s="93" t="s">
        <v>1319</v>
      </c>
      <c r="H18" s="93" t="s">
        <v>1377</v>
      </c>
      <c r="I18" s="93" t="s">
        <v>59</v>
      </c>
      <c r="J18" s="107">
        <v>6261.18</v>
      </c>
      <c r="K18" s="107">
        <v>-495</v>
      </c>
      <c r="L18" s="93">
        <v>1</v>
      </c>
      <c r="M18" s="107">
        <v>200</v>
      </c>
      <c r="N18" s="107">
        <f>IF(M18&lt;=251, VLOOKUP(B3, 'Look Up Table'!I:J, 2, TRUE) * L18, 0)</f>
        <v>200</v>
      </c>
      <c r="O18" s="107">
        <f>IF(N18&gt;0, N18 - M18, 0)</f>
        <v>0</v>
      </c>
      <c r="P18" s="107">
        <f>IF(N18 = 0, K18 * B6, 0)</f>
        <v>0</v>
      </c>
      <c r="Q18" s="93"/>
      <c r="R18" s="93"/>
    </row>
    <row r="19" spans="1:18" x14ac:dyDescent="0.25">
      <c r="A19" s="96">
        <v>45747</v>
      </c>
      <c r="B19" s="93">
        <v>9867</v>
      </c>
      <c r="C19" s="93">
        <v>24412</v>
      </c>
      <c r="D19" s="93" t="s">
        <v>733</v>
      </c>
      <c r="E19" s="93" t="s">
        <v>734</v>
      </c>
      <c r="F19" s="93">
        <v>25</v>
      </c>
      <c r="G19" s="93" t="s">
        <v>1321</v>
      </c>
      <c r="H19" s="93" t="s">
        <v>1324</v>
      </c>
      <c r="I19" s="93" t="s">
        <v>59</v>
      </c>
      <c r="J19" s="107">
        <v>821.2</v>
      </c>
      <c r="K19" s="107">
        <v>233.16</v>
      </c>
      <c r="L19" s="93">
        <v>1</v>
      </c>
      <c r="M19" s="107">
        <v>200</v>
      </c>
      <c r="N19" s="107">
        <f>IF(M19&lt;=251, VLOOKUP(B3, 'Look Up Table'!I:J, 2, TRUE) * L19, 0)</f>
        <v>200</v>
      </c>
      <c r="O19" s="107">
        <f>IF(N19&gt;0, N19 - M19, 0)</f>
        <v>0</v>
      </c>
      <c r="P19" s="107">
        <f>IF(N19 = 0, K19 * B6, 0)</f>
        <v>0</v>
      </c>
      <c r="Q19" s="93"/>
      <c r="R19" s="93"/>
    </row>
    <row r="20" spans="1:18" x14ac:dyDescent="0.25">
      <c r="A20" s="96">
        <v>45747</v>
      </c>
      <c r="B20" s="93" t="s">
        <v>739</v>
      </c>
      <c r="C20" s="93">
        <v>24482</v>
      </c>
      <c r="D20" s="93" t="s">
        <v>737</v>
      </c>
      <c r="E20" s="93" t="s">
        <v>738</v>
      </c>
      <c r="F20" s="93">
        <v>25</v>
      </c>
      <c r="G20" s="93" t="s">
        <v>1321</v>
      </c>
      <c r="H20" s="93" t="s">
        <v>1346</v>
      </c>
      <c r="I20" s="93" t="s">
        <v>59</v>
      </c>
      <c r="J20" s="107">
        <v>992</v>
      </c>
      <c r="K20" s="107">
        <v>2192.5</v>
      </c>
      <c r="L20" s="93">
        <v>0.5</v>
      </c>
      <c r="M20" s="107">
        <v>394.65</v>
      </c>
      <c r="N20" s="107">
        <f>IF(M20&lt;=251, VLOOKUP(B3, 'Look Up Table'!I:J, 2, TRUE) * L20, 0)</f>
        <v>0</v>
      </c>
      <c r="O20" s="107">
        <f>IF(N20&gt;0, N20 - M20, 0)</f>
        <v>0</v>
      </c>
      <c r="P20" s="107">
        <f>IF(N20 = 0, K20 * B6, 0)</f>
        <v>87.7</v>
      </c>
      <c r="Q20" s="93"/>
      <c r="R20" s="93"/>
    </row>
    <row r="21" spans="1:18" x14ac:dyDescent="0.25">
      <c r="A21" s="96">
        <v>45747</v>
      </c>
      <c r="B21" s="93">
        <v>9986</v>
      </c>
      <c r="C21" s="93">
        <v>24540</v>
      </c>
      <c r="D21" s="93" t="s">
        <v>740</v>
      </c>
      <c r="E21" s="93" t="s">
        <v>741</v>
      </c>
      <c r="F21" s="93">
        <v>25</v>
      </c>
      <c r="G21" s="93" t="s">
        <v>1319</v>
      </c>
      <c r="H21" s="93" t="s">
        <v>1366</v>
      </c>
      <c r="I21" s="93" t="s">
        <v>59</v>
      </c>
      <c r="J21" s="107">
        <v>1107.8900000000001</v>
      </c>
      <c r="K21" s="107">
        <v>-5202.3900000000003</v>
      </c>
      <c r="L21" s="93">
        <v>1</v>
      </c>
      <c r="M21" s="107">
        <v>200</v>
      </c>
      <c r="N21" s="107">
        <f>IF(M21&lt;=251, VLOOKUP(B3, 'Look Up Table'!I:J, 2, TRUE) * L21, 0)</f>
        <v>200</v>
      </c>
      <c r="O21" s="107">
        <f>IF(N21&gt;0, N21 - M21, 0)</f>
        <v>0</v>
      </c>
      <c r="P21" s="107">
        <f>IF(N21 = 0, K21 * B6, 0)</f>
        <v>0</v>
      </c>
      <c r="Q21" s="93"/>
      <c r="R21" s="93"/>
    </row>
    <row r="22" spans="1:18" x14ac:dyDescent="0.25">
      <c r="A22" s="96">
        <v>45747</v>
      </c>
      <c r="B22" s="93">
        <v>9708</v>
      </c>
      <c r="C22" s="93">
        <v>24229</v>
      </c>
      <c r="D22" s="93" t="s">
        <v>742</v>
      </c>
      <c r="E22" s="93" t="s">
        <v>743</v>
      </c>
      <c r="F22" s="93">
        <v>25</v>
      </c>
      <c r="G22" s="93" t="s">
        <v>1321</v>
      </c>
      <c r="H22" s="93" t="s">
        <v>1346</v>
      </c>
      <c r="I22" s="93" t="s">
        <v>59</v>
      </c>
      <c r="J22" s="107">
        <v>872.5</v>
      </c>
      <c r="K22" s="107">
        <v>2849</v>
      </c>
      <c r="L22" s="93">
        <v>1</v>
      </c>
      <c r="M22" s="107">
        <v>512.82000000000005</v>
      </c>
      <c r="N22" s="107">
        <f>IF(M22&lt;=251, VLOOKUP(B3, 'Look Up Table'!I:J, 2, TRUE) * L22, 0)</f>
        <v>0</v>
      </c>
      <c r="O22" s="107">
        <f>IF(N22&gt;0, N22 - M22, 0)</f>
        <v>0</v>
      </c>
      <c r="P22" s="107">
        <f>IF(N22 = 0, K22 * B6, 0)</f>
        <v>113.96000000000001</v>
      </c>
      <c r="Q22" s="93"/>
      <c r="R22" s="93"/>
    </row>
    <row r="23" spans="1:18" x14ac:dyDescent="0.25">
      <c r="A23" s="104"/>
      <c r="B23" s="105"/>
      <c r="C23" s="105"/>
      <c r="D23" s="105"/>
      <c r="E23" s="105"/>
      <c r="F23" s="105"/>
      <c r="G23" s="105"/>
      <c r="H23" s="105"/>
      <c r="I23" s="105"/>
      <c r="J23" s="108">
        <f>SUM(J8:J22)</f>
        <v>39367.74</v>
      </c>
      <c r="K23" s="108">
        <f>SUM(K8:K22)</f>
        <v>37246.420000000006</v>
      </c>
      <c r="L23" s="105">
        <f>SUM(L8:L22)</f>
        <v>14</v>
      </c>
      <c r="M23" s="108">
        <f>SUM(M8:M22)</f>
        <v>10722.949999999999</v>
      </c>
      <c r="N23" s="108">
        <f>SUM(N8:N22)</f>
        <v>1300</v>
      </c>
      <c r="O23" s="108">
        <f>SUM(O8:O22)</f>
        <v>0</v>
      </c>
      <c r="P23" s="108">
        <f>SUM(P8:P22)</f>
        <v>2093.9899999999998</v>
      </c>
      <c r="Q23" s="93"/>
      <c r="R23" s="93"/>
    </row>
    <row r="25" spans="1:18" x14ac:dyDescent="0.25">
      <c r="J25" s="99" t="s">
        <v>1451</v>
      </c>
      <c r="M25" s="106">
        <f>-VLOOKUP(B2, '3213'!A:G, 7, 0)</f>
        <v>-2518.12</v>
      </c>
    </row>
    <row r="26" spans="1:18" x14ac:dyDescent="0.25">
      <c r="J26" s="99"/>
      <c r="M26" s="106"/>
    </row>
    <row r="27" spans="1:18" x14ac:dyDescent="0.25">
      <c r="J27" s="99" t="s">
        <v>1264</v>
      </c>
      <c r="K27" s="92">
        <v>0.18</v>
      </c>
      <c r="M27" s="106">
        <f>M23</f>
        <v>10722.949999999999</v>
      </c>
    </row>
    <row r="28" spans="1:18" x14ac:dyDescent="0.25">
      <c r="J28" s="99"/>
      <c r="M28" s="106"/>
    </row>
    <row r="29" spans="1:18" x14ac:dyDescent="0.25">
      <c r="A29" s="110"/>
      <c r="B29" s="109"/>
      <c r="C29" s="109"/>
      <c r="D29" t="s">
        <v>1448</v>
      </c>
      <c r="J29" s="99" t="s">
        <v>1265</v>
      </c>
      <c r="K29" s="92">
        <f>B6</f>
        <v>0.04</v>
      </c>
      <c r="M29" s="106">
        <f>P23</f>
        <v>2093.9899999999998</v>
      </c>
    </row>
    <row r="30" spans="1:18" x14ac:dyDescent="0.25">
      <c r="J30" s="99"/>
      <c r="M30" s="106"/>
    </row>
    <row r="31" spans="1:18" x14ac:dyDescent="0.25">
      <c r="J31" s="99" t="s">
        <v>1452</v>
      </c>
      <c r="M31" s="106">
        <f>O23</f>
        <v>0</v>
      </c>
    </row>
    <row r="32" spans="1:18" x14ac:dyDescent="0.25">
      <c r="J32" s="99"/>
      <c r="M32" s="106"/>
    </row>
    <row r="33" spans="1:15" x14ac:dyDescent="0.25">
      <c r="J33" s="99" t="s">
        <v>1453</v>
      </c>
      <c r="M33" s="106">
        <f>SUM(P23, O23)</f>
        <v>2093.9899999999998</v>
      </c>
    </row>
    <row r="34" spans="1:15" x14ac:dyDescent="0.25">
      <c r="J34" s="99"/>
      <c r="M34" s="106"/>
    </row>
    <row r="35" spans="1:15" x14ac:dyDescent="0.25">
      <c r="A35" s="110"/>
      <c r="B35" s="109"/>
      <c r="C35" s="109"/>
      <c r="D35" t="s">
        <v>1449</v>
      </c>
      <c r="J35" s="99" t="s">
        <v>1454</v>
      </c>
      <c r="M35" s="106">
        <f>J23</f>
        <v>39367.74</v>
      </c>
    </row>
    <row r="36" spans="1:15" x14ac:dyDescent="0.25">
      <c r="J36" s="99"/>
      <c r="M36" s="106"/>
    </row>
    <row r="37" spans="1:15" x14ac:dyDescent="0.25">
      <c r="J37" s="99" t="s">
        <v>1455</v>
      </c>
      <c r="K37" s="92">
        <v>-0.25</v>
      </c>
      <c r="M37" s="106">
        <f>K37 * M35</f>
        <v>-9841.9349999999995</v>
      </c>
    </row>
    <row r="38" spans="1:15" x14ac:dyDescent="0.25">
      <c r="J38" s="99"/>
      <c r="M38" s="106"/>
    </row>
    <row r="39" spans="1:15" x14ac:dyDescent="0.25">
      <c r="J39" s="99" t="s">
        <v>1456</v>
      </c>
      <c r="M39" s="106">
        <f>M35 + M37</f>
        <v>29525.805</v>
      </c>
    </row>
    <row r="40" spans="1:15" x14ac:dyDescent="0.25">
      <c r="J40" s="99"/>
      <c r="M40" s="106"/>
    </row>
    <row r="41" spans="1:15" x14ac:dyDescent="0.25">
      <c r="J41" s="99" t="s">
        <v>1457</v>
      </c>
      <c r="K41" s="92">
        <v>0.05</v>
      </c>
      <c r="M41" s="106">
        <f>K41 * M39</f>
        <v>1476.29025</v>
      </c>
    </row>
    <row r="42" spans="1:15" x14ac:dyDescent="0.25">
      <c r="J42" s="99"/>
      <c r="M42" s="106"/>
    </row>
    <row r="43" spans="1:15" x14ac:dyDescent="0.25">
      <c r="J43" s="99" t="s">
        <v>1458</v>
      </c>
      <c r="K43" t="str">
        <f>VLOOKUP(B2,'Pay Summary'!A:D,4,0)</f>
        <v/>
      </c>
      <c r="M43" s="106">
        <f>IF(K43 = 1, 500, 0)</f>
        <v>0</v>
      </c>
    </row>
    <row r="44" spans="1:15" x14ac:dyDescent="0.25">
      <c r="J44" s="99"/>
      <c r="M44" s="106"/>
    </row>
    <row r="45" spans="1:15" x14ac:dyDescent="0.25">
      <c r="J45" s="99" t="s">
        <v>1450</v>
      </c>
      <c r="K45">
        <f>L23</f>
        <v>14</v>
      </c>
      <c r="M45" s="106">
        <f>VLOOKUP(K45, 'Look Up Table'!E:F, 2, TRUE)</f>
        <v>750</v>
      </c>
    </row>
    <row r="46" spans="1:15" x14ac:dyDescent="0.25">
      <c r="J46" s="99"/>
      <c r="M46" s="106"/>
    </row>
    <row r="47" spans="1:15" x14ac:dyDescent="0.25">
      <c r="J47" s="99" t="s">
        <v>1306</v>
      </c>
      <c r="K47" s="111" t="str">
        <f>B4</f>
        <v>3P</v>
      </c>
      <c r="M47" s="106">
        <f>IF(B5&gt;=3,IF(B4="3P",L23*50,IF(B4="A",0,IF(B4="B",L23*-50))),0)</f>
        <v>700</v>
      </c>
      <c r="N47" s="99" t="s">
        <v>1463</v>
      </c>
      <c r="O47" s="112">
        <f>'NPS Sheet'!X51</f>
        <v>0.91700000000000004</v>
      </c>
    </row>
    <row r="48" spans="1:15" x14ac:dyDescent="0.25">
      <c r="J48" s="99"/>
      <c r="M48" s="106"/>
    </row>
    <row r="49" spans="10:13" x14ac:dyDescent="0.25">
      <c r="J49" s="99" t="s">
        <v>1459</v>
      </c>
      <c r="M49" s="106">
        <f>SUM(M45, M47, M43)</f>
        <v>1450</v>
      </c>
    </row>
    <row r="50" spans="10:13" x14ac:dyDescent="0.25">
      <c r="J50" s="99"/>
      <c r="M50" s="106"/>
    </row>
    <row r="51" spans="10:13" x14ac:dyDescent="0.25">
      <c r="J51" s="99" t="s">
        <v>1460</v>
      </c>
      <c r="M51" s="106">
        <f>IFERROR(VLOOKUP(B2,SPIFFS!A:H,8,0),0)</f>
        <v>1050</v>
      </c>
    </row>
    <row r="52" spans="10:13" x14ac:dyDescent="0.25">
      <c r="J52" s="99"/>
      <c r="M52" s="106"/>
    </row>
    <row r="53" spans="10:13" x14ac:dyDescent="0.25">
      <c r="J53" s="99" t="s">
        <v>1461</v>
      </c>
      <c r="M53" s="106">
        <f>SUM(M27, M33, M41, M49, M25, M51)</f>
        <v>14275.110249999998</v>
      </c>
    </row>
    <row r="54" spans="10:13" x14ac:dyDescent="0.25">
      <c r="J54" s="99"/>
      <c r="M54" s="106"/>
    </row>
    <row r="55" spans="10:13" x14ac:dyDescent="0.25">
      <c r="J55" s="99" t="s">
        <v>1462</v>
      </c>
      <c r="M55" s="106">
        <f>IF(M53&lt;0, SUM(M25, M49, M41, M33), 0)</f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A06F1-80A3-4096-9AD0-6ACA99FB2A8D}">
  <dimension ref="A1:R46"/>
  <sheetViews>
    <sheetView workbookViewId="0"/>
  </sheetViews>
  <sheetFormatPr defaultRowHeight="15" x14ac:dyDescent="0.25"/>
  <cols>
    <col min="1" max="1" width="23" style="95" bestFit="1" customWidth="1"/>
    <col min="2" max="2" width="17.5703125" bestFit="1" customWidth="1"/>
    <col min="3" max="3" width="11.42578125" bestFit="1" customWidth="1"/>
    <col min="4" max="4" width="30.28515625" bestFit="1" customWidth="1"/>
    <col min="5" max="5" width="9.42578125" bestFit="1" customWidth="1"/>
    <col min="6" max="6" width="5" bestFit="1" customWidth="1"/>
    <col min="8" max="8" width="11" bestFit="1" customWidth="1"/>
    <col min="9" max="9" width="9.5703125" bestFit="1" customWidth="1"/>
    <col min="10" max="10" width="23.140625" bestFit="1" customWidth="1"/>
    <col min="11" max="11" width="18.42578125" bestFit="1" customWidth="1"/>
    <col min="12" max="12" width="5.7109375" bestFit="1" customWidth="1"/>
    <col min="13" max="13" width="20.140625" bestFit="1" customWidth="1"/>
    <col min="14" max="14" width="13.7109375" bestFit="1" customWidth="1"/>
    <col min="15" max="15" width="11.5703125" bestFit="1" customWidth="1"/>
    <col min="16" max="16" width="24.85546875" bestFit="1" customWidth="1"/>
  </cols>
  <sheetData>
    <row r="1" spans="1:18" x14ac:dyDescent="0.25">
      <c r="A1" s="101" t="s">
        <v>1249</v>
      </c>
      <c r="B1" s="100" t="s">
        <v>27</v>
      </c>
    </row>
    <row r="2" spans="1:18" x14ac:dyDescent="0.25">
      <c r="A2" s="101" t="s">
        <v>1307</v>
      </c>
      <c r="B2" s="100">
        <v>207147</v>
      </c>
    </row>
    <row r="3" spans="1:18" x14ac:dyDescent="0.25">
      <c r="A3" s="101" t="s">
        <v>1305</v>
      </c>
      <c r="B3" s="100">
        <f>VLOOKUP(B2, '90'!A:E, 5, 0)</f>
        <v>12</v>
      </c>
    </row>
    <row r="4" spans="1:18" x14ac:dyDescent="0.25">
      <c r="A4" s="101" t="s">
        <v>1306</v>
      </c>
      <c r="B4" s="100" t="str">
        <f>IFERROR(VLOOKUP(B2, NPS!B:H, 7, 0), 0)</f>
        <v>3P</v>
      </c>
    </row>
    <row r="5" spans="1:18" x14ac:dyDescent="0.25">
      <c r="A5" s="101" t="s">
        <v>1257</v>
      </c>
      <c r="B5" s="100">
        <f>IFERROR(VLOOKUP(B2, NPS!B:H, 3, 0), 0)</f>
        <v>0</v>
      </c>
    </row>
    <row r="6" spans="1:18" x14ac:dyDescent="0.25">
      <c r="A6" s="101" t="s">
        <v>1447</v>
      </c>
      <c r="B6" s="103">
        <f>VLOOKUP(6, 'Look Up Table'!A:B, 2, TRUE)</f>
        <v>0</v>
      </c>
    </row>
    <row r="7" spans="1:18" ht="50.1" customHeight="1" x14ac:dyDescent="0.25">
      <c r="A7" s="102" t="s">
        <v>43</v>
      </c>
      <c r="B7" s="80" t="s">
        <v>1308</v>
      </c>
      <c r="C7" s="80" t="s">
        <v>1309</v>
      </c>
      <c r="D7" s="80" t="s">
        <v>48</v>
      </c>
      <c r="E7" s="80" t="s">
        <v>1310</v>
      </c>
      <c r="F7" s="80" t="s">
        <v>1311</v>
      </c>
      <c r="G7" s="80" t="s">
        <v>1312</v>
      </c>
      <c r="H7" s="80" t="s">
        <v>1313</v>
      </c>
      <c r="I7" s="80" t="s">
        <v>51</v>
      </c>
      <c r="J7" s="80" t="s">
        <v>1314</v>
      </c>
      <c r="K7" s="80" t="s">
        <v>1315</v>
      </c>
      <c r="L7" s="80" t="s">
        <v>54</v>
      </c>
      <c r="M7" s="80" t="s">
        <v>55</v>
      </c>
      <c r="N7" s="80" t="s">
        <v>1316</v>
      </c>
      <c r="O7" s="80" t="s">
        <v>1317</v>
      </c>
      <c r="P7" s="80" t="s">
        <v>1318</v>
      </c>
    </row>
    <row r="8" spans="1:18" x14ac:dyDescent="0.25">
      <c r="A8" s="96">
        <v>45735</v>
      </c>
      <c r="B8" s="93">
        <v>9600</v>
      </c>
      <c r="C8" s="93">
        <v>24031</v>
      </c>
      <c r="D8" s="93" t="s">
        <v>744</v>
      </c>
      <c r="E8" s="93" t="s">
        <v>745</v>
      </c>
      <c r="F8" s="93">
        <v>19</v>
      </c>
      <c r="G8" s="93" t="s">
        <v>1321</v>
      </c>
      <c r="H8" s="93" t="s">
        <v>1349</v>
      </c>
      <c r="I8" s="93" t="s">
        <v>86</v>
      </c>
      <c r="J8" s="107">
        <v>3391.16</v>
      </c>
      <c r="K8" s="107">
        <v>3524.68</v>
      </c>
      <c r="L8" s="93">
        <v>1</v>
      </c>
      <c r="M8" s="107">
        <v>634.44000000000005</v>
      </c>
      <c r="N8" s="107">
        <f>IF(M8&lt;=251, VLOOKUP(B3, 'Look Up Table'!I:J, 2, TRUE) * L8, 0)</f>
        <v>0</v>
      </c>
      <c r="O8" s="107">
        <f>IF(N8&gt;0, N8 - M8, 0)</f>
        <v>0</v>
      </c>
      <c r="P8" s="107">
        <f>IF(N8 = 0, K8 * B6, 0)</f>
        <v>0</v>
      </c>
      <c r="Q8" s="93"/>
      <c r="R8" s="93"/>
    </row>
    <row r="9" spans="1:18" x14ac:dyDescent="0.25">
      <c r="A9" s="96">
        <v>45744</v>
      </c>
      <c r="B9" s="93">
        <v>9734</v>
      </c>
      <c r="C9" s="93">
        <v>24250</v>
      </c>
      <c r="D9" s="93" t="s">
        <v>746</v>
      </c>
      <c r="E9" s="93" t="s">
        <v>747</v>
      </c>
      <c r="F9" s="93">
        <v>22</v>
      </c>
      <c r="G9" s="93" t="s">
        <v>1319</v>
      </c>
      <c r="H9" s="93" t="s">
        <v>1412</v>
      </c>
      <c r="I9" s="93" t="s">
        <v>86</v>
      </c>
      <c r="J9" s="107">
        <v>2494.4499999999998</v>
      </c>
      <c r="K9" s="107">
        <v>-430.04</v>
      </c>
      <c r="L9" s="93">
        <v>1</v>
      </c>
      <c r="M9" s="107">
        <v>200</v>
      </c>
      <c r="N9" s="107">
        <f>IF(M9&lt;=251, VLOOKUP(B3, 'Look Up Table'!I:J, 2, TRUE) * L9, 0)</f>
        <v>250</v>
      </c>
      <c r="O9" s="107">
        <f>IF(N9&gt;0, N9 - M9, 0)</f>
        <v>50</v>
      </c>
      <c r="P9" s="107">
        <f>IF(N9 = 0, K9 * B6, 0)</f>
        <v>0</v>
      </c>
      <c r="Q9" s="93"/>
      <c r="R9" s="93"/>
    </row>
    <row r="10" spans="1:18" x14ac:dyDescent="0.25">
      <c r="A10" s="96">
        <v>45747</v>
      </c>
      <c r="B10" s="93">
        <v>9838</v>
      </c>
      <c r="C10" s="93">
        <v>265171</v>
      </c>
      <c r="D10" s="93" t="s">
        <v>751</v>
      </c>
      <c r="E10" s="93" t="s">
        <v>752</v>
      </c>
      <c r="F10" s="93">
        <v>22</v>
      </c>
      <c r="G10" s="93" t="s">
        <v>1321</v>
      </c>
      <c r="H10" s="93" t="s">
        <v>1349</v>
      </c>
      <c r="I10" s="93" t="s">
        <v>86</v>
      </c>
      <c r="J10" s="107">
        <v>0</v>
      </c>
      <c r="K10" s="107">
        <v>750</v>
      </c>
      <c r="L10" s="93">
        <v>1</v>
      </c>
      <c r="M10" s="107">
        <v>200</v>
      </c>
      <c r="N10" s="107">
        <f>IF(M10&lt;=251, VLOOKUP(B3, 'Look Up Table'!I:J, 2, TRUE) * L10, 0)</f>
        <v>250</v>
      </c>
      <c r="O10" s="107">
        <f>IF(N10&gt;0, N10 - M10, 0)</f>
        <v>50</v>
      </c>
      <c r="P10" s="107">
        <f>IF(N10 = 0, K10 * B6, 0)</f>
        <v>0</v>
      </c>
      <c r="Q10" s="93"/>
      <c r="R10" s="93"/>
    </row>
    <row r="11" spans="1:18" x14ac:dyDescent="0.25">
      <c r="A11" s="96">
        <v>45747</v>
      </c>
      <c r="B11" s="93">
        <v>9531</v>
      </c>
      <c r="C11" s="93">
        <v>23955</v>
      </c>
      <c r="D11" s="93" t="s">
        <v>754</v>
      </c>
      <c r="E11" s="93" t="s">
        <v>755</v>
      </c>
      <c r="F11" s="93">
        <v>22</v>
      </c>
      <c r="G11" s="93" t="s">
        <v>1319</v>
      </c>
      <c r="H11" s="93" t="s">
        <v>1351</v>
      </c>
      <c r="I11" s="93" t="s">
        <v>86</v>
      </c>
      <c r="J11" s="107">
        <v>1800.18</v>
      </c>
      <c r="K11" s="107">
        <v>750</v>
      </c>
      <c r="L11" s="93">
        <v>1</v>
      </c>
      <c r="M11" s="107">
        <v>200</v>
      </c>
      <c r="N11" s="107">
        <f>IF(M11&lt;=251, VLOOKUP(B3, 'Look Up Table'!I:J, 2, TRUE) * L11, 0)</f>
        <v>250</v>
      </c>
      <c r="O11" s="107">
        <f>IF(N11&gt;0, N11 - M11, 0)</f>
        <v>50</v>
      </c>
      <c r="P11" s="107">
        <f>IF(N11 = 0, K11 * B6, 0)</f>
        <v>0</v>
      </c>
      <c r="Q11" s="93"/>
      <c r="R11" s="93"/>
    </row>
    <row r="12" spans="1:18" x14ac:dyDescent="0.25">
      <c r="A12" s="96">
        <v>45747</v>
      </c>
      <c r="B12" s="93">
        <v>9854</v>
      </c>
      <c r="C12" s="93">
        <v>24389</v>
      </c>
      <c r="D12" s="93" t="s">
        <v>756</v>
      </c>
      <c r="E12" s="93" t="s">
        <v>757</v>
      </c>
      <c r="F12" s="93">
        <v>22</v>
      </c>
      <c r="G12" s="93" t="s">
        <v>1319</v>
      </c>
      <c r="H12" s="93" t="s">
        <v>1320</v>
      </c>
      <c r="I12" s="93" t="s">
        <v>86</v>
      </c>
      <c r="J12" s="107">
        <v>1000</v>
      </c>
      <c r="K12" s="107">
        <v>-214.45</v>
      </c>
      <c r="L12" s="93">
        <v>1</v>
      </c>
      <c r="M12" s="107">
        <v>200</v>
      </c>
      <c r="N12" s="107">
        <f>IF(M12&lt;=251, VLOOKUP(B3, 'Look Up Table'!I:J, 2, TRUE) * L12, 0)</f>
        <v>250</v>
      </c>
      <c r="O12" s="107">
        <f>IF(N12&gt;0, N12 - M12, 0)</f>
        <v>50</v>
      </c>
      <c r="P12" s="107">
        <f>IF(N12 = 0, K12 * B6, 0)</f>
        <v>0</v>
      </c>
      <c r="Q12" s="93"/>
      <c r="R12" s="93"/>
    </row>
    <row r="13" spans="1:18" x14ac:dyDescent="0.25">
      <c r="A13" s="96">
        <v>45747</v>
      </c>
      <c r="B13" s="93">
        <v>9484</v>
      </c>
      <c r="C13" s="93">
        <v>23852</v>
      </c>
      <c r="D13" s="93" t="s">
        <v>759</v>
      </c>
      <c r="E13" s="93">
        <v>5075994</v>
      </c>
      <c r="F13" s="93">
        <v>24</v>
      </c>
      <c r="G13" s="93" t="s">
        <v>1413</v>
      </c>
      <c r="H13" s="93" t="s">
        <v>1414</v>
      </c>
      <c r="I13" s="93" t="s">
        <v>86</v>
      </c>
      <c r="J13" s="107">
        <v>0</v>
      </c>
      <c r="K13" s="107">
        <v>2363.2800000000002</v>
      </c>
      <c r="L13" s="93">
        <v>1</v>
      </c>
      <c r="M13" s="107">
        <v>425.39</v>
      </c>
      <c r="N13" s="107">
        <f>IF(M13&lt;=251, VLOOKUP(B3, 'Look Up Table'!I:J, 2, TRUE) * L13, 0)</f>
        <v>0</v>
      </c>
      <c r="O13" s="107">
        <f>IF(N13&gt;0, N13 - M13, 0)</f>
        <v>0</v>
      </c>
      <c r="P13" s="107">
        <f>IF(N13 = 0, K13 * B6, 0)</f>
        <v>0</v>
      </c>
      <c r="Q13" s="93"/>
      <c r="R13" s="93"/>
    </row>
    <row r="14" spans="1:18" x14ac:dyDescent="0.25">
      <c r="A14" s="104"/>
      <c r="B14" s="105"/>
      <c r="C14" s="105"/>
      <c r="D14" s="105"/>
      <c r="E14" s="105"/>
      <c r="F14" s="105"/>
      <c r="G14" s="105"/>
      <c r="H14" s="105"/>
      <c r="I14" s="105"/>
      <c r="J14" s="108">
        <f>SUM(J8:J13)</f>
        <v>8685.7900000000009</v>
      </c>
      <c r="K14" s="108">
        <f>SUM(K8:K13)</f>
        <v>6743.4699999999993</v>
      </c>
      <c r="L14" s="105">
        <f>SUM(L8:L13)</f>
        <v>6</v>
      </c>
      <c r="M14" s="108">
        <f>SUM(M8:M13)</f>
        <v>1859.83</v>
      </c>
      <c r="N14" s="108">
        <f>SUM(N8:N13)</f>
        <v>1000</v>
      </c>
      <c r="O14" s="108">
        <f>SUM(O8:O13)</f>
        <v>200</v>
      </c>
      <c r="P14" s="108">
        <f>SUM(P8:P13)</f>
        <v>0</v>
      </c>
      <c r="Q14" s="93"/>
      <c r="R14" s="93"/>
    </row>
    <row r="16" spans="1:18" x14ac:dyDescent="0.25">
      <c r="J16" s="99" t="s">
        <v>1451</v>
      </c>
      <c r="M16" s="106">
        <f>-VLOOKUP(B2, '3213'!A:G, 7, 0)</f>
        <v>-2940.92</v>
      </c>
    </row>
    <row r="17" spans="1:13" x14ac:dyDescent="0.25">
      <c r="J17" s="99"/>
      <c r="M17" s="106"/>
    </row>
    <row r="18" spans="1:13" x14ac:dyDescent="0.25">
      <c r="J18" s="99" t="s">
        <v>1264</v>
      </c>
      <c r="K18" s="92">
        <v>0.18</v>
      </c>
      <c r="M18" s="106">
        <f>M14</f>
        <v>1859.83</v>
      </c>
    </row>
    <row r="19" spans="1:13" x14ac:dyDescent="0.25">
      <c r="J19" s="99"/>
      <c r="M19" s="106"/>
    </row>
    <row r="20" spans="1:13" x14ac:dyDescent="0.25">
      <c r="A20" s="110"/>
      <c r="B20" s="109"/>
      <c r="C20" s="109"/>
      <c r="D20" t="s">
        <v>1448</v>
      </c>
      <c r="J20" s="99" t="s">
        <v>1265</v>
      </c>
      <c r="K20" s="92">
        <f>B6</f>
        <v>0</v>
      </c>
      <c r="M20" s="106">
        <f>P14</f>
        <v>0</v>
      </c>
    </row>
    <row r="21" spans="1:13" x14ac:dyDescent="0.25">
      <c r="J21" s="99"/>
      <c r="M21" s="106"/>
    </row>
    <row r="22" spans="1:13" x14ac:dyDescent="0.25">
      <c r="J22" s="99" t="s">
        <v>1452</v>
      </c>
      <c r="M22" s="106">
        <f>O14</f>
        <v>200</v>
      </c>
    </row>
    <row r="23" spans="1:13" x14ac:dyDescent="0.25">
      <c r="J23" s="99"/>
      <c r="M23" s="106"/>
    </row>
    <row r="24" spans="1:13" x14ac:dyDescent="0.25">
      <c r="J24" s="99" t="s">
        <v>1453</v>
      </c>
      <c r="M24" s="106">
        <f>SUM(P14, O14)</f>
        <v>200</v>
      </c>
    </row>
    <row r="25" spans="1:13" x14ac:dyDescent="0.25">
      <c r="J25" s="99"/>
      <c r="M25" s="106"/>
    </row>
    <row r="26" spans="1:13" x14ac:dyDescent="0.25">
      <c r="A26" s="110"/>
      <c r="B26" s="109"/>
      <c r="C26" s="109"/>
      <c r="D26" t="s">
        <v>1449</v>
      </c>
      <c r="J26" s="99" t="s">
        <v>1454</v>
      </c>
      <c r="M26" s="106">
        <f>J14</f>
        <v>8685.7900000000009</v>
      </c>
    </row>
    <row r="27" spans="1:13" x14ac:dyDescent="0.25">
      <c r="J27" s="99"/>
      <c r="M27" s="106"/>
    </row>
    <row r="28" spans="1:13" x14ac:dyDescent="0.25">
      <c r="J28" s="99" t="s">
        <v>1455</v>
      </c>
      <c r="K28" s="92">
        <v>-0.25</v>
      </c>
      <c r="M28" s="106">
        <f>K28 * M26</f>
        <v>-2171.4475000000002</v>
      </c>
    </row>
    <row r="29" spans="1:13" x14ac:dyDescent="0.25">
      <c r="J29" s="99"/>
      <c r="M29" s="106"/>
    </row>
    <row r="30" spans="1:13" x14ac:dyDescent="0.25">
      <c r="J30" s="99" t="s">
        <v>1456</v>
      </c>
      <c r="M30" s="106">
        <f>M26 + M28</f>
        <v>6514.3425000000007</v>
      </c>
    </row>
    <row r="31" spans="1:13" x14ac:dyDescent="0.25">
      <c r="J31" s="99"/>
      <c r="M31" s="106"/>
    </row>
    <row r="32" spans="1:13" x14ac:dyDescent="0.25">
      <c r="J32" s="99" t="s">
        <v>1457</v>
      </c>
      <c r="K32" s="92">
        <v>0.05</v>
      </c>
      <c r="M32" s="106">
        <f>K32 * M30</f>
        <v>325.71712500000007</v>
      </c>
    </row>
    <row r="33" spans="10:15" x14ac:dyDescent="0.25">
      <c r="J33" s="99"/>
      <c r="M33" s="106"/>
    </row>
    <row r="34" spans="10:15" x14ac:dyDescent="0.25">
      <c r="J34" s="99" t="s">
        <v>1458</v>
      </c>
      <c r="K34" t="str">
        <f>VLOOKUP(B2,'Pay Summary'!A:D,4,0)</f>
        <v/>
      </c>
      <c r="M34" s="106">
        <f>IF(K34 = 1, 500, 0)</f>
        <v>0</v>
      </c>
    </row>
    <row r="35" spans="10:15" x14ac:dyDescent="0.25">
      <c r="J35" s="99"/>
      <c r="M35" s="106"/>
    </row>
    <row r="36" spans="10:15" x14ac:dyDescent="0.25">
      <c r="J36" s="99" t="s">
        <v>1450</v>
      </c>
      <c r="K36">
        <f>L14</f>
        <v>6</v>
      </c>
      <c r="M36" s="106">
        <f>VLOOKUP(K36, 'Look Up Table'!E:F, 2, TRUE)</f>
        <v>0</v>
      </c>
    </row>
    <row r="37" spans="10:15" x14ac:dyDescent="0.25">
      <c r="J37" s="99"/>
      <c r="M37" s="106"/>
    </row>
    <row r="38" spans="10:15" x14ac:dyDescent="0.25">
      <c r="J38" s="99" t="s">
        <v>1306</v>
      </c>
      <c r="K38" s="111" t="str">
        <f>B4</f>
        <v>3P</v>
      </c>
      <c r="M38" s="106">
        <f>IF(B5&gt;=3,IF(B4="3P",L14*50,IF(B4="A",0,IF(B4="B",L14*-50))),0)</f>
        <v>0</v>
      </c>
      <c r="N38" s="99" t="s">
        <v>1463</v>
      </c>
      <c r="O38" s="112">
        <f>'NPS Sheet'!X51</f>
        <v>0.91700000000000004</v>
      </c>
    </row>
    <row r="39" spans="10:15" x14ac:dyDescent="0.25">
      <c r="J39" s="99"/>
      <c r="M39" s="106"/>
    </row>
    <row r="40" spans="10:15" x14ac:dyDescent="0.25">
      <c r="J40" s="99" t="s">
        <v>1459</v>
      </c>
      <c r="M40" s="106">
        <f>SUM(M36, M38, M34)</f>
        <v>0</v>
      </c>
    </row>
    <row r="41" spans="10:15" x14ac:dyDescent="0.25">
      <c r="J41" s="99"/>
      <c r="M41" s="106"/>
    </row>
    <row r="42" spans="10:15" x14ac:dyDescent="0.25">
      <c r="J42" s="99" t="s">
        <v>1460</v>
      </c>
      <c r="M42" s="106">
        <f>IFERROR(VLOOKUP(B2,SPIFFS!A:H,8,0),0)</f>
        <v>1000</v>
      </c>
    </row>
    <row r="43" spans="10:15" x14ac:dyDescent="0.25">
      <c r="J43" s="99"/>
      <c r="M43" s="106"/>
    </row>
    <row r="44" spans="10:15" x14ac:dyDescent="0.25">
      <c r="J44" s="99" t="s">
        <v>1461</v>
      </c>
      <c r="M44" s="106">
        <f>SUM(M18, M24, M32, M40, M16, M42)</f>
        <v>444.62712499999998</v>
      </c>
    </row>
    <row r="45" spans="10:15" x14ac:dyDescent="0.25">
      <c r="J45" s="99"/>
      <c r="M45" s="106"/>
    </row>
    <row r="46" spans="10:15" x14ac:dyDescent="0.25">
      <c r="J46" s="99" t="s">
        <v>1462</v>
      </c>
      <c r="M46" s="106">
        <f>IF(M44&lt;0, SUM(M16, M40, M32, M24), 0)</f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3A1B6-C38F-419A-B461-02C31F30051F}">
  <dimension ref="A1:R48"/>
  <sheetViews>
    <sheetView workbookViewId="0"/>
  </sheetViews>
  <sheetFormatPr defaultRowHeight="15" x14ac:dyDescent="0.25"/>
  <cols>
    <col min="1" max="1" width="23" style="95" bestFit="1" customWidth="1"/>
    <col min="2" max="2" width="15.28515625" bestFit="1" customWidth="1"/>
    <col min="3" max="3" width="11.42578125" bestFit="1" customWidth="1"/>
    <col min="4" max="4" width="18.85546875" bestFit="1" customWidth="1"/>
    <col min="5" max="5" width="8.7109375" bestFit="1" customWidth="1"/>
    <col min="6" max="6" width="5" bestFit="1" customWidth="1"/>
    <col min="8" max="8" width="17.85546875" bestFit="1" customWidth="1"/>
    <col min="9" max="9" width="9.5703125" bestFit="1" customWidth="1"/>
    <col min="10" max="10" width="23.140625" bestFit="1" customWidth="1"/>
    <col min="11" max="11" width="18.42578125" bestFit="1" customWidth="1"/>
    <col min="12" max="12" width="5.7109375" bestFit="1" customWidth="1"/>
    <col min="13" max="13" width="20.140625" bestFit="1" customWidth="1"/>
    <col min="14" max="14" width="13.7109375" bestFit="1" customWidth="1"/>
    <col min="15" max="15" width="11.5703125" bestFit="1" customWidth="1"/>
    <col min="16" max="16" width="24.85546875" bestFit="1" customWidth="1"/>
  </cols>
  <sheetData>
    <row r="1" spans="1:18" x14ac:dyDescent="0.25">
      <c r="A1" s="101" t="s">
        <v>1249</v>
      </c>
      <c r="B1" s="100" t="s">
        <v>28</v>
      </c>
    </row>
    <row r="2" spans="1:18" x14ac:dyDescent="0.25">
      <c r="A2" s="101" t="s">
        <v>1307</v>
      </c>
      <c r="B2" s="100">
        <v>207347</v>
      </c>
    </row>
    <row r="3" spans="1:18" x14ac:dyDescent="0.25">
      <c r="A3" s="101" t="s">
        <v>1305</v>
      </c>
      <c r="B3" s="100">
        <f>VLOOKUP(B2, '90'!A:E, 5, 0)</f>
        <v>12</v>
      </c>
    </row>
    <row r="4" spans="1:18" x14ac:dyDescent="0.25">
      <c r="A4" s="101" t="s">
        <v>1306</v>
      </c>
      <c r="B4" s="100" t="str">
        <f>IFERROR(VLOOKUP(B2, NPS!B:H, 7, 0), 0)</f>
        <v>3P</v>
      </c>
    </row>
    <row r="5" spans="1:18" x14ac:dyDescent="0.25">
      <c r="A5" s="101" t="s">
        <v>1257</v>
      </c>
      <c r="B5" s="100">
        <f>IFERROR(VLOOKUP(B2, NPS!B:H, 3, 0), 0)</f>
        <v>1</v>
      </c>
    </row>
    <row r="6" spans="1:18" x14ac:dyDescent="0.25">
      <c r="A6" s="101" t="s">
        <v>1447</v>
      </c>
      <c r="B6" s="103">
        <f>VLOOKUP(8, 'Look Up Table'!A:B, 2, TRUE)</f>
        <v>0</v>
      </c>
    </row>
    <row r="7" spans="1:18" ht="50.1" customHeight="1" x14ac:dyDescent="0.25">
      <c r="A7" s="102" t="s">
        <v>43</v>
      </c>
      <c r="B7" s="80" t="s">
        <v>1308</v>
      </c>
      <c r="C7" s="80" t="s">
        <v>1309</v>
      </c>
      <c r="D7" s="80" t="s">
        <v>48</v>
      </c>
      <c r="E7" s="80" t="s">
        <v>1310</v>
      </c>
      <c r="F7" s="80" t="s">
        <v>1311</v>
      </c>
      <c r="G7" s="80" t="s">
        <v>1312</v>
      </c>
      <c r="H7" s="80" t="s">
        <v>1313</v>
      </c>
      <c r="I7" s="80" t="s">
        <v>51</v>
      </c>
      <c r="J7" s="80" t="s">
        <v>1314</v>
      </c>
      <c r="K7" s="80" t="s">
        <v>1315</v>
      </c>
      <c r="L7" s="80" t="s">
        <v>54</v>
      </c>
      <c r="M7" s="80" t="s">
        <v>55</v>
      </c>
      <c r="N7" s="80" t="s">
        <v>1316</v>
      </c>
      <c r="O7" s="80" t="s">
        <v>1317</v>
      </c>
      <c r="P7" s="80" t="s">
        <v>1318</v>
      </c>
    </row>
    <row r="8" spans="1:18" x14ac:dyDescent="0.25">
      <c r="A8" s="96">
        <v>45721</v>
      </c>
      <c r="B8" s="93">
        <v>9351</v>
      </c>
      <c r="C8" s="93">
        <v>23597</v>
      </c>
      <c r="D8" s="93" t="s">
        <v>761</v>
      </c>
      <c r="E8" s="93" t="s">
        <v>762</v>
      </c>
      <c r="F8" s="93">
        <v>25</v>
      </c>
      <c r="G8" s="93" t="s">
        <v>1319</v>
      </c>
      <c r="H8" s="93" t="s">
        <v>1415</v>
      </c>
      <c r="I8" s="93" t="s">
        <v>59</v>
      </c>
      <c r="J8" s="107">
        <v>3438.75</v>
      </c>
      <c r="K8" s="107">
        <v>3980</v>
      </c>
      <c r="L8" s="93">
        <v>1</v>
      </c>
      <c r="M8" s="107">
        <v>716.4</v>
      </c>
      <c r="N8" s="107">
        <f>IF(M8&lt;=251, VLOOKUP(B3, 'Look Up Table'!I:J, 2, TRUE) * L8, 0)</f>
        <v>0</v>
      </c>
      <c r="O8" s="107">
        <f>IF(N8&gt;0, N8 - M8, 0)</f>
        <v>0</v>
      </c>
      <c r="P8" s="107">
        <f>IF(N8 = 0, K8 * B6, 0)</f>
        <v>0</v>
      </c>
      <c r="Q8" s="93"/>
      <c r="R8" s="93"/>
    </row>
    <row r="9" spans="1:18" x14ac:dyDescent="0.25">
      <c r="A9" s="96">
        <v>45721</v>
      </c>
      <c r="B9" s="93">
        <v>7234</v>
      </c>
      <c r="C9" s="93">
        <v>274867</v>
      </c>
      <c r="D9" s="93" t="s">
        <v>764</v>
      </c>
      <c r="E9" s="93" t="s">
        <v>765</v>
      </c>
      <c r="F9" s="93">
        <v>25</v>
      </c>
      <c r="G9" s="93" t="s">
        <v>1319</v>
      </c>
      <c r="H9" s="93" t="s">
        <v>1352</v>
      </c>
      <c r="I9" s="93" t="s">
        <v>59</v>
      </c>
      <c r="J9" s="107">
        <v>5380.4</v>
      </c>
      <c r="K9" s="107">
        <v>7075</v>
      </c>
      <c r="L9" s="93">
        <v>1</v>
      </c>
      <c r="M9" s="107">
        <v>1273.5</v>
      </c>
      <c r="N9" s="107">
        <f>IF(M9&lt;=251, VLOOKUP(B3, 'Look Up Table'!I:J, 2, TRUE) * L9, 0)</f>
        <v>0</v>
      </c>
      <c r="O9" s="107">
        <f>IF(N9&gt;0, N9 - M9, 0)</f>
        <v>0</v>
      </c>
      <c r="P9" s="107">
        <f>IF(N9 = 0, K9 * B6, 0)</f>
        <v>0</v>
      </c>
      <c r="Q9" s="93"/>
      <c r="R9" s="93"/>
    </row>
    <row r="10" spans="1:18" x14ac:dyDescent="0.25">
      <c r="A10" s="96">
        <v>45743</v>
      </c>
      <c r="B10" s="93">
        <v>9716</v>
      </c>
      <c r="C10" s="93">
        <v>278659</v>
      </c>
      <c r="D10" s="93" t="s">
        <v>766</v>
      </c>
      <c r="E10" s="93" t="s">
        <v>767</v>
      </c>
      <c r="F10" s="93">
        <v>25</v>
      </c>
      <c r="G10" s="93" t="s">
        <v>1321</v>
      </c>
      <c r="H10" s="93" t="s">
        <v>1324</v>
      </c>
      <c r="I10" s="93" t="s">
        <v>59</v>
      </c>
      <c r="J10" s="107">
        <v>1948.92</v>
      </c>
      <c r="K10" s="107">
        <v>2417.8000000000002</v>
      </c>
      <c r="L10" s="93">
        <v>1</v>
      </c>
      <c r="M10" s="107">
        <v>435.2</v>
      </c>
      <c r="N10" s="107">
        <f>IF(M10&lt;=251, VLOOKUP(B3, 'Look Up Table'!I:J, 2, TRUE) * L10, 0)</f>
        <v>0</v>
      </c>
      <c r="O10" s="107">
        <f>IF(N10&gt;0, N10 - M10, 0)</f>
        <v>0</v>
      </c>
      <c r="P10" s="107">
        <f>IF(N10 = 0, K10 * B6, 0)</f>
        <v>0</v>
      </c>
      <c r="Q10" s="93"/>
      <c r="R10" s="93"/>
    </row>
    <row r="11" spans="1:18" x14ac:dyDescent="0.25">
      <c r="A11" s="96">
        <v>45744</v>
      </c>
      <c r="B11" s="93">
        <v>9739</v>
      </c>
      <c r="C11" s="93">
        <v>245457</v>
      </c>
      <c r="D11" s="93" t="s">
        <v>770</v>
      </c>
      <c r="E11" s="93" t="s">
        <v>771</v>
      </c>
      <c r="F11" s="93">
        <v>25</v>
      </c>
      <c r="G11" s="93" t="s">
        <v>1329</v>
      </c>
      <c r="H11" s="93" t="s">
        <v>1359</v>
      </c>
      <c r="I11" s="93" t="s">
        <v>59</v>
      </c>
      <c r="J11" s="107">
        <v>2493.0700000000002</v>
      </c>
      <c r="K11" s="107">
        <v>2279</v>
      </c>
      <c r="L11" s="93">
        <v>1</v>
      </c>
      <c r="M11" s="107">
        <v>410.22</v>
      </c>
      <c r="N11" s="107">
        <f>IF(M11&lt;=251, VLOOKUP(B3, 'Look Up Table'!I:J, 2, TRUE) * L11, 0)</f>
        <v>0</v>
      </c>
      <c r="O11" s="107">
        <f>IF(N11&gt;0, N11 - M11, 0)</f>
        <v>0</v>
      </c>
      <c r="P11" s="107">
        <f>IF(N11 = 0, K11 * B6, 0)</f>
        <v>0</v>
      </c>
      <c r="Q11" s="93"/>
      <c r="R11" s="93"/>
    </row>
    <row r="12" spans="1:18" x14ac:dyDescent="0.25">
      <c r="A12" s="96">
        <v>45747</v>
      </c>
      <c r="B12" s="93" t="s">
        <v>776</v>
      </c>
      <c r="C12" s="93">
        <v>24381</v>
      </c>
      <c r="D12" s="93" t="s">
        <v>774</v>
      </c>
      <c r="E12" s="93" t="s">
        <v>775</v>
      </c>
      <c r="F12" s="93">
        <v>25</v>
      </c>
      <c r="G12" s="93" t="s">
        <v>1329</v>
      </c>
      <c r="H12" s="93" t="s">
        <v>1330</v>
      </c>
      <c r="I12" s="93" t="s">
        <v>59</v>
      </c>
      <c r="J12" s="107">
        <v>0</v>
      </c>
      <c r="K12" s="107">
        <v>-1051.74</v>
      </c>
      <c r="L12" s="93">
        <v>1</v>
      </c>
      <c r="M12" s="107">
        <v>200</v>
      </c>
      <c r="N12" s="107">
        <f>IF(M12&lt;=251, VLOOKUP(B3, 'Look Up Table'!I:J, 2, TRUE) * L12, 0)</f>
        <v>250</v>
      </c>
      <c r="O12" s="107">
        <f>IF(N12&gt;0, N12 - M12, 0)</f>
        <v>50</v>
      </c>
      <c r="P12" s="107">
        <f>IF(N12 = 0, K12 * B6, 0)</f>
        <v>0</v>
      </c>
      <c r="Q12" s="93"/>
      <c r="R12" s="93"/>
    </row>
    <row r="13" spans="1:18" x14ac:dyDescent="0.25">
      <c r="A13" s="96">
        <v>45747</v>
      </c>
      <c r="B13" s="93">
        <v>9915</v>
      </c>
      <c r="C13" s="93">
        <v>24465</v>
      </c>
      <c r="D13" s="93" t="s">
        <v>777</v>
      </c>
      <c r="E13" s="93" t="s">
        <v>778</v>
      </c>
      <c r="F13" s="93">
        <v>25</v>
      </c>
      <c r="G13" s="93" t="s">
        <v>1329</v>
      </c>
      <c r="H13" s="93" t="s">
        <v>1416</v>
      </c>
      <c r="I13" s="93" t="s">
        <v>59</v>
      </c>
      <c r="J13" s="107">
        <v>2151.1</v>
      </c>
      <c r="K13" s="107">
        <v>1316</v>
      </c>
      <c r="L13" s="93">
        <v>1</v>
      </c>
      <c r="M13" s="107">
        <v>236.88</v>
      </c>
      <c r="N13" s="107">
        <f>IF(M13&lt;=251, VLOOKUP(B3, 'Look Up Table'!I:J, 2, TRUE) * L13, 0)</f>
        <v>250</v>
      </c>
      <c r="O13" s="107">
        <f>IF(N13&gt;0, N13 - M13, 0)</f>
        <v>13.120000000000005</v>
      </c>
      <c r="P13" s="107">
        <f>IF(N13 = 0, K13 * B6, 0)</f>
        <v>0</v>
      </c>
      <c r="Q13" s="93"/>
      <c r="R13" s="93"/>
    </row>
    <row r="14" spans="1:18" x14ac:dyDescent="0.25">
      <c r="A14" s="96">
        <v>45747</v>
      </c>
      <c r="B14" s="93">
        <v>9695</v>
      </c>
      <c r="C14" s="93">
        <v>289529</v>
      </c>
      <c r="D14" s="93" t="s">
        <v>780</v>
      </c>
      <c r="E14" s="93" t="s">
        <v>781</v>
      </c>
      <c r="F14" s="93">
        <v>25</v>
      </c>
      <c r="G14" s="93" t="s">
        <v>1321</v>
      </c>
      <c r="H14" s="93" t="s">
        <v>1326</v>
      </c>
      <c r="I14" s="93" t="s">
        <v>59</v>
      </c>
      <c r="J14" s="107">
        <v>0</v>
      </c>
      <c r="K14" s="107">
        <v>-1385</v>
      </c>
      <c r="L14" s="93">
        <v>1</v>
      </c>
      <c r="M14" s="107">
        <v>200</v>
      </c>
      <c r="N14" s="107">
        <f>IF(M14&lt;=251, VLOOKUP(B3, 'Look Up Table'!I:J, 2, TRUE) * L14, 0)</f>
        <v>250</v>
      </c>
      <c r="O14" s="107">
        <f>IF(N14&gt;0, N14 - M14, 0)</f>
        <v>50</v>
      </c>
      <c r="P14" s="107">
        <f>IF(N14 = 0, K14 * B6, 0)</f>
        <v>0</v>
      </c>
      <c r="Q14" s="93"/>
      <c r="R14" s="93"/>
    </row>
    <row r="15" spans="1:18" x14ac:dyDescent="0.25">
      <c r="A15" s="96">
        <v>45747</v>
      </c>
      <c r="B15" s="93">
        <v>9877</v>
      </c>
      <c r="C15" s="93">
        <v>227351</v>
      </c>
      <c r="D15" s="93" t="s">
        <v>784</v>
      </c>
      <c r="E15" s="93" t="s">
        <v>785</v>
      </c>
      <c r="F15" s="93">
        <v>22</v>
      </c>
      <c r="G15" s="93" t="s">
        <v>1321</v>
      </c>
      <c r="H15" s="93" t="s">
        <v>1417</v>
      </c>
      <c r="I15" s="93" t="s">
        <v>86</v>
      </c>
      <c r="J15" s="107">
        <v>466.2</v>
      </c>
      <c r="K15" s="107">
        <v>750</v>
      </c>
      <c r="L15" s="93">
        <v>1</v>
      </c>
      <c r="M15" s="107">
        <v>200</v>
      </c>
      <c r="N15" s="107">
        <f>IF(M15&lt;=251, VLOOKUP(B3, 'Look Up Table'!I:J, 2, TRUE) * L15, 0)</f>
        <v>250</v>
      </c>
      <c r="O15" s="107">
        <f>IF(N15&gt;0, N15 - M15, 0)</f>
        <v>50</v>
      </c>
      <c r="P15" s="107">
        <f>IF(N15 = 0, K15 * B6, 0)</f>
        <v>0</v>
      </c>
      <c r="Q15" s="93"/>
      <c r="R15" s="93"/>
    </row>
    <row r="16" spans="1:18" x14ac:dyDescent="0.25">
      <c r="A16" s="104"/>
      <c r="B16" s="105"/>
      <c r="C16" s="105"/>
      <c r="D16" s="105"/>
      <c r="E16" s="105"/>
      <c r="F16" s="105"/>
      <c r="G16" s="105"/>
      <c r="H16" s="105"/>
      <c r="I16" s="105"/>
      <c r="J16" s="108">
        <f>SUM(J8:J15)</f>
        <v>15878.44</v>
      </c>
      <c r="K16" s="108">
        <f>SUM(K8:K15)</f>
        <v>15381.06</v>
      </c>
      <c r="L16" s="105">
        <f>SUM(L8:L15)</f>
        <v>8</v>
      </c>
      <c r="M16" s="108">
        <f>SUM(M8:M15)</f>
        <v>3672.2</v>
      </c>
      <c r="N16" s="108">
        <f>SUM(N8:N15)</f>
        <v>1000</v>
      </c>
      <c r="O16" s="108">
        <f>SUM(O8:O15)</f>
        <v>163.12</v>
      </c>
      <c r="P16" s="108">
        <f>SUM(P8:P15)</f>
        <v>0</v>
      </c>
      <c r="Q16" s="93"/>
      <c r="R16" s="93"/>
    </row>
    <row r="18" spans="1:13" x14ac:dyDescent="0.25">
      <c r="J18" s="99" t="s">
        <v>1451</v>
      </c>
      <c r="M18" s="106">
        <f>-VLOOKUP(B2, '3213'!A:G, 7, 0)</f>
        <v>-2606.7600000000002</v>
      </c>
    </row>
    <row r="19" spans="1:13" x14ac:dyDescent="0.25">
      <c r="J19" s="99"/>
      <c r="M19" s="106"/>
    </row>
    <row r="20" spans="1:13" x14ac:dyDescent="0.25">
      <c r="J20" s="99" t="s">
        <v>1264</v>
      </c>
      <c r="K20" s="92">
        <v>0.18</v>
      </c>
      <c r="M20" s="106">
        <f>M16</f>
        <v>3672.2</v>
      </c>
    </row>
    <row r="21" spans="1:13" x14ac:dyDescent="0.25">
      <c r="J21" s="99"/>
      <c r="M21" s="106"/>
    </row>
    <row r="22" spans="1:13" x14ac:dyDescent="0.25">
      <c r="A22" s="110"/>
      <c r="B22" s="109"/>
      <c r="C22" s="109"/>
      <c r="D22" t="s">
        <v>1448</v>
      </c>
      <c r="J22" s="99" t="s">
        <v>1265</v>
      </c>
      <c r="K22" s="92">
        <f>B6</f>
        <v>0</v>
      </c>
      <c r="M22" s="106">
        <f>P16</f>
        <v>0</v>
      </c>
    </row>
    <row r="23" spans="1:13" x14ac:dyDescent="0.25">
      <c r="J23" s="99"/>
      <c r="M23" s="106"/>
    </row>
    <row r="24" spans="1:13" x14ac:dyDescent="0.25">
      <c r="J24" s="99" t="s">
        <v>1452</v>
      </c>
      <c r="M24" s="106">
        <f>O16</f>
        <v>163.12</v>
      </c>
    </row>
    <row r="25" spans="1:13" x14ac:dyDescent="0.25">
      <c r="J25" s="99"/>
      <c r="M25" s="106"/>
    </row>
    <row r="26" spans="1:13" x14ac:dyDescent="0.25">
      <c r="J26" s="99" t="s">
        <v>1453</v>
      </c>
      <c r="M26" s="106">
        <f>SUM(P16, O16)</f>
        <v>163.12</v>
      </c>
    </row>
    <row r="27" spans="1:13" x14ac:dyDescent="0.25">
      <c r="J27" s="99"/>
      <c r="M27" s="106"/>
    </row>
    <row r="28" spans="1:13" x14ac:dyDescent="0.25">
      <c r="A28" s="110"/>
      <c r="B28" s="109"/>
      <c r="C28" s="109"/>
      <c r="D28" t="s">
        <v>1449</v>
      </c>
      <c r="J28" s="99" t="s">
        <v>1454</v>
      </c>
      <c r="M28" s="106">
        <f>J16</f>
        <v>15878.44</v>
      </c>
    </row>
    <row r="29" spans="1:13" x14ac:dyDescent="0.25">
      <c r="J29" s="99"/>
      <c r="M29" s="106"/>
    </row>
    <row r="30" spans="1:13" x14ac:dyDescent="0.25">
      <c r="J30" s="99" t="s">
        <v>1455</v>
      </c>
      <c r="K30" s="92">
        <v>-0.25</v>
      </c>
      <c r="M30" s="106">
        <f>K30 * M28</f>
        <v>-3969.61</v>
      </c>
    </row>
    <row r="31" spans="1:13" x14ac:dyDescent="0.25">
      <c r="J31" s="99"/>
      <c r="M31" s="106"/>
    </row>
    <row r="32" spans="1:13" x14ac:dyDescent="0.25">
      <c r="J32" s="99" t="s">
        <v>1456</v>
      </c>
      <c r="M32" s="106">
        <f>M28 + M30</f>
        <v>11908.83</v>
      </c>
    </row>
    <row r="33" spans="10:15" x14ac:dyDescent="0.25">
      <c r="J33" s="99"/>
      <c r="M33" s="106"/>
    </row>
    <row r="34" spans="10:15" x14ac:dyDescent="0.25">
      <c r="J34" s="99" t="s">
        <v>1457</v>
      </c>
      <c r="K34" s="92">
        <v>0.05</v>
      </c>
      <c r="M34" s="106">
        <f>K34 * M32</f>
        <v>595.44150000000002</v>
      </c>
    </row>
    <row r="35" spans="10:15" x14ac:dyDescent="0.25">
      <c r="J35" s="99"/>
      <c r="M35" s="106"/>
    </row>
    <row r="36" spans="10:15" x14ac:dyDescent="0.25">
      <c r="J36" s="99" t="s">
        <v>1458</v>
      </c>
      <c r="K36" t="str">
        <f>VLOOKUP(B2,'Pay Summary'!A:D,4,0)</f>
        <v/>
      </c>
      <c r="M36" s="106">
        <f>IF(K36 = 1, 500, 0)</f>
        <v>0</v>
      </c>
    </row>
    <row r="37" spans="10:15" x14ac:dyDescent="0.25">
      <c r="J37" s="99"/>
      <c r="M37" s="106"/>
    </row>
    <row r="38" spans="10:15" x14ac:dyDescent="0.25">
      <c r="J38" s="99" t="s">
        <v>1450</v>
      </c>
      <c r="K38">
        <f>L16</f>
        <v>8</v>
      </c>
      <c r="M38" s="106">
        <f>VLOOKUP(K38, 'Look Up Table'!E:F, 2, TRUE)</f>
        <v>0</v>
      </c>
    </row>
    <row r="39" spans="10:15" x14ac:dyDescent="0.25">
      <c r="J39" s="99"/>
      <c r="M39" s="106"/>
    </row>
    <row r="40" spans="10:15" x14ac:dyDescent="0.25">
      <c r="J40" s="99" t="s">
        <v>1306</v>
      </c>
      <c r="K40" s="111" t="str">
        <f>B4</f>
        <v>3P</v>
      </c>
      <c r="M40" s="106">
        <f>IF(B5&gt;=3,IF(B4="3P",L16*50,IF(B4="A",0,IF(B4="B",L16*-50))),0)</f>
        <v>0</v>
      </c>
      <c r="N40" s="99" t="s">
        <v>1463</v>
      </c>
      <c r="O40" s="112">
        <f>'NPS Sheet'!X51</f>
        <v>0.91700000000000004</v>
      </c>
    </row>
    <row r="41" spans="10:15" x14ac:dyDescent="0.25">
      <c r="J41" s="99"/>
      <c r="M41" s="106"/>
    </row>
    <row r="42" spans="10:15" x14ac:dyDescent="0.25">
      <c r="J42" s="99" t="s">
        <v>1459</v>
      </c>
      <c r="M42" s="106">
        <f>SUM(M38, M40, M36)</f>
        <v>0</v>
      </c>
    </row>
    <row r="43" spans="10:15" x14ac:dyDescent="0.25">
      <c r="J43" s="99"/>
      <c r="M43" s="106"/>
    </row>
    <row r="44" spans="10:15" x14ac:dyDescent="0.25">
      <c r="J44" s="99" t="s">
        <v>1460</v>
      </c>
      <c r="M44" s="106">
        <f>IFERROR(VLOOKUP(B2,SPIFFS!A:H,8,0),0)</f>
        <v>800</v>
      </c>
    </row>
    <row r="45" spans="10:15" x14ac:dyDescent="0.25">
      <c r="J45" s="99"/>
      <c r="M45" s="106"/>
    </row>
    <row r="46" spans="10:15" x14ac:dyDescent="0.25">
      <c r="J46" s="99" t="s">
        <v>1461</v>
      </c>
      <c r="M46" s="106">
        <f>SUM(M20, M26, M34, M42, M18, M44)</f>
        <v>2624.0014999999994</v>
      </c>
    </row>
    <row r="47" spans="10:15" x14ac:dyDescent="0.25">
      <c r="J47" s="99"/>
      <c r="M47" s="106"/>
    </row>
    <row r="48" spans="10:15" x14ac:dyDescent="0.25">
      <c r="J48" s="99" t="s">
        <v>1462</v>
      </c>
      <c r="M48" s="106">
        <f>IF(M46&lt;0, SUM(M18, M42, M34, M26), 0)</f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1BF11-642A-4072-B837-2B25AB3C739A}">
  <dimension ref="A1:R51"/>
  <sheetViews>
    <sheetView workbookViewId="0"/>
  </sheetViews>
  <sheetFormatPr defaultRowHeight="15" x14ac:dyDescent="0.25"/>
  <cols>
    <col min="1" max="1" width="23" style="95" bestFit="1" customWidth="1"/>
    <col min="2" max="2" width="11.85546875" bestFit="1" customWidth="1"/>
    <col min="3" max="3" width="11.42578125" bestFit="1" customWidth="1"/>
    <col min="4" max="4" width="34.42578125" bestFit="1" customWidth="1"/>
    <col min="6" max="6" width="5" bestFit="1" customWidth="1"/>
    <col min="8" max="8" width="11" bestFit="1" customWidth="1"/>
    <col min="9" max="9" width="9.5703125" bestFit="1" customWidth="1"/>
    <col min="10" max="10" width="23.140625" bestFit="1" customWidth="1"/>
    <col min="11" max="11" width="18.42578125" bestFit="1" customWidth="1"/>
    <col min="12" max="12" width="5.7109375" bestFit="1" customWidth="1"/>
    <col min="13" max="13" width="20.140625" bestFit="1" customWidth="1"/>
    <col min="14" max="14" width="13.7109375" bestFit="1" customWidth="1"/>
    <col min="15" max="15" width="11.5703125" bestFit="1" customWidth="1"/>
    <col min="16" max="16" width="24.85546875" bestFit="1" customWidth="1"/>
  </cols>
  <sheetData>
    <row r="1" spans="1:18" x14ac:dyDescent="0.25">
      <c r="A1" s="101" t="s">
        <v>1249</v>
      </c>
      <c r="B1" s="100" t="s">
        <v>29</v>
      </c>
    </row>
    <row r="2" spans="1:18" x14ac:dyDescent="0.25">
      <c r="A2" s="101" t="s">
        <v>1307</v>
      </c>
      <c r="B2" s="100">
        <v>207462</v>
      </c>
    </row>
    <row r="3" spans="1:18" x14ac:dyDescent="0.25">
      <c r="A3" s="101" t="s">
        <v>1305</v>
      </c>
      <c r="B3" s="100">
        <f>VLOOKUP(B2, '90'!A:E, 5, 0)</f>
        <v>18</v>
      </c>
    </row>
    <row r="4" spans="1:18" x14ac:dyDescent="0.25">
      <c r="A4" s="101" t="s">
        <v>1306</v>
      </c>
      <c r="B4" s="100" t="str">
        <f>IFERROR(VLOOKUP(B2, NPS!B:H, 7, 0), 0)</f>
        <v>3P</v>
      </c>
    </row>
    <row r="5" spans="1:18" x14ac:dyDescent="0.25">
      <c r="A5" s="101" t="s">
        <v>1257</v>
      </c>
      <c r="B5" s="100">
        <f>IFERROR(VLOOKUP(B2, NPS!B:H, 3, 0), 0)</f>
        <v>5</v>
      </c>
    </row>
    <row r="6" spans="1:18" x14ac:dyDescent="0.25">
      <c r="A6" s="101" t="s">
        <v>1447</v>
      </c>
      <c r="B6" s="103">
        <f>VLOOKUP(11, 'Look Up Table'!A:B, 2, TRUE)</f>
        <v>0</v>
      </c>
    </row>
    <row r="7" spans="1:18" ht="50.1" customHeight="1" x14ac:dyDescent="0.25">
      <c r="A7" s="102" t="s">
        <v>43</v>
      </c>
      <c r="B7" s="80" t="s">
        <v>1308</v>
      </c>
      <c r="C7" s="80" t="s">
        <v>1309</v>
      </c>
      <c r="D7" s="80" t="s">
        <v>48</v>
      </c>
      <c r="E7" s="80" t="s">
        <v>1310</v>
      </c>
      <c r="F7" s="80" t="s">
        <v>1311</v>
      </c>
      <c r="G7" s="80" t="s">
        <v>1312</v>
      </c>
      <c r="H7" s="80" t="s">
        <v>1313</v>
      </c>
      <c r="I7" s="80" t="s">
        <v>51</v>
      </c>
      <c r="J7" s="80" t="s">
        <v>1314</v>
      </c>
      <c r="K7" s="80" t="s">
        <v>1315</v>
      </c>
      <c r="L7" s="80" t="s">
        <v>54</v>
      </c>
      <c r="M7" s="80" t="s">
        <v>55</v>
      </c>
      <c r="N7" s="80" t="s">
        <v>1316</v>
      </c>
      <c r="O7" s="80" t="s">
        <v>1317</v>
      </c>
      <c r="P7" s="80" t="s">
        <v>1318</v>
      </c>
    </row>
    <row r="8" spans="1:18" x14ac:dyDescent="0.25">
      <c r="A8" s="96">
        <v>45723</v>
      </c>
      <c r="B8" s="93">
        <v>9365</v>
      </c>
      <c r="C8" s="93">
        <v>242605</v>
      </c>
      <c r="D8" s="93" t="s">
        <v>787</v>
      </c>
      <c r="E8" s="93" t="s">
        <v>788</v>
      </c>
      <c r="F8" s="93">
        <v>25</v>
      </c>
      <c r="G8" s="93" t="s">
        <v>1321</v>
      </c>
      <c r="H8" s="93" t="s">
        <v>1355</v>
      </c>
      <c r="I8" s="93" t="s">
        <v>59</v>
      </c>
      <c r="J8" s="107">
        <v>8</v>
      </c>
      <c r="K8" s="107">
        <v>2691.19</v>
      </c>
      <c r="L8" s="93">
        <v>1</v>
      </c>
      <c r="M8" s="107">
        <v>484.41</v>
      </c>
      <c r="N8" s="107">
        <f>IF(M8&lt;=251, VLOOKUP(B3, 'Look Up Table'!I:J, 2, TRUE) * L8, 0)</f>
        <v>0</v>
      </c>
      <c r="O8" s="107">
        <f>IF(N8&gt;0, N8 - M8, 0)</f>
        <v>0</v>
      </c>
      <c r="P8" s="107">
        <f>IF(N8 = 0, K8 * B6, 0)</f>
        <v>0</v>
      </c>
      <c r="Q8" s="93"/>
      <c r="R8" s="93"/>
    </row>
    <row r="9" spans="1:18" x14ac:dyDescent="0.25">
      <c r="A9" s="96">
        <v>45726</v>
      </c>
      <c r="B9" s="93">
        <v>9429</v>
      </c>
      <c r="C9" s="93">
        <v>280461</v>
      </c>
      <c r="D9" s="93" t="s">
        <v>791</v>
      </c>
      <c r="E9" s="93" t="s">
        <v>792</v>
      </c>
      <c r="F9" s="93">
        <v>25</v>
      </c>
      <c r="G9" s="93" t="s">
        <v>1321</v>
      </c>
      <c r="H9" s="93" t="s">
        <v>1324</v>
      </c>
      <c r="I9" s="93" t="s">
        <v>59</v>
      </c>
      <c r="J9" s="107">
        <v>1182</v>
      </c>
      <c r="K9" s="107">
        <v>-2650.5</v>
      </c>
      <c r="L9" s="93">
        <v>1</v>
      </c>
      <c r="M9" s="107">
        <v>200</v>
      </c>
      <c r="N9" s="107">
        <f>IF(M9&lt;=251, VLOOKUP(B3, 'Look Up Table'!I:J, 2, TRUE) * L9, 0)</f>
        <v>300</v>
      </c>
      <c r="O9" s="107">
        <f>IF(N9&gt;0, N9 - M9, 0)</f>
        <v>100</v>
      </c>
      <c r="P9" s="107">
        <f>IF(N9 = 0, K9 * B6, 0)</f>
        <v>0</v>
      </c>
      <c r="Q9" s="93"/>
      <c r="R9" s="93"/>
    </row>
    <row r="10" spans="1:18" x14ac:dyDescent="0.25">
      <c r="A10" s="96">
        <v>45727</v>
      </c>
      <c r="B10" s="93">
        <v>8239</v>
      </c>
      <c r="C10" s="93">
        <v>261684</v>
      </c>
      <c r="D10" s="93" t="s">
        <v>795</v>
      </c>
      <c r="E10" s="93" t="s">
        <v>796</v>
      </c>
      <c r="F10" s="93">
        <v>25</v>
      </c>
      <c r="G10" s="93" t="s">
        <v>1321</v>
      </c>
      <c r="H10" s="93" t="s">
        <v>1324</v>
      </c>
      <c r="I10" s="93" t="s">
        <v>59</v>
      </c>
      <c r="J10" s="107">
        <v>1646.15</v>
      </c>
      <c r="K10" s="107">
        <v>2468</v>
      </c>
      <c r="L10" s="93">
        <v>1</v>
      </c>
      <c r="M10" s="107">
        <v>444.24</v>
      </c>
      <c r="N10" s="107">
        <f>IF(M10&lt;=251, VLOOKUP(B3, 'Look Up Table'!I:J, 2, TRUE) * L10, 0)</f>
        <v>0</v>
      </c>
      <c r="O10" s="107">
        <f>IF(N10&gt;0, N10 - M10, 0)</f>
        <v>0</v>
      </c>
      <c r="P10" s="107">
        <f>IF(N10 = 0, K10 * B6, 0)</f>
        <v>0</v>
      </c>
      <c r="Q10" s="93"/>
      <c r="R10" s="93"/>
    </row>
    <row r="11" spans="1:18" x14ac:dyDescent="0.25">
      <c r="A11" s="96">
        <v>45729</v>
      </c>
      <c r="B11" s="93" t="s">
        <v>802</v>
      </c>
      <c r="C11" s="93">
        <v>206631</v>
      </c>
      <c r="D11" s="93" t="s">
        <v>799</v>
      </c>
      <c r="E11" s="93" t="s">
        <v>800</v>
      </c>
      <c r="F11" s="93">
        <v>22</v>
      </c>
      <c r="G11" s="93" t="s">
        <v>1319</v>
      </c>
      <c r="H11" s="93" t="s">
        <v>1399</v>
      </c>
      <c r="I11" s="93" t="s">
        <v>86</v>
      </c>
      <c r="J11" s="107">
        <v>5083.45</v>
      </c>
      <c r="K11" s="107">
        <v>-2995.5</v>
      </c>
      <c r="L11" s="93">
        <v>1</v>
      </c>
      <c r="M11" s="107">
        <v>200</v>
      </c>
      <c r="N11" s="107">
        <f>IF(M11&lt;=251, VLOOKUP(B3, 'Look Up Table'!I:J, 2, TRUE) * L11, 0)</f>
        <v>300</v>
      </c>
      <c r="O11" s="107">
        <f>IF(N11&gt;0, N11 - M11, 0)</f>
        <v>100</v>
      </c>
      <c r="P11" s="107">
        <f>IF(N11 = 0, K11 * B6, 0)</f>
        <v>0</v>
      </c>
      <c r="Q11" s="93"/>
      <c r="R11" s="93"/>
    </row>
    <row r="12" spans="1:18" x14ac:dyDescent="0.25">
      <c r="A12" s="96">
        <v>45734</v>
      </c>
      <c r="B12" s="93">
        <v>9580</v>
      </c>
      <c r="C12" s="93">
        <v>266920</v>
      </c>
      <c r="D12" s="93" t="s">
        <v>803</v>
      </c>
      <c r="E12" s="93">
        <v>5144138</v>
      </c>
      <c r="F12" s="93">
        <v>25</v>
      </c>
      <c r="G12" s="93" t="s">
        <v>1321</v>
      </c>
      <c r="H12" s="93" t="s">
        <v>1418</v>
      </c>
      <c r="I12" s="93" t="s">
        <v>59</v>
      </c>
      <c r="J12" s="107">
        <v>183</v>
      </c>
      <c r="K12" s="107">
        <v>-165.4</v>
      </c>
      <c r="L12" s="93">
        <v>1</v>
      </c>
      <c r="M12" s="107">
        <v>200</v>
      </c>
      <c r="N12" s="107">
        <f>IF(M12&lt;=251, VLOOKUP(B3, 'Look Up Table'!I:J, 2, TRUE) * L12, 0)</f>
        <v>300</v>
      </c>
      <c r="O12" s="107">
        <f>IF(N12&gt;0, N12 - M12, 0)</f>
        <v>100</v>
      </c>
      <c r="P12" s="107">
        <f>IF(N12 = 0, K12 * B6, 0)</f>
        <v>0</v>
      </c>
      <c r="Q12" s="93"/>
      <c r="R12" s="93"/>
    </row>
    <row r="13" spans="1:18" x14ac:dyDescent="0.25">
      <c r="A13" s="96">
        <v>45742</v>
      </c>
      <c r="B13" s="93">
        <v>9356</v>
      </c>
      <c r="C13" s="93">
        <v>202540</v>
      </c>
      <c r="D13" s="93" t="s">
        <v>806</v>
      </c>
      <c r="E13" s="93" t="s">
        <v>807</v>
      </c>
      <c r="F13" s="93">
        <v>25</v>
      </c>
      <c r="G13" s="93" t="s">
        <v>1321</v>
      </c>
      <c r="H13" s="93" t="s">
        <v>1357</v>
      </c>
      <c r="I13" s="93" t="s">
        <v>59</v>
      </c>
      <c r="J13" s="107">
        <v>2800.34</v>
      </c>
      <c r="K13" s="107">
        <v>2455</v>
      </c>
      <c r="L13" s="93">
        <v>1</v>
      </c>
      <c r="M13" s="107">
        <v>441.9</v>
      </c>
      <c r="N13" s="107">
        <f>IF(M13&lt;=251, VLOOKUP(B3, 'Look Up Table'!I:J, 2, TRUE) * L13, 0)</f>
        <v>0</v>
      </c>
      <c r="O13" s="107">
        <f>IF(N13&gt;0, N13 - M13, 0)</f>
        <v>0</v>
      </c>
      <c r="P13" s="107">
        <f>IF(N13 = 0, K13 * B6, 0)</f>
        <v>0</v>
      </c>
      <c r="Q13" s="93"/>
      <c r="R13" s="93"/>
    </row>
    <row r="14" spans="1:18" x14ac:dyDescent="0.25">
      <c r="A14" s="96">
        <v>45742</v>
      </c>
      <c r="B14" s="93">
        <v>9565</v>
      </c>
      <c r="C14" s="93">
        <v>215183</v>
      </c>
      <c r="D14" s="93" t="s">
        <v>810</v>
      </c>
      <c r="E14" s="93" t="s">
        <v>811</v>
      </c>
      <c r="F14" s="93">
        <v>25</v>
      </c>
      <c r="G14" s="93" t="s">
        <v>1321</v>
      </c>
      <c r="H14" s="93" t="s">
        <v>1324</v>
      </c>
      <c r="I14" s="93" t="s">
        <v>59</v>
      </c>
      <c r="J14" s="107">
        <v>1762</v>
      </c>
      <c r="K14" s="107">
        <v>1855</v>
      </c>
      <c r="L14" s="93">
        <v>1</v>
      </c>
      <c r="M14" s="107">
        <v>333.9</v>
      </c>
      <c r="N14" s="107">
        <f>IF(M14&lt;=251, VLOOKUP(B3, 'Look Up Table'!I:J, 2, TRUE) * L14, 0)</f>
        <v>0</v>
      </c>
      <c r="O14" s="107">
        <f>IF(N14&gt;0, N14 - M14, 0)</f>
        <v>0</v>
      </c>
      <c r="P14" s="107">
        <f>IF(N14 = 0, K14 * B6, 0)</f>
        <v>0</v>
      </c>
      <c r="Q14" s="93"/>
      <c r="R14" s="93"/>
    </row>
    <row r="15" spans="1:18" x14ac:dyDescent="0.25">
      <c r="A15" s="96">
        <v>45742</v>
      </c>
      <c r="B15" s="93">
        <v>9654</v>
      </c>
      <c r="C15" s="93">
        <v>254678</v>
      </c>
      <c r="D15" s="93" t="s">
        <v>813</v>
      </c>
      <c r="E15" s="93" t="s">
        <v>793</v>
      </c>
      <c r="F15" s="93">
        <v>23</v>
      </c>
      <c r="G15" s="93" t="s">
        <v>1319</v>
      </c>
      <c r="H15" s="93" t="s">
        <v>1349</v>
      </c>
      <c r="I15" s="93" t="s">
        <v>86</v>
      </c>
      <c r="J15" s="107">
        <v>3740.24</v>
      </c>
      <c r="K15" s="107">
        <v>1051.04</v>
      </c>
      <c r="L15" s="93">
        <v>1</v>
      </c>
      <c r="M15" s="107">
        <v>200</v>
      </c>
      <c r="N15" s="107">
        <f>IF(M15&lt;=251, VLOOKUP(B3, 'Look Up Table'!I:J, 2, TRUE) * L15, 0)</f>
        <v>300</v>
      </c>
      <c r="O15" s="107">
        <f>IF(N15&gt;0, N15 - M15, 0)</f>
        <v>100</v>
      </c>
      <c r="P15" s="107">
        <f>IF(N15 = 0, K15 * B6, 0)</f>
        <v>0</v>
      </c>
      <c r="Q15" s="93"/>
      <c r="R15" s="93"/>
    </row>
    <row r="16" spans="1:18" x14ac:dyDescent="0.25">
      <c r="A16" s="96">
        <v>45744</v>
      </c>
      <c r="B16" s="93">
        <v>9723</v>
      </c>
      <c r="C16" s="93">
        <v>266951</v>
      </c>
      <c r="D16" s="93" t="s">
        <v>816</v>
      </c>
      <c r="E16" s="93" t="s">
        <v>817</v>
      </c>
      <c r="F16" s="93">
        <v>25</v>
      </c>
      <c r="G16" s="93" t="s">
        <v>1321</v>
      </c>
      <c r="H16" s="93" t="s">
        <v>1419</v>
      </c>
      <c r="I16" s="93" t="s">
        <v>59</v>
      </c>
      <c r="J16" s="107">
        <v>7860.3</v>
      </c>
      <c r="K16" s="107">
        <v>811.61</v>
      </c>
      <c r="L16" s="93">
        <v>1</v>
      </c>
      <c r="M16" s="107">
        <v>200</v>
      </c>
      <c r="N16" s="107">
        <f>IF(M16&lt;=251, VLOOKUP(B3, 'Look Up Table'!I:J, 2, TRUE) * L16, 0)</f>
        <v>300</v>
      </c>
      <c r="O16" s="107">
        <f>IF(N16&gt;0, N16 - M16, 0)</f>
        <v>100</v>
      </c>
      <c r="P16" s="107">
        <f>IF(N16 = 0, K16 * B6, 0)</f>
        <v>0</v>
      </c>
      <c r="Q16" s="93"/>
      <c r="R16" s="93"/>
    </row>
    <row r="17" spans="1:18" x14ac:dyDescent="0.25">
      <c r="A17" s="96">
        <v>45747</v>
      </c>
      <c r="B17" s="93">
        <v>9767</v>
      </c>
      <c r="C17" s="93">
        <v>20104</v>
      </c>
      <c r="D17" s="93" t="s">
        <v>821</v>
      </c>
      <c r="E17" s="93" t="s">
        <v>822</v>
      </c>
      <c r="F17" s="93">
        <v>25</v>
      </c>
      <c r="G17" s="93" t="s">
        <v>1319</v>
      </c>
      <c r="H17" s="93" t="s">
        <v>1352</v>
      </c>
      <c r="I17" s="93" t="s">
        <v>59</v>
      </c>
      <c r="J17" s="107">
        <v>3250.34</v>
      </c>
      <c r="K17" s="107">
        <v>882</v>
      </c>
      <c r="L17" s="93">
        <v>1</v>
      </c>
      <c r="M17" s="107">
        <v>200</v>
      </c>
      <c r="N17" s="107">
        <f>IF(M17&lt;=251, VLOOKUP(B3, 'Look Up Table'!I:J, 2, TRUE) * L17, 0)</f>
        <v>300</v>
      </c>
      <c r="O17" s="107">
        <f>IF(N17&gt;0, N17 - M17, 0)</f>
        <v>100</v>
      </c>
      <c r="P17" s="107">
        <f>IF(N17 = 0, K17 * B6, 0)</f>
        <v>0</v>
      </c>
      <c r="Q17" s="93"/>
      <c r="R17" s="93"/>
    </row>
    <row r="18" spans="1:18" x14ac:dyDescent="0.25">
      <c r="A18" s="96">
        <v>45747</v>
      </c>
      <c r="B18" s="93">
        <v>9776</v>
      </c>
      <c r="C18" s="93">
        <v>265653</v>
      </c>
      <c r="D18" s="93" t="s">
        <v>823</v>
      </c>
      <c r="E18" s="93" t="s">
        <v>824</v>
      </c>
      <c r="F18" s="93">
        <v>24</v>
      </c>
      <c r="G18" s="93" t="s">
        <v>1319</v>
      </c>
      <c r="H18" s="93" t="s">
        <v>1354</v>
      </c>
      <c r="I18" s="93" t="s">
        <v>59</v>
      </c>
      <c r="J18" s="107">
        <v>1162</v>
      </c>
      <c r="K18" s="107">
        <v>-3810.98</v>
      </c>
      <c r="L18" s="93">
        <v>1</v>
      </c>
      <c r="M18" s="107">
        <v>200</v>
      </c>
      <c r="N18" s="107">
        <f>IF(M18&lt;=251, VLOOKUP(B3, 'Look Up Table'!I:J, 2, TRUE) * L18, 0)</f>
        <v>300</v>
      </c>
      <c r="O18" s="107">
        <f>IF(N18&gt;0, N18 - M18, 0)</f>
        <v>100</v>
      </c>
      <c r="P18" s="107">
        <f>IF(N18 = 0, K18 * B6, 0)</f>
        <v>0</v>
      </c>
      <c r="Q18" s="93"/>
      <c r="R18" s="93"/>
    </row>
    <row r="19" spans="1:18" x14ac:dyDescent="0.25">
      <c r="A19" s="104"/>
      <c r="B19" s="105"/>
      <c r="C19" s="105"/>
      <c r="D19" s="105"/>
      <c r="E19" s="105"/>
      <c r="F19" s="105"/>
      <c r="G19" s="105"/>
      <c r="H19" s="105"/>
      <c r="I19" s="105"/>
      <c r="J19" s="108">
        <f>SUM(J8:J18)</f>
        <v>28677.82</v>
      </c>
      <c r="K19" s="108">
        <f>SUM(K8:K18)</f>
        <v>2591.4599999999996</v>
      </c>
      <c r="L19" s="105">
        <f>SUM(L8:L18)</f>
        <v>11</v>
      </c>
      <c r="M19" s="108">
        <f>SUM(M8:M18)</f>
        <v>3104.4500000000003</v>
      </c>
      <c r="N19" s="108">
        <f>SUM(N8:N18)</f>
        <v>2100</v>
      </c>
      <c r="O19" s="108">
        <f>SUM(O8:O18)</f>
        <v>700</v>
      </c>
      <c r="P19" s="108">
        <f>SUM(P8:P18)</f>
        <v>0</v>
      </c>
      <c r="Q19" s="93"/>
      <c r="R19" s="93"/>
    </row>
    <row r="21" spans="1:18" x14ac:dyDescent="0.25">
      <c r="J21" s="99" t="s">
        <v>1451</v>
      </c>
      <c r="M21" s="106">
        <f>-VLOOKUP(B2, '3213'!A:G, 7, 0)</f>
        <v>-2806.44</v>
      </c>
    </row>
    <row r="22" spans="1:18" x14ac:dyDescent="0.25">
      <c r="J22" s="99"/>
      <c r="M22" s="106"/>
    </row>
    <row r="23" spans="1:18" x14ac:dyDescent="0.25">
      <c r="J23" s="99" t="s">
        <v>1264</v>
      </c>
      <c r="K23" s="92">
        <v>0.18</v>
      </c>
      <c r="M23" s="106">
        <f>M19</f>
        <v>3104.4500000000003</v>
      </c>
    </row>
    <row r="24" spans="1:18" x14ac:dyDescent="0.25">
      <c r="J24" s="99"/>
      <c r="M24" s="106"/>
    </row>
    <row r="25" spans="1:18" x14ac:dyDescent="0.25">
      <c r="A25" s="110"/>
      <c r="B25" s="109"/>
      <c r="C25" s="109"/>
      <c r="D25" t="s">
        <v>1448</v>
      </c>
      <c r="J25" s="99" t="s">
        <v>1265</v>
      </c>
      <c r="K25" s="92">
        <f>B6</f>
        <v>0</v>
      </c>
      <c r="M25" s="106">
        <f>P19</f>
        <v>0</v>
      </c>
    </row>
    <row r="26" spans="1:18" x14ac:dyDescent="0.25">
      <c r="J26" s="99"/>
      <c r="M26" s="106"/>
    </row>
    <row r="27" spans="1:18" x14ac:dyDescent="0.25">
      <c r="J27" s="99" t="s">
        <v>1452</v>
      </c>
      <c r="M27" s="106">
        <f>O19</f>
        <v>700</v>
      </c>
    </row>
    <row r="28" spans="1:18" x14ac:dyDescent="0.25">
      <c r="J28" s="99"/>
      <c r="M28" s="106"/>
    </row>
    <row r="29" spans="1:18" x14ac:dyDescent="0.25">
      <c r="J29" s="99" t="s">
        <v>1453</v>
      </c>
      <c r="M29" s="106">
        <f>SUM(P19, O19)</f>
        <v>700</v>
      </c>
    </row>
    <row r="30" spans="1:18" x14ac:dyDescent="0.25">
      <c r="J30" s="99"/>
      <c r="M30" s="106"/>
    </row>
    <row r="31" spans="1:18" x14ac:dyDescent="0.25">
      <c r="A31" s="110"/>
      <c r="B31" s="109"/>
      <c r="C31" s="109"/>
      <c r="D31" t="s">
        <v>1449</v>
      </c>
      <c r="J31" s="99" t="s">
        <v>1454</v>
      </c>
      <c r="M31" s="106">
        <f>J19</f>
        <v>28677.82</v>
      </c>
    </row>
    <row r="32" spans="1:18" x14ac:dyDescent="0.25">
      <c r="J32" s="99"/>
      <c r="M32" s="106"/>
    </row>
    <row r="33" spans="10:15" x14ac:dyDescent="0.25">
      <c r="J33" s="99" t="s">
        <v>1455</v>
      </c>
      <c r="K33" s="92">
        <v>-0.25</v>
      </c>
      <c r="M33" s="106">
        <f>K33 * M31</f>
        <v>-7169.4549999999999</v>
      </c>
    </row>
    <row r="34" spans="10:15" x14ac:dyDescent="0.25">
      <c r="J34" s="99"/>
      <c r="M34" s="106"/>
    </row>
    <row r="35" spans="10:15" x14ac:dyDescent="0.25">
      <c r="J35" s="99" t="s">
        <v>1456</v>
      </c>
      <c r="M35" s="106">
        <f>M31 + M33</f>
        <v>21508.364999999998</v>
      </c>
    </row>
    <row r="36" spans="10:15" x14ac:dyDescent="0.25">
      <c r="J36" s="99"/>
      <c r="M36" s="106"/>
    </row>
    <row r="37" spans="10:15" x14ac:dyDescent="0.25">
      <c r="J37" s="99" t="s">
        <v>1457</v>
      </c>
      <c r="K37" s="92">
        <v>0.05</v>
      </c>
      <c r="M37" s="106">
        <f>K37 * M35</f>
        <v>1075.4182499999999</v>
      </c>
    </row>
    <row r="38" spans="10:15" x14ac:dyDescent="0.25">
      <c r="J38" s="99"/>
      <c r="M38" s="106"/>
    </row>
    <row r="39" spans="10:15" x14ac:dyDescent="0.25">
      <c r="J39" s="99" t="s">
        <v>1458</v>
      </c>
      <c r="K39" t="str">
        <f>VLOOKUP(B2,'Pay Summary'!A:D,4,0)</f>
        <v/>
      </c>
      <c r="M39" s="106">
        <f>IF(K39 = 1, 500, 0)</f>
        <v>0</v>
      </c>
    </row>
    <row r="40" spans="10:15" x14ac:dyDescent="0.25">
      <c r="J40" s="99"/>
      <c r="M40" s="106"/>
    </row>
    <row r="41" spans="10:15" x14ac:dyDescent="0.25">
      <c r="J41" s="99" t="s">
        <v>1450</v>
      </c>
      <c r="K41">
        <f>L19</f>
        <v>11</v>
      </c>
      <c r="M41" s="106">
        <f>VLOOKUP(K41, 'Look Up Table'!E:F, 2, TRUE)</f>
        <v>375</v>
      </c>
    </row>
    <row r="42" spans="10:15" x14ac:dyDescent="0.25">
      <c r="J42" s="99"/>
      <c r="M42" s="106"/>
    </row>
    <row r="43" spans="10:15" x14ac:dyDescent="0.25">
      <c r="J43" s="99" t="s">
        <v>1306</v>
      </c>
      <c r="K43" s="111" t="str">
        <f>B4</f>
        <v>3P</v>
      </c>
      <c r="M43" s="106">
        <f>IF(B5&gt;=3,IF(B4="3P",L19*50,IF(B4="A",0,IF(B4="B",L19*-50))),0)</f>
        <v>550</v>
      </c>
      <c r="N43" s="99" t="s">
        <v>1463</v>
      </c>
      <c r="O43" s="112">
        <f>'NPS Sheet'!X51</f>
        <v>0.91700000000000004</v>
      </c>
    </row>
    <row r="44" spans="10:15" x14ac:dyDescent="0.25">
      <c r="J44" s="99"/>
      <c r="M44" s="106"/>
    </row>
    <row r="45" spans="10:15" x14ac:dyDescent="0.25">
      <c r="J45" s="99" t="s">
        <v>1459</v>
      </c>
      <c r="M45" s="106">
        <f>SUM(M41, M43, M39)</f>
        <v>925</v>
      </c>
    </row>
    <row r="46" spans="10:15" x14ac:dyDescent="0.25">
      <c r="J46" s="99"/>
      <c r="M46" s="106"/>
    </row>
    <row r="47" spans="10:15" x14ac:dyDescent="0.25">
      <c r="J47" s="99" t="s">
        <v>1460</v>
      </c>
      <c r="M47" s="106">
        <f>IFERROR(VLOOKUP(B2,SPIFFS!A:H,8,0),0)</f>
        <v>1100</v>
      </c>
    </row>
    <row r="48" spans="10:15" x14ac:dyDescent="0.25">
      <c r="J48" s="99"/>
      <c r="M48" s="106"/>
    </row>
    <row r="49" spans="10:13" x14ac:dyDescent="0.25">
      <c r="J49" s="99" t="s">
        <v>1461</v>
      </c>
      <c r="M49" s="106">
        <f>SUM(M23, M29, M37, M45, M21, M47)</f>
        <v>4098.4282500000008</v>
      </c>
    </row>
    <row r="50" spans="10:13" x14ac:dyDescent="0.25">
      <c r="J50" s="99"/>
      <c r="M50" s="106"/>
    </row>
    <row r="51" spans="10:13" x14ac:dyDescent="0.25">
      <c r="J51" s="99" t="s">
        <v>1462</v>
      </c>
      <c r="M51" s="106">
        <f>IF(M49&lt;0, SUM(M21, M45, M37, M29), 0)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3ABFB-D640-457F-9B8C-59BFAF3A8517}">
  <sheetPr>
    <tabColor rgb="FFFFFF00"/>
  </sheetPr>
  <dimension ref="A1:I38"/>
  <sheetViews>
    <sheetView zoomScaleNormal="100" workbookViewId="0">
      <selection activeCell="J2" sqref="J2"/>
    </sheetView>
  </sheetViews>
  <sheetFormatPr defaultRowHeight="15" x14ac:dyDescent="0.25"/>
  <cols>
    <col min="1" max="1" width="8.5703125" bestFit="1" customWidth="1"/>
    <col min="2" max="2" width="31.140625" bestFit="1" customWidth="1"/>
    <col min="3" max="3" width="8.85546875" bestFit="1" customWidth="1"/>
    <col min="4" max="4" width="9.85546875" bestFit="1" customWidth="1"/>
    <col min="5" max="6" width="5" bestFit="1" customWidth="1"/>
    <col min="7" max="7" width="8.140625" bestFit="1" customWidth="1"/>
    <col min="8" max="8" width="5" bestFit="1" customWidth="1"/>
    <col min="9" max="9" width="5.140625" bestFit="1" customWidth="1"/>
  </cols>
  <sheetData>
    <row r="1" spans="1:9" x14ac:dyDescent="0.25">
      <c r="A1" s="1" t="s">
        <v>0</v>
      </c>
      <c r="B1" s="1" t="s">
        <v>1</v>
      </c>
      <c r="C1" s="2" t="s">
        <v>2</v>
      </c>
      <c r="D1" s="2" t="s">
        <v>3</v>
      </c>
      <c r="E1" s="2">
        <v>8321</v>
      </c>
      <c r="F1" s="2">
        <v>8328</v>
      </c>
      <c r="G1" s="2" t="s">
        <v>4</v>
      </c>
      <c r="H1" s="2">
        <v>8295</v>
      </c>
      <c r="I1" s="2" t="s">
        <v>5</v>
      </c>
    </row>
    <row r="2" spans="1:9" x14ac:dyDescent="0.25">
      <c r="A2" s="3">
        <v>99</v>
      </c>
      <c r="B2" s="3" t="s">
        <v>6</v>
      </c>
      <c r="C2" s="4">
        <v>-200</v>
      </c>
      <c r="D2" s="4">
        <v>-200</v>
      </c>
      <c r="E2" s="5"/>
      <c r="F2" s="5"/>
      <c r="G2" s="5"/>
      <c r="H2" s="5"/>
      <c r="I2" s="4">
        <v>151</v>
      </c>
    </row>
    <row r="3" spans="1:9" x14ac:dyDescent="0.25">
      <c r="A3" s="3">
        <v>3262</v>
      </c>
      <c r="B3" s="3" t="s">
        <v>7</v>
      </c>
      <c r="C3" s="4">
        <v>-803.97</v>
      </c>
      <c r="D3" s="6">
        <v>-3143.97</v>
      </c>
      <c r="E3" s="5"/>
      <c r="F3" s="5"/>
      <c r="G3" s="6">
        <v>2340</v>
      </c>
      <c r="H3" s="5"/>
      <c r="I3" s="4">
        <v>336</v>
      </c>
    </row>
    <row r="4" spans="1:9" x14ac:dyDescent="0.25">
      <c r="A4" s="3">
        <v>10067</v>
      </c>
      <c r="B4" s="3" t="s">
        <v>8</v>
      </c>
      <c r="C4" s="6">
        <v>3509.84</v>
      </c>
      <c r="D4" s="5"/>
      <c r="E4" s="5"/>
      <c r="F4" s="5"/>
      <c r="G4" s="6">
        <v>3509.84</v>
      </c>
      <c r="H4" s="5"/>
      <c r="I4" s="4">
        <v>425</v>
      </c>
    </row>
    <row r="5" spans="1:9" x14ac:dyDescent="0.25">
      <c r="A5" s="3">
        <v>10069</v>
      </c>
      <c r="B5" s="3" t="s">
        <v>9</v>
      </c>
      <c r="C5" s="4">
        <v>-715.22</v>
      </c>
      <c r="D5" s="6">
        <v>-3219.54</v>
      </c>
      <c r="E5" s="5"/>
      <c r="F5" s="5"/>
      <c r="G5" s="6">
        <v>2504.3200000000002</v>
      </c>
      <c r="H5" s="5"/>
      <c r="I5" s="4">
        <v>427</v>
      </c>
    </row>
    <row r="6" spans="1:9" x14ac:dyDescent="0.25">
      <c r="A6" s="3">
        <v>10303</v>
      </c>
      <c r="B6" s="3" t="s">
        <v>10</v>
      </c>
      <c r="C6" s="6">
        <v>-4662.16</v>
      </c>
      <c r="D6" s="6">
        <v>-7308.57</v>
      </c>
      <c r="E6" s="5"/>
      <c r="F6" s="5"/>
      <c r="G6" s="6">
        <v>2646.41</v>
      </c>
      <c r="H6" s="5"/>
      <c r="I6" s="4">
        <v>425</v>
      </c>
    </row>
    <row r="7" spans="1:9" x14ac:dyDescent="0.25">
      <c r="A7" s="3">
        <v>10304</v>
      </c>
      <c r="B7" s="3" t="s">
        <v>11</v>
      </c>
      <c r="C7" s="4">
        <v>886.95</v>
      </c>
      <c r="D7" s="6">
        <v>-2750.6</v>
      </c>
      <c r="E7" s="5"/>
      <c r="F7" s="5"/>
      <c r="G7" s="6">
        <v>3637.55</v>
      </c>
      <c r="H7" s="5"/>
      <c r="I7" s="4">
        <v>427</v>
      </c>
    </row>
    <row r="8" spans="1:9" x14ac:dyDescent="0.25">
      <c r="A8" s="3">
        <v>10775</v>
      </c>
      <c r="B8" s="3" t="s">
        <v>12</v>
      </c>
      <c r="C8" s="6">
        <v>-2634.48</v>
      </c>
      <c r="D8" s="6">
        <v>-5570.15</v>
      </c>
      <c r="E8" s="5"/>
      <c r="F8" s="5"/>
      <c r="G8" s="6">
        <v>2935.67</v>
      </c>
      <c r="H8" s="5"/>
      <c r="I8" s="4">
        <v>410</v>
      </c>
    </row>
    <row r="9" spans="1:9" x14ac:dyDescent="0.25">
      <c r="A9" s="3">
        <v>11580</v>
      </c>
      <c r="B9" s="3" t="s">
        <v>13</v>
      </c>
      <c r="C9" s="6">
        <v>-2148.7600000000002</v>
      </c>
      <c r="D9" s="6">
        <v>-4761.37</v>
      </c>
      <c r="E9" s="5"/>
      <c r="F9" s="5"/>
      <c r="G9" s="6">
        <v>2612.61</v>
      </c>
      <c r="H9" s="5"/>
      <c r="I9" s="4">
        <v>385</v>
      </c>
    </row>
    <row r="10" spans="1:9" x14ac:dyDescent="0.25">
      <c r="A10" s="3">
        <v>11809</v>
      </c>
      <c r="B10" s="3" t="s">
        <v>14</v>
      </c>
      <c r="C10" s="6">
        <v>-7691.56</v>
      </c>
      <c r="D10" s="6">
        <v>-10419.870000000001</v>
      </c>
      <c r="E10" s="5"/>
      <c r="F10" s="5"/>
      <c r="G10" s="6">
        <v>2728.31</v>
      </c>
      <c r="H10" s="5"/>
      <c r="I10" s="4">
        <v>382</v>
      </c>
    </row>
    <row r="11" spans="1:9" x14ac:dyDescent="0.25">
      <c r="A11" s="3">
        <v>12104</v>
      </c>
      <c r="B11" s="3" t="s">
        <v>15</v>
      </c>
      <c r="C11" s="6">
        <v>-8582.5499999999993</v>
      </c>
      <c r="D11" s="6">
        <v>-10341.450000000001</v>
      </c>
      <c r="E11" s="5"/>
      <c r="F11" s="5"/>
      <c r="G11" s="6">
        <v>1758.9</v>
      </c>
      <c r="H11" s="5"/>
      <c r="I11" s="4">
        <v>371</v>
      </c>
    </row>
    <row r="12" spans="1:9" x14ac:dyDescent="0.25">
      <c r="A12" s="3">
        <v>13189</v>
      </c>
      <c r="B12" s="3" t="s">
        <v>16</v>
      </c>
      <c r="C12" s="6">
        <v>-3035.26</v>
      </c>
      <c r="D12" s="6">
        <v>-3035.26</v>
      </c>
      <c r="E12" s="5"/>
      <c r="F12" s="5"/>
      <c r="G12" s="5"/>
      <c r="H12" s="5"/>
      <c r="I12" s="4">
        <v>97</v>
      </c>
    </row>
    <row r="13" spans="1:9" x14ac:dyDescent="0.25">
      <c r="A13" s="3">
        <v>14383</v>
      </c>
      <c r="B13" s="3" t="s">
        <v>17</v>
      </c>
      <c r="C13" s="6">
        <v>-8976.18</v>
      </c>
      <c r="D13" s="6">
        <v>-11546.67</v>
      </c>
      <c r="E13" s="5"/>
      <c r="F13" s="5"/>
      <c r="G13" s="6">
        <v>2570.4899999999998</v>
      </c>
      <c r="H13" s="5"/>
      <c r="I13" s="4">
        <v>306</v>
      </c>
    </row>
    <row r="14" spans="1:9" x14ac:dyDescent="0.25">
      <c r="A14" s="3">
        <v>14906</v>
      </c>
      <c r="B14" s="3" t="s">
        <v>18</v>
      </c>
      <c r="C14" s="6">
        <v>4062.18</v>
      </c>
      <c r="D14" s="5"/>
      <c r="E14" s="5"/>
      <c r="F14" s="5"/>
      <c r="G14" s="6">
        <v>4062.18</v>
      </c>
      <c r="H14" s="5"/>
      <c r="I14" s="4">
        <v>279</v>
      </c>
    </row>
    <row r="15" spans="1:9" x14ac:dyDescent="0.25">
      <c r="A15" s="3">
        <v>16210</v>
      </c>
      <c r="B15" s="3" t="s">
        <v>19</v>
      </c>
      <c r="C15" s="4">
        <v>289.41000000000003</v>
      </c>
      <c r="D15" s="6">
        <v>-2501.17</v>
      </c>
      <c r="E15" s="5"/>
      <c r="F15" s="5"/>
      <c r="G15" s="6">
        <v>2790.58</v>
      </c>
      <c r="H15" s="5"/>
      <c r="I15" s="4">
        <v>243</v>
      </c>
    </row>
    <row r="16" spans="1:9" x14ac:dyDescent="0.25">
      <c r="A16" s="3">
        <v>16655</v>
      </c>
      <c r="B16" s="3" t="s">
        <v>20</v>
      </c>
      <c r="C16" s="4">
        <v>509.86</v>
      </c>
      <c r="D16" s="5"/>
      <c r="E16" s="5"/>
      <c r="F16" s="5"/>
      <c r="G16" s="4">
        <v>509.86</v>
      </c>
      <c r="H16" s="5"/>
      <c r="I16" s="4">
        <v>220</v>
      </c>
    </row>
    <row r="17" spans="1:9" x14ac:dyDescent="0.25">
      <c r="A17" s="3">
        <v>16734</v>
      </c>
      <c r="B17" s="3" t="s">
        <v>21</v>
      </c>
      <c r="C17" s="4">
        <v>-705.26</v>
      </c>
      <c r="D17" s="6">
        <v>-3281.34</v>
      </c>
      <c r="E17" s="5"/>
      <c r="F17" s="5"/>
      <c r="G17" s="6">
        <v>2576.08</v>
      </c>
      <c r="H17" s="5"/>
      <c r="I17" s="4">
        <v>222</v>
      </c>
    </row>
    <row r="18" spans="1:9" x14ac:dyDescent="0.25">
      <c r="A18" s="3">
        <v>18357</v>
      </c>
      <c r="B18" s="3" t="s">
        <v>22</v>
      </c>
      <c r="C18" s="6">
        <v>1523.67</v>
      </c>
      <c r="D18" s="5"/>
      <c r="E18" s="5"/>
      <c r="F18" s="5"/>
      <c r="G18" s="6">
        <v>1523.67</v>
      </c>
      <c r="H18" s="5"/>
      <c r="I18" s="4">
        <v>172</v>
      </c>
    </row>
    <row r="19" spans="1:9" x14ac:dyDescent="0.25">
      <c r="A19" s="3">
        <v>20993</v>
      </c>
      <c r="B19" s="3" t="s">
        <v>23</v>
      </c>
      <c r="C19" s="6">
        <v>-3516.49</v>
      </c>
      <c r="D19" s="6">
        <v>-6123.6</v>
      </c>
      <c r="E19" s="5"/>
      <c r="F19" s="5"/>
      <c r="G19" s="6">
        <v>2516.9299999999998</v>
      </c>
      <c r="H19" s="5"/>
      <c r="I19" s="4">
        <v>97</v>
      </c>
    </row>
    <row r="20" spans="1:9" x14ac:dyDescent="0.25">
      <c r="A20" s="3">
        <v>22145</v>
      </c>
      <c r="B20" s="3" t="s">
        <v>24</v>
      </c>
      <c r="C20" s="6">
        <v>-4438.7</v>
      </c>
      <c r="D20" s="6">
        <v>-6626.86</v>
      </c>
      <c r="E20" s="5"/>
      <c r="F20" s="5"/>
      <c r="G20" s="6">
        <v>2188.16</v>
      </c>
      <c r="H20" s="5"/>
      <c r="I20" s="4">
        <v>62</v>
      </c>
    </row>
    <row r="21" spans="1:9" x14ac:dyDescent="0.25">
      <c r="A21" s="3">
        <v>22478</v>
      </c>
      <c r="B21" s="3" t="s">
        <v>25</v>
      </c>
      <c r="C21" s="4">
        <v>248.65</v>
      </c>
      <c r="D21" s="6">
        <v>-1862.81</v>
      </c>
      <c r="E21" s="5"/>
      <c r="F21" s="5"/>
      <c r="G21" s="6">
        <v>2111.46</v>
      </c>
      <c r="H21" s="5"/>
      <c r="I21" s="4">
        <v>35</v>
      </c>
    </row>
    <row r="22" spans="1:9" x14ac:dyDescent="0.25">
      <c r="A22" s="3">
        <v>22564</v>
      </c>
      <c r="B22" s="3" t="s">
        <v>26</v>
      </c>
      <c r="C22" s="6">
        <v>-8204.83</v>
      </c>
      <c r="D22" s="6">
        <v>-10722.95</v>
      </c>
      <c r="E22" s="5"/>
      <c r="F22" s="5"/>
      <c r="G22" s="6">
        <v>2518.12</v>
      </c>
      <c r="H22" s="5"/>
      <c r="I22" s="4">
        <v>35</v>
      </c>
    </row>
    <row r="23" spans="1:9" x14ac:dyDescent="0.25">
      <c r="A23" s="3">
        <v>207147</v>
      </c>
      <c r="B23" s="3" t="s">
        <v>27</v>
      </c>
      <c r="C23" s="6">
        <v>1081.0899999999999</v>
      </c>
      <c r="D23" s="6">
        <v>-1859.83</v>
      </c>
      <c r="E23" s="5"/>
      <c r="F23" s="5"/>
      <c r="G23" s="6">
        <v>2940.92</v>
      </c>
      <c r="H23" s="5"/>
      <c r="I23" s="4">
        <v>416</v>
      </c>
    </row>
    <row r="24" spans="1:9" x14ac:dyDescent="0.25">
      <c r="A24" s="3">
        <v>207347</v>
      </c>
      <c r="B24" s="3" t="s">
        <v>28</v>
      </c>
      <c r="C24" s="6">
        <v>-1065.44</v>
      </c>
      <c r="D24" s="6">
        <v>-3672.2</v>
      </c>
      <c r="E24" s="5"/>
      <c r="F24" s="5"/>
      <c r="G24" s="6">
        <v>2606.7600000000002</v>
      </c>
      <c r="H24" s="5"/>
      <c r="I24" s="4">
        <v>425</v>
      </c>
    </row>
    <row r="25" spans="1:9" x14ac:dyDescent="0.25">
      <c r="A25" s="3">
        <v>207462</v>
      </c>
      <c r="B25" s="3" t="s">
        <v>29</v>
      </c>
      <c r="C25" s="4">
        <v>-298.01</v>
      </c>
      <c r="D25" s="6">
        <v>-3104.45</v>
      </c>
      <c r="E25" s="5"/>
      <c r="F25" s="5"/>
      <c r="G25" s="6">
        <v>2806.44</v>
      </c>
      <c r="H25" s="5"/>
      <c r="I25" s="4">
        <v>425</v>
      </c>
    </row>
    <row r="26" spans="1:9" x14ac:dyDescent="0.25">
      <c r="A26" s="3">
        <v>207573</v>
      </c>
      <c r="B26" s="3" t="s">
        <v>30</v>
      </c>
      <c r="C26" s="4">
        <v>-597.62</v>
      </c>
      <c r="D26" s="6">
        <v>-2703.36</v>
      </c>
      <c r="E26" s="5"/>
      <c r="F26" s="5"/>
      <c r="G26" s="6">
        <v>2105.7399999999998</v>
      </c>
      <c r="H26" s="5"/>
      <c r="I26" s="4">
        <v>425</v>
      </c>
    </row>
    <row r="27" spans="1:9" x14ac:dyDescent="0.25">
      <c r="A27" s="3">
        <v>207580</v>
      </c>
      <c r="B27" s="3" t="s">
        <v>31</v>
      </c>
      <c r="C27" s="6">
        <v>-8993.73</v>
      </c>
      <c r="D27" s="6">
        <v>-11576.7</v>
      </c>
      <c r="E27" s="5"/>
      <c r="F27" s="5"/>
      <c r="G27" s="6">
        <v>2582.9699999999998</v>
      </c>
      <c r="H27" s="5"/>
      <c r="I27" s="4">
        <v>425</v>
      </c>
    </row>
    <row r="28" spans="1:9" x14ac:dyDescent="0.25">
      <c r="A28" s="3">
        <v>215323</v>
      </c>
      <c r="B28" s="3" t="s">
        <v>32</v>
      </c>
      <c r="C28" s="6">
        <v>-3061.02</v>
      </c>
      <c r="D28" s="6">
        <v>-6027.23</v>
      </c>
      <c r="E28" s="5"/>
      <c r="F28" s="5"/>
      <c r="G28" s="6">
        <v>2966.21</v>
      </c>
      <c r="H28" s="5"/>
      <c r="I28" s="4">
        <v>402</v>
      </c>
    </row>
    <row r="29" spans="1:9" x14ac:dyDescent="0.25">
      <c r="A29" s="3">
        <v>217079</v>
      </c>
      <c r="B29" s="3" t="s">
        <v>33</v>
      </c>
      <c r="C29" s="6">
        <v>-1041.17</v>
      </c>
      <c r="D29" s="6">
        <v>-2854.28</v>
      </c>
      <c r="E29" s="5"/>
      <c r="F29" s="5"/>
      <c r="G29" s="6">
        <v>1813.11</v>
      </c>
      <c r="H29" s="5"/>
      <c r="I29" s="4">
        <v>416</v>
      </c>
    </row>
    <row r="30" spans="1:9" x14ac:dyDescent="0.25">
      <c r="A30" s="3">
        <v>242160</v>
      </c>
      <c r="B30" s="3" t="s">
        <v>34</v>
      </c>
      <c r="C30" s="4">
        <v>641.42999999999995</v>
      </c>
      <c r="D30" s="6">
        <v>-1905.53</v>
      </c>
      <c r="E30" s="5"/>
      <c r="F30" s="5"/>
      <c r="G30" s="6">
        <v>2546.96</v>
      </c>
      <c r="H30" s="5"/>
      <c r="I30" s="4">
        <v>425</v>
      </c>
    </row>
    <row r="31" spans="1:9" x14ac:dyDescent="0.25">
      <c r="A31" s="3">
        <v>245770</v>
      </c>
      <c r="B31" s="3" t="s">
        <v>35</v>
      </c>
      <c r="C31" s="6">
        <v>-4150.0600000000004</v>
      </c>
      <c r="D31" s="6">
        <v>-6046.93</v>
      </c>
      <c r="E31" s="5"/>
      <c r="F31" s="5"/>
      <c r="G31" s="6">
        <v>2196.87</v>
      </c>
      <c r="H31" s="5"/>
      <c r="I31" s="4">
        <v>425</v>
      </c>
    </row>
    <row r="32" spans="1:9" x14ac:dyDescent="0.25">
      <c r="A32" s="3">
        <v>259520</v>
      </c>
      <c r="B32" s="3" t="s">
        <v>36</v>
      </c>
      <c r="C32" s="6">
        <v>-8835.06</v>
      </c>
      <c r="D32" s="6">
        <v>-11422.06</v>
      </c>
      <c r="E32" s="5"/>
      <c r="F32" s="5"/>
      <c r="G32" s="6">
        <v>2587</v>
      </c>
      <c r="H32" s="5"/>
      <c r="I32" s="4">
        <v>402</v>
      </c>
    </row>
    <row r="33" spans="1:9" x14ac:dyDescent="0.25">
      <c r="A33" s="3">
        <v>261800</v>
      </c>
      <c r="B33" s="3" t="s">
        <v>37</v>
      </c>
      <c r="C33" s="4">
        <v>792.98</v>
      </c>
      <c r="D33" s="6">
        <v>-1532.33</v>
      </c>
      <c r="E33" s="5"/>
      <c r="F33" s="5"/>
      <c r="G33" s="6">
        <v>2325.31</v>
      </c>
      <c r="H33" s="5"/>
      <c r="I33" s="4">
        <v>425</v>
      </c>
    </row>
    <row r="34" spans="1:9" x14ac:dyDescent="0.25">
      <c r="A34" s="3">
        <v>267623</v>
      </c>
      <c r="B34" s="3" t="s">
        <v>38</v>
      </c>
      <c r="C34" s="4">
        <v>422.22</v>
      </c>
      <c r="D34" s="6">
        <v>-2112.65</v>
      </c>
      <c r="E34" s="5"/>
      <c r="F34" s="5"/>
      <c r="G34" s="6">
        <v>2534.87</v>
      </c>
      <c r="H34" s="5"/>
      <c r="I34" s="4">
        <v>425</v>
      </c>
    </row>
    <row r="35" spans="1:9" x14ac:dyDescent="0.25">
      <c r="A35" s="3">
        <v>271828</v>
      </c>
      <c r="B35" s="3" t="s">
        <v>39</v>
      </c>
      <c r="C35" s="6">
        <v>-2581.7399999999998</v>
      </c>
      <c r="D35" s="6">
        <v>-4906.2700000000004</v>
      </c>
      <c r="E35" s="5"/>
      <c r="F35" s="5"/>
      <c r="G35" s="6">
        <v>2324.5300000000002</v>
      </c>
      <c r="H35" s="5"/>
      <c r="I35" s="4">
        <v>199</v>
      </c>
    </row>
    <row r="36" spans="1:9" x14ac:dyDescent="0.25">
      <c r="A36" s="3">
        <v>277065</v>
      </c>
      <c r="B36" s="3" t="s">
        <v>40</v>
      </c>
      <c r="C36" s="6">
        <v>-1280.06</v>
      </c>
      <c r="D36" s="6">
        <v>-3919.58</v>
      </c>
      <c r="E36" s="5"/>
      <c r="F36" s="5"/>
      <c r="G36" s="6">
        <v>2639.52</v>
      </c>
      <c r="H36" s="5"/>
      <c r="I36" s="4">
        <v>427</v>
      </c>
    </row>
    <row r="37" spans="1:9" x14ac:dyDescent="0.25">
      <c r="A37" s="3">
        <v>283245</v>
      </c>
      <c r="B37" s="3" t="s">
        <v>41</v>
      </c>
      <c r="C37" s="6">
        <v>-2774.61</v>
      </c>
      <c r="D37" s="6">
        <v>-2774.61</v>
      </c>
      <c r="E37" s="5"/>
      <c r="F37" s="5"/>
      <c r="G37" s="5"/>
      <c r="H37" s="5"/>
      <c r="I37" s="4">
        <v>4</v>
      </c>
    </row>
    <row r="38" spans="1:9" x14ac:dyDescent="0.25">
      <c r="A38" s="3">
        <v>284175</v>
      </c>
      <c r="B38" s="3" t="s">
        <v>42</v>
      </c>
      <c r="C38" s="4">
        <v>-865.68</v>
      </c>
      <c r="D38" s="6">
        <v>-3505.72</v>
      </c>
      <c r="E38" s="5"/>
      <c r="F38" s="5"/>
      <c r="G38" s="6">
        <v>2640.04</v>
      </c>
      <c r="H38" s="5"/>
      <c r="I38" s="4">
        <v>425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EFD19-38D8-437C-BAE3-A8B17DD37CA5}">
  <dimension ref="A1:R49"/>
  <sheetViews>
    <sheetView workbookViewId="0"/>
  </sheetViews>
  <sheetFormatPr defaultRowHeight="15" x14ac:dyDescent="0.25"/>
  <cols>
    <col min="1" max="1" width="23" style="95" bestFit="1" customWidth="1"/>
    <col min="2" max="2" width="20.85546875" bestFit="1" customWidth="1"/>
    <col min="3" max="3" width="11.42578125" bestFit="1" customWidth="1"/>
    <col min="4" max="4" width="23.140625" bestFit="1" customWidth="1"/>
    <col min="5" max="5" width="9.28515625" bestFit="1" customWidth="1"/>
    <col min="6" max="6" width="5" bestFit="1" customWidth="1"/>
    <col min="8" max="8" width="10.140625" bestFit="1" customWidth="1"/>
    <col min="9" max="9" width="9.5703125" bestFit="1" customWidth="1"/>
    <col min="10" max="10" width="23.140625" bestFit="1" customWidth="1"/>
    <col min="11" max="11" width="18.42578125" bestFit="1" customWidth="1"/>
    <col min="12" max="12" width="5.7109375" bestFit="1" customWidth="1"/>
    <col min="13" max="13" width="20.140625" bestFit="1" customWidth="1"/>
    <col min="14" max="14" width="13.7109375" bestFit="1" customWidth="1"/>
    <col min="15" max="15" width="11.5703125" bestFit="1" customWidth="1"/>
    <col min="16" max="16" width="24.85546875" bestFit="1" customWidth="1"/>
  </cols>
  <sheetData>
    <row r="1" spans="1:18" x14ac:dyDescent="0.25">
      <c r="A1" s="101" t="s">
        <v>1249</v>
      </c>
      <c r="B1" s="100" t="s">
        <v>30</v>
      </c>
    </row>
    <row r="2" spans="1:18" x14ac:dyDescent="0.25">
      <c r="A2" s="101" t="s">
        <v>1307</v>
      </c>
      <c r="B2" s="100">
        <v>207573</v>
      </c>
    </row>
    <row r="3" spans="1:18" x14ac:dyDescent="0.25">
      <c r="A3" s="101" t="s">
        <v>1305</v>
      </c>
      <c r="B3" s="100">
        <f>VLOOKUP(B2, '90'!A:E, 5, 0)</f>
        <v>23</v>
      </c>
    </row>
    <row r="4" spans="1:18" x14ac:dyDescent="0.25">
      <c r="A4" s="101" t="s">
        <v>1306</v>
      </c>
      <c r="B4" s="100" t="str">
        <f>IFERROR(VLOOKUP(B2, NPS!B:H, 7, 0), 0)</f>
        <v>3P</v>
      </c>
    </row>
    <row r="5" spans="1:18" x14ac:dyDescent="0.25">
      <c r="A5" s="101" t="s">
        <v>1257</v>
      </c>
      <c r="B5" s="100">
        <f>IFERROR(VLOOKUP(B2, NPS!B:H, 3, 0), 0)</f>
        <v>3</v>
      </c>
    </row>
    <row r="6" spans="1:18" x14ac:dyDescent="0.25">
      <c r="A6" s="101" t="s">
        <v>1447</v>
      </c>
      <c r="B6" s="103">
        <f>VLOOKUP(8, 'Look Up Table'!A:B, 2, TRUE)</f>
        <v>0</v>
      </c>
    </row>
    <row r="7" spans="1:18" ht="50.1" customHeight="1" x14ac:dyDescent="0.25">
      <c r="A7" s="102" t="s">
        <v>43</v>
      </c>
      <c r="B7" s="80" t="s">
        <v>1308</v>
      </c>
      <c r="C7" s="80" t="s">
        <v>1309</v>
      </c>
      <c r="D7" s="80" t="s">
        <v>48</v>
      </c>
      <c r="E7" s="80" t="s">
        <v>1310</v>
      </c>
      <c r="F7" s="80" t="s">
        <v>1311</v>
      </c>
      <c r="G7" s="80" t="s">
        <v>1312</v>
      </c>
      <c r="H7" s="80" t="s">
        <v>1313</v>
      </c>
      <c r="I7" s="80" t="s">
        <v>51</v>
      </c>
      <c r="J7" s="80" t="s">
        <v>1314</v>
      </c>
      <c r="K7" s="80" t="s">
        <v>1315</v>
      </c>
      <c r="L7" s="80" t="s">
        <v>54</v>
      </c>
      <c r="M7" s="80" t="s">
        <v>55</v>
      </c>
      <c r="N7" s="80" t="s">
        <v>1316</v>
      </c>
      <c r="O7" s="80" t="s">
        <v>1317</v>
      </c>
      <c r="P7" s="80" t="s">
        <v>1318</v>
      </c>
    </row>
    <row r="8" spans="1:18" x14ac:dyDescent="0.25">
      <c r="A8" s="96">
        <v>45734</v>
      </c>
      <c r="B8" s="93">
        <v>9569</v>
      </c>
      <c r="C8" s="93">
        <v>24001</v>
      </c>
      <c r="D8" s="93" t="s">
        <v>825</v>
      </c>
      <c r="E8" s="93" t="s">
        <v>174</v>
      </c>
      <c r="F8" s="93">
        <v>23</v>
      </c>
      <c r="G8" s="93" t="s">
        <v>1319</v>
      </c>
      <c r="H8" s="93" t="s">
        <v>1398</v>
      </c>
      <c r="I8" s="93" t="s">
        <v>86</v>
      </c>
      <c r="J8" s="107">
        <v>2863.06</v>
      </c>
      <c r="K8" s="107">
        <v>3755.61</v>
      </c>
      <c r="L8" s="93">
        <v>1</v>
      </c>
      <c r="M8" s="107">
        <v>676.01</v>
      </c>
      <c r="N8" s="107">
        <f>IF(M8&lt;=251, VLOOKUP(B3, 'Look Up Table'!I:J, 2, TRUE) * L8, 0)</f>
        <v>0</v>
      </c>
      <c r="O8" s="107">
        <f>IF(N8&gt;0, N8 - M8, 0)</f>
        <v>0</v>
      </c>
      <c r="P8" s="107">
        <f>IF(N8 = 0, K8 * B6, 0)</f>
        <v>0</v>
      </c>
      <c r="Q8" s="93"/>
      <c r="R8" s="93"/>
    </row>
    <row r="9" spans="1:18" x14ac:dyDescent="0.25">
      <c r="A9" s="96">
        <v>45735</v>
      </c>
      <c r="B9" s="93">
        <v>9585</v>
      </c>
      <c r="C9" s="93">
        <v>24015</v>
      </c>
      <c r="D9" s="93" t="s">
        <v>826</v>
      </c>
      <c r="E9" s="93" t="s">
        <v>827</v>
      </c>
      <c r="F9" s="93">
        <v>25</v>
      </c>
      <c r="G9" s="93" t="s">
        <v>1319</v>
      </c>
      <c r="H9" s="93" t="s">
        <v>1344</v>
      </c>
      <c r="I9" s="93" t="s">
        <v>59</v>
      </c>
      <c r="J9" s="107">
        <v>768</v>
      </c>
      <c r="K9" s="107">
        <v>-3005</v>
      </c>
      <c r="L9" s="93">
        <v>1</v>
      </c>
      <c r="M9" s="107">
        <v>200</v>
      </c>
      <c r="N9" s="107">
        <f>IF(M9&lt;=251, VLOOKUP(B3, 'Look Up Table'!I:J, 2, TRUE) * L9, 0)</f>
        <v>350</v>
      </c>
      <c r="O9" s="107">
        <f>IF(N9&gt;0, N9 - M9, 0)</f>
        <v>150</v>
      </c>
      <c r="P9" s="107">
        <f>IF(N9 = 0, K9 * B6, 0)</f>
        <v>0</v>
      </c>
      <c r="Q9" s="93"/>
      <c r="R9" s="93"/>
    </row>
    <row r="10" spans="1:18" x14ac:dyDescent="0.25">
      <c r="A10" s="96">
        <v>45735</v>
      </c>
      <c r="B10" s="93">
        <v>9601</v>
      </c>
      <c r="C10" s="93">
        <v>24033</v>
      </c>
      <c r="D10" s="93" t="s">
        <v>830</v>
      </c>
      <c r="E10" s="93" t="s">
        <v>831</v>
      </c>
      <c r="F10" s="93">
        <v>24</v>
      </c>
      <c r="G10" s="93" t="s">
        <v>1319</v>
      </c>
      <c r="H10" s="93" t="s">
        <v>1354</v>
      </c>
      <c r="I10" s="93" t="s">
        <v>59</v>
      </c>
      <c r="J10" s="107">
        <v>654</v>
      </c>
      <c r="K10" s="107">
        <v>-2028.65</v>
      </c>
      <c r="L10" s="93">
        <v>1</v>
      </c>
      <c r="M10" s="107">
        <v>200</v>
      </c>
      <c r="N10" s="107">
        <f>IF(M10&lt;=251, VLOOKUP(B3, 'Look Up Table'!I:J, 2, TRUE) * L10, 0)</f>
        <v>350</v>
      </c>
      <c r="O10" s="107">
        <f>IF(N10&gt;0, N10 - M10, 0)</f>
        <v>150</v>
      </c>
      <c r="P10" s="107">
        <f>IF(N10 = 0, K10 * B6, 0)</f>
        <v>0</v>
      </c>
      <c r="Q10" s="93"/>
      <c r="R10" s="93"/>
    </row>
    <row r="11" spans="1:18" x14ac:dyDescent="0.25">
      <c r="A11" s="96">
        <v>45742</v>
      </c>
      <c r="B11" s="93">
        <v>9653</v>
      </c>
      <c r="C11" s="93">
        <v>24126</v>
      </c>
      <c r="D11" s="93" t="s">
        <v>360</v>
      </c>
      <c r="E11" s="93" t="s">
        <v>361</v>
      </c>
      <c r="F11" s="93">
        <v>25</v>
      </c>
      <c r="G11" s="93" t="s">
        <v>1321</v>
      </c>
      <c r="H11" s="93" t="s">
        <v>1348</v>
      </c>
      <c r="I11" s="93" t="s">
        <v>59</v>
      </c>
      <c r="J11" s="107">
        <v>425.5</v>
      </c>
      <c r="K11" s="107">
        <v>-2086</v>
      </c>
      <c r="L11" s="93">
        <v>0.5</v>
      </c>
      <c r="M11" s="107">
        <v>100</v>
      </c>
      <c r="N11" s="107">
        <f>IF(M11&lt;=251, VLOOKUP(B3, 'Look Up Table'!I:J, 2, TRUE) * L11, 0)</f>
        <v>175</v>
      </c>
      <c r="O11" s="107">
        <f>IF(N11&gt;0, N11 - M11, 0)</f>
        <v>75</v>
      </c>
      <c r="P11" s="107">
        <f>IF(N11 = 0, K11 * B6, 0)</f>
        <v>0</v>
      </c>
      <c r="Q11" s="93"/>
      <c r="R11" s="93"/>
    </row>
    <row r="12" spans="1:18" x14ac:dyDescent="0.25">
      <c r="A12" s="96">
        <v>45742</v>
      </c>
      <c r="B12" s="93">
        <v>9661</v>
      </c>
      <c r="C12" s="93">
        <v>24144</v>
      </c>
      <c r="D12" s="93" t="s">
        <v>832</v>
      </c>
      <c r="E12" s="93" t="s">
        <v>833</v>
      </c>
      <c r="F12" s="93">
        <v>22</v>
      </c>
      <c r="G12" s="93" t="s">
        <v>1321</v>
      </c>
      <c r="H12" s="93" t="s">
        <v>1349</v>
      </c>
      <c r="I12" s="93" t="s">
        <v>86</v>
      </c>
      <c r="J12" s="107">
        <v>5844</v>
      </c>
      <c r="K12" s="107">
        <v>-71.3</v>
      </c>
      <c r="L12" s="93">
        <v>1</v>
      </c>
      <c r="M12" s="107">
        <v>200</v>
      </c>
      <c r="N12" s="107">
        <f>IF(M12&lt;=251, VLOOKUP(B3, 'Look Up Table'!I:J, 2, TRUE) * L12, 0)</f>
        <v>350</v>
      </c>
      <c r="O12" s="107">
        <f>IF(N12&gt;0, N12 - M12, 0)</f>
        <v>150</v>
      </c>
      <c r="P12" s="107">
        <f>IF(N12 = 0, K12 * B6, 0)</f>
        <v>0</v>
      </c>
      <c r="Q12" s="93"/>
      <c r="R12" s="93"/>
    </row>
    <row r="13" spans="1:18" x14ac:dyDescent="0.25">
      <c r="A13" s="96">
        <v>45743</v>
      </c>
      <c r="B13" s="93">
        <v>9733</v>
      </c>
      <c r="C13" s="93">
        <v>24249</v>
      </c>
      <c r="D13" s="93" t="s">
        <v>837</v>
      </c>
      <c r="E13" s="93" t="s">
        <v>838</v>
      </c>
      <c r="F13" s="93">
        <v>25</v>
      </c>
      <c r="G13" s="93" t="s">
        <v>1319</v>
      </c>
      <c r="H13" s="93" t="s">
        <v>1366</v>
      </c>
      <c r="I13" s="93" t="s">
        <v>59</v>
      </c>
      <c r="J13" s="107">
        <v>1695.07</v>
      </c>
      <c r="K13" s="107">
        <v>-4274</v>
      </c>
      <c r="L13" s="93">
        <v>1</v>
      </c>
      <c r="M13" s="107">
        <v>200</v>
      </c>
      <c r="N13" s="107">
        <f>IF(M13&lt;=251, VLOOKUP(B3, 'Look Up Table'!I:J, 2, TRUE) * L13, 0)</f>
        <v>350</v>
      </c>
      <c r="O13" s="107">
        <f>IF(N13&gt;0, N13 - M13, 0)</f>
        <v>150</v>
      </c>
      <c r="P13" s="107">
        <f>IF(N13 = 0, K13 * B6, 0)</f>
        <v>0</v>
      </c>
      <c r="Q13" s="93"/>
      <c r="R13" s="93"/>
    </row>
    <row r="14" spans="1:18" x14ac:dyDescent="0.25">
      <c r="A14" s="96">
        <v>45744</v>
      </c>
      <c r="B14" s="93">
        <v>9469</v>
      </c>
      <c r="C14" s="93">
        <v>23382</v>
      </c>
      <c r="D14" s="93" t="s">
        <v>421</v>
      </c>
      <c r="E14" s="93" t="s">
        <v>422</v>
      </c>
      <c r="F14" s="93">
        <v>25</v>
      </c>
      <c r="G14" s="93" t="s">
        <v>1319</v>
      </c>
      <c r="H14" s="93" t="s">
        <v>1333</v>
      </c>
      <c r="I14" s="93" t="s">
        <v>59</v>
      </c>
      <c r="J14" s="107">
        <v>4359.5200000000004</v>
      </c>
      <c r="K14" s="107">
        <v>2477</v>
      </c>
      <c r="L14" s="93">
        <v>0.5</v>
      </c>
      <c r="M14" s="107">
        <v>445.86</v>
      </c>
      <c r="N14" s="107">
        <f>IF(M14&lt;=251, VLOOKUP(B3, 'Look Up Table'!I:J, 2, TRUE) * L14, 0)</f>
        <v>0</v>
      </c>
      <c r="O14" s="107">
        <f>IF(N14&gt;0, N14 - M14, 0)</f>
        <v>0</v>
      </c>
      <c r="P14" s="107">
        <f>IF(N14 = 0, K14 * B6, 0)</f>
        <v>0</v>
      </c>
      <c r="Q14" s="93"/>
      <c r="R14" s="93"/>
    </row>
    <row r="15" spans="1:18" x14ac:dyDescent="0.25">
      <c r="A15" s="96">
        <v>45747</v>
      </c>
      <c r="B15" s="93">
        <v>9785</v>
      </c>
      <c r="C15" s="93">
        <v>24299</v>
      </c>
      <c r="D15" s="93" t="s">
        <v>839</v>
      </c>
      <c r="E15" s="93" t="s">
        <v>840</v>
      </c>
      <c r="F15" s="93">
        <v>25</v>
      </c>
      <c r="G15" s="93" t="s">
        <v>1321</v>
      </c>
      <c r="H15" s="93" t="s">
        <v>1346</v>
      </c>
      <c r="I15" s="93" t="s">
        <v>59</v>
      </c>
      <c r="J15" s="107">
        <v>1431.9</v>
      </c>
      <c r="K15" s="107">
        <v>4598</v>
      </c>
      <c r="L15" s="93">
        <v>1</v>
      </c>
      <c r="M15" s="107">
        <v>827.64</v>
      </c>
      <c r="N15" s="107">
        <f>IF(M15&lt;=251, VLOOKUP(B3, 'Look Up Table'!I:J, 2, TRUE) * L15, 0)</f>
        <v>0</v>
      </c>
      <c r="O15" s="107">
        <f>IF(N15&gt;0, N15 - M15, 0)</f>
        <v>0</v>
      </c>
      <c r="P15" s="107">
        <f>IF(N15 = 0, K15 * B6, 0)</f>
        <v>0</v>
      </c>
      <c r="Q15" s="93"/>
      <c r="R15" s="93"/>
    </row>
    <row r="16" spans="1:18" x14ac:dyDescent="0.25">
      <c r="A16" s="96">
        <v>45747</v>
      </c>
      <c r="B16" s="93">
        <v>9981</v>
      </c>
      <c r="C16" s="93">
        <v>24537</v>
      </c>
      <c r="D16" s="93" t="s">
        <v>843</v>
      </c>
      <c r="E16" s="93" t="s">
        <v>844</v>
      </c>
      <c r="F16" s="93">
        <v>25</v>
      </c>
      <c r="G16" s="93" t="s">
        <v>1321</v>
      </c>
      <c r="H16" s="93" t="s">
        <v>1328</v>
      </c>
      <c r="I16" s="93" t="s">
        <v>59</v>
      </c>
      <c r="J16" s="107">
        <v>824</v>
      </c>
      <c r="K16" s="107">
        <v>1665.06</v>
      </c>
      <c r="L16" s="93">
        <v>1</v>
      </c>
      <c r="M16" s="107">
        <v>299.70999999999998</v>
      </c>
      <c r="N16" s="107">
        <f>IF(M16&lt;=251, VLOOKUP(B3, 'Look Up Table'!I:J, 2, TRUE) * L16, 0)</f>
        <v>0</v>
      </c>
      <c r="O16" s="107">
        <f>IF(N16&gt;0, N16 - M16, 0)</f>
        <v>0</v>
      </c>
      <c r="P16" s="107">
        <f>IF(N16 = 0, K16 * B6, 0)</f>
        <v>0</v>
      </c>
      <c r="Q16" s="93"/>
      <c r="R16" s="93"/>
    </row>
    <row r="17" spans="1:18" x14ac:dyDescent="0.25">
      <c r="A17" s="104"/>
      <c r="B17" s="105"/>
      <c r="C17" s="105"/>
      <c r="D17" s="105"/>
      <c r="E17" s="105"/>
      <c r="F17" s="105"/>
      <c r="G17" s="105"/>
      <c r="H17" s="105"/>
      <c r="I17" s="105"/>
      <c r="J17" s="108">
        <f>SUM(J8:J16)</f>
        <v>18865.050000000003</v>
      </c>
      <c r="K17" s="108">
        <f>SUM(K8:K16)</f>
        <v>1030.7199999999998</v>
      </c>
      <c r="L17" s="105">
        <f>SUM(L8:L16)</f>
        <v>8</v>
      </c>
      <c r="M17" s="108">
        <f>SUM(M8:M16)</f>
        <v>3149.22</v>
      </c>
      <c r="N17" s="108">
        <f>SUM(N8:N16)</f>
        <v>1575</v>
      </c>
      <c r="O17" s="108">
        <f>SUM(O8:O16)</f>
        <v>675</v>
      </c>
      <c r="P17" s="108">
        <f>SUM(P8:P16)</f>
        <v>0</v>
      </c>
      <c r="Q17" s="93"/>
      <c r="R17" s="93"/>
    </row>
    <row r="19" spans="1:18" x14ac:dyDescent="0.25">
      <c r="J19" s="99" t="s">
        <v>1451</v>
      </c>
      <c r="M19" s="106">
        <f>-VLOOKUP(B2, '3213'!A:G, 7, 0)</f>
        <v>-2105.7399999999998</v>
      </c>
    </row>
    <row r="20" spans="1:18" x14ac:dyDescent="0.25">
      <c r="J20" s="99"/>
      <c r="M20" s="106"/>
    </row>
    <row r="21" spans="1:18" x14ac:dyDescent="0.25">
      <c r="J21" s="99" t="s">
        <v>1264</v>
      </c>
      <c r="K21" s="92">
        <v>0.18</v>
      </c>
      <c r="M21" s="106">
        <f>M17</f>
        <v>3149.22</v>
      </c>
    </row>
    <row r="22" spans="1:18" x14ac:dyDescent="0.25">
      <c r="J22" s="99"/>
      <c r="M22" s="106"/>
    </row>
    <row r="23" spans="1:18" x14ac:dyDescent="0.25">
      <c r="A23" s="110"/>
      <c r="B23" s="109"/>
      <c r="C23" s="109"/>
      <c r="D23" t="s">
        <v>1448</v>
      </c>
      <c r="J23" s="99" t="s">
        <v>1265</v>
      </c>
      <c r="K23" s="92">
        <f>B6</f>
        <v>0</v>
      </c>
      <c r="M23" s="106">
        <f>P17</f>
        <v>0</v>
      </c>
    </row>
    <row r="24" spans="1:18" x14ac:dyDescent="0.25">
      <c r="J24" s="99"/>
      <c r="M24" s="106"/>
    </row>
    <row r="25" spans="1:18" x14ac:dyDescent="0.25">
      <c r="J25" s="99" t="s">
        <v>1452</v>
      </c>
      <c r="M25" s="106">
        <f>O17</f>
        <v>675</v>
      </c>
    </row>
    <row r="26" spans="1:18" x14ac:dyDescent="0.25">
      <c r="J26" s="99"/>
      <c r="M26" s="106"/>
    </row>
    <row r="27" spans="1:18" x14ac:dyDescent="0.25">
      <c r="J27" s="99" t="s">
        <v>1453</v>
      </c>
      <c r="M27" s="106">
        <f>SUM(P17, O17)</f>
        <v>675</v>
      </c>
    </row>
    <row r="28" spans="1:18" x14ac:dyDescent="0.25">
      <c r="J28" s="99"/>
      <c r="M28" s="106"/>
    </row>
    <row r="29" spans="1:18" x14ac:dyDescent="0.25">
      <c r="A29" s="110"/>
      <c r="B29" s="109"/>
      <c r="C29" s="109"/>
      <c r="D29" t="s">
        <v>1449</v>
      </c>
      <c r="J29" s="99" t="s">
        <v>1454</v>
      </c>
      <c r="M29" s="106">
        <f>J17</f>
        <v>18865.050000000003</v>
      </c>
    </row>
    <row r="30" spans="1:18" x14ac:dyDescent="0.25">
      <c r="J30" s="99"/>
      <c r="M30" s="106"/>
    </row>
    <row r="31" spans="1:18" x14ac:dyDescent="0.25">
      <c r="J31" s="99" t="s">
        <v>1455</v>
      </c>
      <c r="K31" s="92">
        <v>-0.25</v>
      </c>
      <c r="M31" s="106">
        <f>K31 * M29</f>
        <v>-4716.2625000000007</v>
      </c>
    </row>
    <row r="32" spans="1:18" x14ac:dyDescent="0.25">
      <c r="J32" s="99"/>
      <c r="M32" s="106"/>
    </row>
    <row r="33" spans="10:15" x14ac:dyDescent="0.25">
      <c r="J33" s="99" t="s">
        <v>1456</v>
      </c>
      <c r="M33" s="106">
        <f>M29 + M31</f>
        <v>14148.787500000002</v>
      </c>
    </row>
    <row r="34" spans="10:15" x14ac:dyDescent="0.25">
      <c r="J34" s="99"/>
      <c r="M34" s="106"/>
    </row>
    <row r="35" spans="10:15" x14ac:dyDescent="0.25">
      <c r="J35" s="99" t="s">
        <v>1457</v>
      </c>
      <c r="K35" s="92">
        <v>0.05</v>
      </c>
      <c r="M35" s="106">
        <f>K35 * M33</f>
        <v>707.43937500000015</v>
      </c>
    </row>
    <row r="36" spans="10:15" x14ac:dyDescent="0.25">
      <c r="J36" s="99"/>
      <c r="M36" s="106"/>
    </row>
    <row r="37" spans="10:15" x14ac:dyDescent="0.25">
      <c r="J37" s="99" t="s">
        <v>1458</v>
      </c>
      <c r="K37" t="str">
        <f>VLOOKUP(B2,'Pay Summary'!A:D,4,0)</f>
        <v/>
      </c>
      <c r="M37" s="106">
        <f>IF(K37 = 1, 500, 0)</f>
        <v>0</v>
      </c>
    </row>
    <row r="38" spans="10:15" x14ac:dyDescent="0.25">
      <c r="J38" s="99"/>
      <c r="M38" s="106"/>
    </row>
    <row r="39" spans="10:15" x14ac:dyDescent="0.25">
      <c r="J39" s="99" t="s">
        <v>1450</v>
      </c>
      <c r="K39">
        <f>L17</f>
        <v>8</v>
      </c>
      <c r="M39" s="106">
        <f>VLOOKUP(K39, 'Look Up Table'!E:F, 2, TRUE)</f>
        <v>0</v>
      </c>
    </row>
    <row r="40" spans="10:15" x14ac:dyDescent="0.25">
      <c r="J40" s="99"/>
      <c r="M40" s="106"/>
    </row>
    <row r="41" spans="10:15" x14ac:dyDescent="0.25">
      <c r="J41" s="99" t="s">
        <v>1306</v>
      </c>
      <c r="K41" s="111" t="str">
        <f>B4</f>
        <v>3P</v>
      </c>
      <c r="M41" s="106">
        <f>IF(B5&gt;=3,IF(B4="3P",L17*50,IF(B4="A",0,IF(B4="B",L17*-50))),0)</f>
        <v>400</v>
      </c>
      <c r="N41" s="99" t="s">
        <v>1463</v>
      </c>
      <c r="O41" s="112">
        <f>'NPS Sheet'!X51</f>
        <v>0.91700000000000004</v>
      </c>
    </row>
    <row r="42" spans="10:15" x14ac:dyDescent="0.25">
      <c r="J42" s="99"/>
      <c r="M42" s="106"/>
    </row>
    <row r="43" spans="10:15" x14ac:dyDescent="0.25">
      <c r="J43" s="99" t="s">
        <v>1459</v>
      </c>
      <c r="M43" s="106">
        <f>SUM(M39, M41, M37)</f>
        <v>400</v>
      </c>
    </row>
    <row r="44" spans="10:15" x14ac:dyDescent="0.25">
      <c r="J44" s="99"/>
      <c r="M44" s="106"/>
    </row>
    <row r="45" spans="10:15" x14ac:dyDescent="0.25">
      <c r="J45" s="99" t="s">
        <v>1460</v>
      </c>
      <c r="M45" s="106">
        <f>IFERROR(VLOOKUP(B2,SPIFFS!A:H,8,0),0)</f>
        <v>0</v>
      </c>
    </row>
    <row r="46" spans="10:15" x14ac:dyDescent="0.25">
      <c r="J46" s="99"/>
      <c r="M46" s="106"/>
    </row>
    <row r="47" spans="10:15" x14ac:dyDescent="0.25">
      <c r="J47" s="99" t="s">
        <v>1461</v>
      </c>
      <c r="M47" s="106">
        <f>SUM(M21, M27, M35, M43, M19, M45)</f>
        <v>2825.9193750000004</v>
      </c>
    </row>
    <row r="48" spans="10:15" x14ac:dyDescent="0.25">
      <c r="J48" s="99"/>
      <c r="M48" s="106"/>
    </row>
    <row r="49" spans="10:13" x14ac:dyDescent="0.25">
      <c r="J49" s="99" t="s">
        <v>1462</v>
      </c>
      <c r="M49" s="106">
        <f>IF(M47&lt;0, SUM(M19, M43, M35, M27), 0)</f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CF76D-0567-43C5-9F90-CFAFD76051BF}">
  <dimension ref="A1:R58"/>
  <sheetViews>
    <sheetView workbookViewId="0"/>
  </sheetViews>
  <sheetFormatPr defaultRowHeight="15" x14ac:dyDescent="0.25"/>
  <cols>
    <col min="1" max="1" width="23" style="95" bestFit="1" customWidth="1"/>
    <col min="2" max="2" width="15.85546875" bestFit="1" customWidth="1"/>
    <col min="3" max="3" width="11.42578125" bestFit="1" customWidth="1"/>
    <col min="4" max="4" width="26.42578125" bestFit="1" customWidth="1"/>
    <col min="5" max="5" width="10.140625" bestFit="1" customWidth="1"/>
    <col min="6" max="6" width="5" bestFit="1" customWidth="1"/>
    <col min="7" max="8" width="17.42578125" bestFit="1" customWidth="1"/>
    <col min="9" max="9" width="9.5703125" bestFit="1" customWidth="1"/>
    <col min="10" max="10" width="23.140625" bestFit="1" customWidth="1"/>
    <col min="11" max="11" width="18.42578125" bestFit="1" customWidth="1"/>
    <col min="12" max="12" width="5.7109375" bestFit="1" customWidth="1"/>
    <col min="13" max="13" width="20.140625" bestFit="1" customWidth="1"/>
    <col min="14" max="14" width="13.7109375" bestFit="1" customWidth="1"/>
    <col min="15" max="15" width="11.5703125" bestFit="1" customWidth="1"/>
    <col min="16" max="16" width="24.85546875" bestFit="1" customWidth="1"/>
  </cols>
  <sheetData>
    <row r="1" spans="1:18" x14ac:dyDescent="0.25">
      <c r="A1" s="101" t="s">
        <v>1249</v>
      </c>
      <c r="B1" s="100" t="s">
        <v>31</v>
      </c>
    </row>
    <row r="2" spans="1:18" x14ac:dyDescent="0.25">
      <c r="A2" s="101" t="s">
        <v>1307</v>
      </c>
      <c r="B2" s="100">
        <v>207580</v>
      </c>
    </row>
    <row r="3" spans="1:18" x14ac:dyDescent="0.25">
      <c r="A3" s="101" t="s">
        <v>1305</v>
      </c>
      <c r="B3" s="100">
        <f>VLOOKUP(B2, '90'!A:E, 5, 0)</f>
        <v>23</v>
      </c>
    </row>
    <row r="4" spans="1:18" x14ac:dyDescent="0.25">
      <c r="A4" s="101" t="s">
        <v>1306</v>
      </c>
      <c r="B4" s="100" t="str">
        <f>IFERROR(VLOOKUP(B2, NPS!B:H, 7, 0), 0)</f>
        <v>3P</v>
      </c>
    </row>
    <row r="5" spans="1:18" x14ac:dyDescent="0.25">
      <c r="A5" s="101" t="s">
        <v>1257</v>
      </c>
      <c r="B5" s="100">
        <f>IFERROR(VLOOKUP(B2, NPS!B:H, 3, 0), 0)</f>
        <v>3</v>
      </c>
    </row>
    <row r="6" spans="1:18" x14ac:dyDescent="0.25">
      <c r="A6" s="101" t="s">
        <v>1447</v>
      </c>
      <c r="B6" s="103">
        <f>VLOOKUP(16, 'Look Up Table'!A:B, 2, TRUE)</f>
        <v>7.0000000000000007E-2</v>
      </c>
    </row>
    <row r="7" spans="1:18" ht="50.1" customHeight="1" x14ac:dyDescent="0.25">
      <c r="A7" s="102" t="s">
        <v>43</v>
      </c>
      <c r="B7" s="80" t="s">
        <v>1308</v>
      </c>
      <c r="C7" s="80" t="s">
        <v>1309</v>
      </c>
      <c r="D7" s="80" t="s">
        <v>48</v>
      </c>
      <c r="E7" s="80" t="s">
        <v>1310</v>
      </c>
      <c r="F7" s="80" t="s">
        <v>1311</v>
      </c>
      <c r="G7" s="80" t="s">
        <v>1312</v>
      </c>
      <c r="H7" s="80" t="s">
        <v>1313</v>
      </c>
      <c r="I7" s="80" t="s">
        <v>51</v>
      </c>
      <c r="J7" s="80" t="s">
        <v>1314</v>
      </c>
      <c r="K7" s="80" t="s">
        <v>1315</v>
      </c>
      <c r="L7" s="80" t="s">
        <v>54</v>
      </c>
      <c r="M7" s="80" t="s">
        <v>55</v>
      </c>
      <c r="N7" s="80" t="s">
        <v>1316</v>
      </c>
      <c r="O7" s="80" t="s">
        <v>1317</v>
      </c>
      <c r="P7" s="80" t="s">
        <v>1318</v>
      </c>
    </row>
    <row r="8" spans="1:18" x14ac:dyDescent="0.25">
      <c r="A8" s="96">
        <v>45727</v>
      </c>
      <c r="B8" s="93">
        <v>9464</v>
      </c>
      <c r="C8" s="93">
        <v>23811</v>
      </c>
      <c r="D8" s="93" t="s">
        <v>251</v>
      </c>
      <c r="E8" s="93" t="s">
        <v>252</v>
      </c>
      <c r="F8" s="93">
        <v>25</v>
      </c>
      <c r="G8" s="93" t="s">
        <v>1319</v>
      </c>
      <c r="H8" s="93" t="s">
        <v>1353</v>
      </c>
      <c r="I8" s="93" t="s">
        <v>59</v>
      </c>
      <c r="J8" s="107">
        <v>0</v>
      </c>
      <c r="K8" s="107">
        <v>1573.35</v>
      </c>
      <c r="L8" s="93">
        <v>0.5</v>
      </c>
      <c r="M8" s="107">
        <v>283.20999999999998</v>
      </c>
      <c r="N8" s="107">
        <f>IF(M8&lt;=251, VLOOKUP(B3, 'Look Up Table'!I:J, 2, TRUE) * L8, 0)</f>
        <v>0</v>
      </c>
      <c r="O8" s="107">
        <f>IF(N8&gt;0, N8 - M8, 0)</f>
        <v>0</v>
      </c>
      <c r="P8" s="107">
        <f>IF(N8 = 0, K8 * B6, 0)</f>
        <v>110.1345</v>
      </c>
      <c r="Q8" s="93"/>
      <c r="R8" s="93"/>
    </row>
    <row r="9" spans="1:18" x14ac:dyDescent="0.25">
      <c r="A9" s="96">
        <v>45734</v>
      </c>
      <c r="B9" s="93">
        <v>9494</v>
      </c>
      <c r="C9" s="93">
        <v>274672</v>
      </c>
      <c r="D9" s="93" t="s">
        <v>847</v>
      </c>
      <c r="E9" s="93" t="s">
        <v>848</v>
      </c>
      <c r="F9" s="93">
        <v>25</v>
      </c>
      <c r="G9" s="93" t="s">
        <v>1321</v>
      </c>
      <c r="H9" s="93" t="s">
        <v>1328</v>
      </c>
      <c r="I9" s="93" t="s">
        <v>59</v>
      </c>
      <c r="J9" s="107">
        <v>2130.84</v>
      </c>
      <c r="K9" s="107">
        <v>9528.26</v>
      </c>
      <c r="L9" s="93">
        <v>1</v>
      </c>
      <c r="M9" s="107">
        <v>1715.09</v>
      </c>
      <c r="N9" s="107">
        <f>IF(M9&lt;=251, VLOOKUP(B3, 'Look Up Table'!I:J, 2, TRUE) * L9, 0)</f>
        <v>0</v>
      </c>
      <c r="O9" s="107">
        <f>IF(N9&gt;0, N9 - M9, 0)</f>
        <v>0</v>
      </c>
      <c r="P9" s="107">
        <f>IF(N9 = 0, K9 * B6, 0)</f>
        <v>666.97820000000013</v>
      </c>
      <c r="Q9" s="93"/>
      <c r="R9" s="93"/>
    </row>
    <row r="10" spans="1:18" x14ac:dyDescent="0.25">
      <c r="A10" s="96">
        <v>45735</v>
      </c>
      <c r="B10" s="93">
        <v>9602</v>
      </c>
      <c r="C10" s="93">
        <v>24034</v>
      </c>
      <c r="D10" s="93" t="s">
        <v>853</v>
      </c>
      <c r="E10" s="93" t="s">
        <v>854</v>
      </c>
      <c r="F10" s="93">
        <v>25</v>
      </c>
      <c r="G10" s="93" t="s">
        <v>1321</v>
      </c>
      <c r="H10" s="93" t="s">
        <v>1368</v>
      </c>
      <c r="I10" s="93" t="s">
        <v>59</v>
      </c>
      <c r="J10" s="107">
        <v>4594.6000000000004</v>
      </c>
      <c r="K10" s="107">
        <v>10695.06</v>
      </c>
      <c r="L10" s="93">
        <v>1</v>
      </c>
      <c r="M10" s="107">
        <v>1925.11</v>
      </c>
      <c r="N10" s="107">
        <f>IF(M10&lt;=251, VLOOKUP(B3, 'Look Up Table'!I:J, 2, TRUE) * L10, 0)</f>
        <v>0</v>
      </c>
      <c r="O10" s="107">
        <f>IF(N10&gt;0, N10 - M10, 0)</f>
        <v>0</v>
      </c>
      <c r="P10" s="107">
        <f>IF(N10 = 0, K10 * B6, 0)</f>
        <v>748.65420000000006</v>
      </c>
      <c r="Q10" s="93"/>
      <c r="R10" s="93"/>
    </row>
    <row r="11" spans="1:18" x14ac:dyDescent="0.25">
      <c r="A11" s="96">
        <v>45735</v>
      </c>
      <c r="B11" s="93">
        <v>9506</v>
      </c>
      <c r="C11" s="93">
        <v>23890</v>
      </c>
      <c r="D11" s="93" t="s">
        <v>857</v>
      </c>
      <c r="E11" s="93" t="s">
        <v>858</v>
      </c>
      <c r="F11" s="93">
        <v>25</v>
      </c>
      <c r="G11" s="93" t="s">
        <v>1321</v>
      </c>
      <c r="H11" s="93" t="s">
        <v>1348</v>
      </c>
      <c r="I11" s="93" t="s">
        <v>59</v>
      </c>
      <c r="J11" s="107">
        <v>2076.69</v>
      </c>
      <c r="K11" s="107">
        <v>-4340</v>
      </c>
      <c r="L11" s="93">
        <v>1</v>
      </c>
      <c r="M11" s="107">
        <v>200</v>
      </c>
      <c r="N11" s="107">
        <f>IF(M11&lt;=251, VLOOKUP(B3, 'Look Up Table'!I:J, 2, TRUE) * L11, 0)</f>
        <v>350</v>
      </c>
      <c r="O11" s="107">
        <f>IF(N11&gt;0, N11 - M11, 0)</f>
        <v>150</v>
      </c>
      <c r="P11" s="107">
        <f>IF(N11 = 0, K11 * B6, 0)</f>
        <v>0</v>
      </c>
      <c r="Q11" s="93"/>
      <c r="R11" s="93"/>
    </row>
    <row r="12" spans="1:18" x14ac:dyDescent="0.25">
      <c r="A12" s="96">
        <v>45736</v>
      </c>
      <c r="B12" s="93">
        <v>9582</v>
      </c>
      <c r="C12" s="93">
        <v>24012</v>
      </c>
      <c r="D12" s="93" t="s">
        <v>859</v>
      </c>
      <c r="E12" s="97" t="s">
        <v>860</v>
      </c>
      <c r="F12" s="93">
        <v>25</v>
      </c>
      <c r="G12" s="93" t="s">
        <v>1319</v>
      </c>
      <c r="H12" s="93" t="s">
        <v>1332</v>
      </c>
      <c r="I12" s="93" t="s">
        <v>59</v>
      </c>
      <c r="J12" s="107">
        <v>368</v>
      </c>
      <c r="K12" s="107">
        <v>3410</v>
      </c>
      <c r="L12" s="93">
        <v>1</v>
      </c>
      <c r="M12" s="107">
        <v>613.79999999999995</v>
      </c>
      <c r="N12" s="107">
        <f>IF(M12&lt;=251, VLOOKUP(B3, 'Look Up Table'!I:J, 2, TRUE) * L12, 0)</f>
        <v>0</v>
      </c>
      <c r="O12" s="107">
        <f>IF(N12&gt;0, N12 - M12, 0)</f>
        <v>0</v>
      </c>
      <c r="P12" s="107">
        <f>IF(N12 = 0, K12 * B6, 0)</f>
        <v>238.70000000000002</v>
      </c>
      <c r="Q12" s="93"/>
      <c r="R12" s="93"/>
    </row>
    <row r="13" spans="1:18" x14ac:dyDescent="0.25">
      <c r="A13" s="96">
        <v>45741</v>
      </c>
      <c r="B13" s="93" t="s">
        <v>863</v>
      </c>
      <c r="C13" s="93">
        <v>23000</v>
      </c>
      <c r="D13" s="93" t="s">
        <v>851</v>
      </c>
      <c r="E13" s="93" t="s">
        <v>852</v>
      </c>
      <c r="F13" s="93">
        <v>25</v>
      </c>
      <c r="G13" s="93" t="s">
        <v>1321</v>
      </c>
      <c r="H13" s="93" t="s">
        <v>1358</v>
      </c>
      <c r="I13" s="93" t="s">
        <v>59</v>
      </c>
      <c r="J13" s="107">
        <v>1682.41</v>
      </c>
      <c r="K13" s="107">
        <v>1287.5</v>
      </c>
      <c r="L13" s="93">
        <v>0.5</v>
      </c>
      <c r="M13" s="107">
        <v>231.75</v>
      </c>
      <c r="N13" s="107">
        <f>IF(M13&lt;=251, VLOOKUP(B3, 'Look Up Table'!I:J, 2, TRUE) * L13, 0)</f>
        <v>175</v>
      </c>
      <c r="O13" s="107">
        <f>IF(N13&gt;0, N13 - M13, 0)</f>
        <v>-56.75</v>
      </c>
      <c r="P13" s="107">
        <f>IF(N13 = 0, K13 * B6, 0)</f>
        <v>0</v>
      </c>
      <c r="Q13" s="93"/>
      <c r="R13" s="93"/>
    </row>
    <row r="14" spans="1:18" x14ac:dyDescent="0.25">
      <c r="A14" s="96">
        <v>45743</v>
      </c>
      <c r="B14" s="93">
        <v>9676</v>
      </c>
      <c r="C14" s="93">
        <v>24182</v>
      </c>
      <c r="D14" s="93" t="s">
        <v>230</v>
      </c>
      <c r="E14" s="93" t="s">
        <v>231</v>
      </c>
      <c r="F14" s="93">
        <v>23</v>
      </c>
      <c r="G14" s="93" t="s">
        <v>1319</v>
      </c>
      <c r="H14" s="93" t="s">
        <v>1351</v>
      </c>
      <c r="I14" s="93" t="s">
        <v>86</v>
      </c>
      <c r="J14" s="107">
        <v>2222.2600000000002</v>
      </c>
      <c r="K14" s="107">
        <v>-2472.16</v>
      </c>
      <c r="L14" s="93">
        <v>0.5</v>
      </c>
      <c r="M14" s="107">
        <v>100</v>
      </c>
      <c r="N14" s="107">
        <f>IF(M14&lt;=251, VLOOKUP(B3, 'Look Up Table'!I:J, 2, TRUE) * L14, 0)</f>
        <v>175</v>
      </c>
      <c r="O14" s="107">
        <f>IF(N14&gt;0, N14 - M14, 0)</f>
        <v>75</v>
      </c>
      <c r="P14" s="107">
        <f>IF(N14 = 0, K14 * B6, 0)</f>
        <v>0</v>
      </c>
      <c r="Q14" s="93"/>
      <c r="R14" s="93"/>
    </row>
    <row r="15" spans="1:18" x14ac:dyDescent="0.25">
      <c r="A15" s="96">
        <v>45744</v>
      </c>
      <c r="B15" s="93">
        <v>9755</v>
      </c>
      <c r="C15" s="93">
        <v>279004</v>
      </c>
      <c r="D15" s="93" t="s">
        <v>867</v>
      </c>
      <c r="E15" s="93" t="s">
        <v>868</v>
      </c>
      <c r="F15" s="93">
        <v>25</v>
      </c>
      <c r="G15" s="93" t="s">
        <v>1321</v>
      </c>
      <c r="H15" s="93" t="s">
        <v>1346</v>
      </c>
      <c r="I15" s="93" t="s">
        <v>59</v>
      </c>
      <c r="J15" s="107">
        <v>3527.45</v>
      </c>
      <c r="K15" s="107">
        <v>2090</v>
      </c>
      <c r="L15" s="93">
        <v>0.5</v>
      </c>
      <c r="M15" s="107">
        <v>376.2</v>
      </c>
      <c r="N15" s="107">
        <f>IF(M15&lt;=251, VLOOKUP(B3, 'Look Up Table'!I:J, 2, TRUE) * L15, 0)</f>
        <v>0</v>
      </c>
      <c r="O15" s="107">
        <f>IF(N15&gt;0, N15 - M15, 0)</f>
        <v>0</v>
      </c>
      <c r="P15" s="107">
        <f>IF(N15 = 0, K15 * B6, 0)</f>
        <v>146.30000000000001</v>
      </c>
      <c r="Q15" s="93"/>
      <c r="R15" s="93"/>
    </row>
    <row r="16" spans="1:18" x14ac:dyDescent="0.25">
      <c r="A16" s="96">
        <v>45747</v>
      </c>
      <c r="B16" s="93">
        <v>7874</v>
      </c>
      <c r="C16" s="93">
        <v>21555</v>
      </c>
      <c r="D16" s="93" t="s">
        <v>870</v>
      </c>
      <c r="E16" s="93" t="s">
        <v>871</v>
      </c>
      <c r="F16" s="93">
        <v>25</v>
      </c>
      <c r="G16" s="93" t="s">
        <v>1329</v>
      </c>
      <c r="H16" s="93" t="s">
        <v>1359</v>
      </c>
      <c r="I16" s="93" t="s">
        <v>59</v>
      </c>
      <c r="J16" s="107">
        <v>958.11</v>
      </c>
      <c r="K16" s="107">
        <v>1380.5</v>
      </c>
      <c r="L16" s="93">
        <v>1</v>
      </c>
      <c r="M16" s="107">
        <v>248.49</v>
      </c>
      <c r="N16" s="107">
        <f>IF(M16&lt;=251, VLOOKUP(B3, 'Look Up Table'!I:J, 2, TRUE) * L16, 0)</f>
        <v>350</v>
      </c>
      <c r="O16" s="107">
        <f>IF(N16&gt;0, N16 - M16, 0)</f>
        <v>101.50999999999999</v>
      </c>
      <c r="P16" s="107">
        <f>IF(N16 = 0, K16 * B6, 0)</f>
        <v>0</v>
      </c>
      <c r="Q16" s="93"/>
      <c r="R16" s="93"/>
    </row>
    <row r="17" spans="1:18" x14ac:dyDescent="0.25">
      <c r="A17" s="96">
        <v>45747</v>
      </c>
      <c r="B17" s="93" t="s">
        <v>872</v>
      </c>
      <c r="C17" s="93">
        <v>23828</v>
      </c>
      <c r="D17" s="93" t="s">
        <v>845</v>
      </c>
      <c r="E17" s="93" t="s">
        <v>846</v>
      </c>
      <c r="F17" s="93">
        <v>25</v>
      </c>
      <c r="G17" s="93" t="s">
        <v>1329</v>
      </c>
      <c r="H17" s="93" t="s">
        <v>1330</v>
      </c>
      <c r="I17" s="93" t="s">
        <v>59</v>
      </c>
      <c r="J17" s="107">
        <v>5084.7299999999996</v>
      </c>
      <c r="K17" s="107">
        <v>2790</v>
      </c>
      <c r="L17" s="93">
        <v>1</v>
      </c>
      <c r="M17" s="107">
        <v>502.2</v>
      </c>
      <c r="N17" s="107">
        <f>IF(M17&lt;=251, VLOOKUP(B3, 'Look Up Table'!I:J, 2, TRUE) * L17, 0)</f>
        <v>0</v>
      </c>
      <c r="O17" s="107">
        <f>IF(N17&gt;0, N17 - M17, 0)</f>
        <v>0</v>
      </c>
      <c r="P17" s="107">
        <f>IF(N17 = 0, K17 * B6, 0)</f>
        <v>195.3</v>
      </c>
      <c r="Q17" s="93"/>
      <c r="R17" s="93"/>
    </row>
    <row r="18" spans="1:18" x14ac:dyDescent="0.25">
      <c r="A18" s="96">
        <v>45747</v>
      </c>
      <c r="B18" s="93" t="s">
        <v>874</v>
      </c>
      <c r="C18" s="93">
        <v>24266</v>
      </c>
      <c r="D18" s="93" t="s">
        <v>864</v>
      </c>
      <c r="E18" s="93" t="s">
        <v>865</v>
      </c>
      <c r="F18" s="93">
        <v>23</v>
      </c>
      <c r="G18" s="93" t="s">
        <v>1329</v>
      </c>
      <c r="H18" s="93" t="s">
        <v>1387</v>
      </c>
      <c r="I18" s="93" t="s">
        <v>86</v>
      </c>
      <c r="J18" s="107">
        <v>1774.31</v>
      </c>
      <c r="K18" s="107">
        <v>-227.45</v>
      </c>
      <c r="L18" s="93">
        <v>1</v>
      </c>
      <c r="M18" s="107">
        <v>200</v>
      </c>
      <c r="N18" s="107">
        <f>IF(M18&lt;=251, VLOOKUP(B3, 'Look Up Table'!I:J, 2, TRUE) * L18, 0)</f>
        <v>350</v>
      </c>
      <c r="O18" s="107">
        <f>IF(N18&gt;0, N18 - M18, 0)</f>
        <v>150</v>
      </c>
      <c r="P18" s="107">
        <f>IF(N18 = 0, K18 * B6, 0)</f>
        <v>0</v>
      </c>
      <c r="Q18" s="93"/>
      <c r="R18" s="93"/>
    </row>
    <row r="19" spans="1:18" x14ac:dyDescent="0.25">
      <c r="A19" s="96">
        <v>45747</v>
      </c>
      <c r="B19" s="93">
        <v>9992</v>
      </c>
      <c r="C19" s="93">
        <v>24544</v>
      </c>
      <c r="D19" s="93" t="s">
        <v>875</v>
      </c>
      <c r="E19" s="93">
        <v>5264575</v>
      </c>
      <c r="F19" s="93">
        <v>25</v>
      </c>
      <c r="G19" s="93" t="s">
        <v>1321</v>
      </c>
      <c r="H19" s="93" t="s">
        <v>1379</v>
      </c>
      <c r="I19" s="93" t="s">
        <v>59</v>
      </c>
      <c r="J19" s="107">
        <v>1984.25</v>
      </c>
      <c r="K19" s="107">
        <v>-2059</v>
      </c>
      <c r="L19" s="93">
        <v>1</v>
      </c>
      <c r="M19" s="107">
        <v>200</v>
      </c>
      <c r="N19" s="107">
        <f>IF(M19&lt;=251, VLOOKUP(B3, 'Look Up Table'!I:J, 2, TRUE) * L19, 0)</f>
        <v>350</v>
      </c>
      <c r="O19" s="107">
        <f>IF(N19&gt;0, N19 - M19, 0)</f>
        <v>150</v>
      </c>
      <c r="P19" s="107">
        <f>IF(N19 = 0, K19 * B6, 0)</f>
        <v>0</v>
      </c>
      <c r="Q19" s="93"/>
      <c r="R19" s="93"/>
    </row>
    <row r="20" spans="1:18" x14ac:dyDescent="0.25">
      <c r="A20" s="96">
        <v>45747</v>
      </c>
      <c r="B20" s="93">
        <v>9841</v>
      </c>
      <c r="C20" s="93">
        <v>24377</v>
      </c>
      <c r="D20" s="93" t="s">
        <v>878</v>
      </c>
      <c r="E20" s="93">
        <v>5264203</v>
      </c>
      <c r="F20" s="93">
        <v>25</v>
      </c>
      <c r="G20" s="93" t="s">
        <v>1321</v>
      </c>
      <c r="H20" s="93" t="s">
        <v>1379</v>
      </c>
      <c r="I20" s="93" t="s">
        <v>59</v>
      </c>
      <c r="J20" s="107">
        <v>8</v>
      </c>
      <c r="K20" s="107">
        <v>-3805</v>
      </c>
      <c r="L20" s="93">
        <v>1</v>
      </c>
      <c r="M20" s="107">
        <v>200</v>
      </c>
      <c r="N20" s="107">
        <f>IF(M20&lt;=251, VLOOKUP(B3, 'Look Up Table'!I:J, 2, TRUE) * L20, 0)</f>
        <v>350</v>
      </c>
      <c r="O20" s="107">
        <f>IF(N20&gt;0, N20 - M20, 0)</f>
        <v>150</v>
      </c>
      <c r="P20" s="107">
        <f>IF(N20 = 0, K20 * B6, 0)</f>
        <v>0</v>
      </c>
      <c r="Q20" s="93"/>
      <c r="R20" s="93"/>
    </row>
    <row r="21" spans="1:18" x14ac:dyDescent="0.25">
      <c r="A21" s="96">
        <v>45747</v>
      </c>
      <c r="B21" s="93">
        <v>9898</v>
      </c>
      <c r="C21" s="93">
        <v>24442</v>
      </c>
      <c r="D21" s="93" t="s">
        <v>883</v>
      </c>
      <c r="E21" s="93" t="s">
        <v>884</v>
      </c>
      <c r="F21" s="93">
        <v>25</v>
      </c>
      <c r="G21" s="93" t="s">
        <v>1319</v>
      </c>
      <c r="H21" s="93" t="s">
        <v>1333</v>
      </c>
      <c r="I21" s="93" t="s">
        <v>59</v>
      </c>
      <c r="J21" s="107">
        <v>1424</v>
      </c>
      <c r="K21" s="107">
        <v>-2934</v>
      </c>
      <c r="L21" s="93">
        <v>1</v>
      </c>
      <c r="M21" s="107">
        <v>200</v>
      </c>
      <c r="N21" s="107">
        <f>IF(M21&lt;=251, VLOOKUP(B3, 'Look Up Table'!I:J, 2, TRUE) * L21, 0)</f>
        <v>350</v>
      </c>
      <c r="O21" s="107">
        <f>IF(N21&gt;0, N21 - M21, 0)</f>
        <v>150</v>
      </c>
      <c r="P21" s="107">
        <f>IF(N21 = 0, K21 * B6, 0)</f>
        <v>0</v>
      </c>
      <c r="Q21" s="93"/>
      <c r="R21" s="93"/>
    </row>
    <row r="22" spans="1:18" x14ac:dyDescent="0.25">
      <c r="A22" s="96">
        <v>45747</v>
      </c>
      <c r="B22" s="93">
        <v>9871</v>
      </c>
      <c r="C22" s="93">
        <v>24418</v>
      </c>
      <c r="D22" s="93" t="s">
        <v>887</v>
      </c>
      <c r="E22" s="93" t="s">
        <v>888</v>
      </c>
      <c r="F22" s="93">
        <v>25</v>
      </c>
      <c r="G22" s="93" t="s">
        <v>1321</v>
      </c>
      <c r="H22" s="93" t="s">
        <v>1346</v>
      </c>
      <c r="I22" s="93" t="s">
        <v>59</v>
      </c>
      <c r="J22" s="107">
        <v>1066</v>
      </c>
      <c r="K22" s="107">
        <v>2194.59</v>
      </c>
      <c r="L22" s="93">
        <v>1</v>
      </c>
      <c r="M22" s="107">
        <v>395.03</v>
      </c>
      <c r="N22" s="107">
        <f>IF(M22&lt;=251, VLOOKUP(B3, 'Look Up Table'!I:J, 2, TRUE) * L22, 0)</f>
        <v>0</v>
      </c>
      <c r="O22" s="107">
        <f>IF(N22&gt;0, N22 - M22, 0)</f>
        <v>0</v>
      </c>
      <c r="P22" s="107">
        <f>IF(N22 = 0, K22 * B6, 0)</f>
        <v>153.62130000000002</v>
      </c>
      <c r="Q22" s="93"/>
      <c r="R22" s="93"/>
    </row>
    <row r="23" spans="1:18" x14ac:dyDescent="0.25">
      <c r="A23" s="96">
        <v>45747</v>
      </c>
      <c r="B23" s="93" t="s">
        <v>890</v>
      </c>
      <c r="C23" s="93">
        <v>261405</v>
      </c>
      <c r="D23" s="93" t="s">
        <v>879</v>
      </c>
      <c r="E23" s="93" t="s">
        <v>880</v>
      </c>
      <c r="F23" s="93">
        <v>25</v>
      </c>
      <c r="G23" s="93" t="s">
        <v>1321</v>
      </c>
      <c r="H23" s="93" t="s">
        <v>1328</v>
      </c>
      <c r="I23" s="93" t="s">
        <v>59</v>
      </c>
      <c r="J23" s="107">
        <v>7373.54</v>
      </c>
      <c r="K23" s="107">
        <v>11662.4</v>
      </c>
      <c r="L23" s="93">
        <v>1</v>
      </c>
      <c r="M23" s="107">
        <v>2099.23</v>
      </c>
      <c r="N23" s="107">
        <f>IF(M23&lt;=251, VLOOKUP(B3, 'Look Up Table'!I:J, 2, TRUE) * L23, 0)</f>
        <v>0</v>
      </c>
      <c r="O23" s="107">
        <f>IF(N23&gt;0, N23 - M23, 0)</f>
        <v>0</v>
      </c>
      <c r="P23" s="107">
        <f>IF(N23 = 0, K23 * B6, 0)</f>
        <v>816.36800000000005</v>
      </c>
      <c r="Q23" s="93"/>
      <c r="R23" s="93"/>
    </row>
    <row r="24" spans="1:18" x14ac:dyDescent="0.25">
      <c r="A24" s="96">
        <v>45747</v>
      </c>
      <c r="B24" s="93" t="s">
        <v>891</v>
      </c>
      <c r="C24" s="93">
        <v>24382</v>
      </c>
      <c r="D24" s="93" t="s">
        <v>885</v>
      </c>
      <c r="E24" s="93" t="s">
        <v>886</v>
      </c>
      <c r="F24" s="93">
        <v>25</v>
      </c>
      <c r="G24" s="93" t="s">
        <v>1321</v>
      </c>
      <c r="H24" s="93" t="s">
        <v>1328</v>
      </c>
      <c r="I24" s="93" t="s">
        <v>59</v>
      </c>
      <c r="J24" s="107">
        <v>1624</v>
      </c>
      <c r="K24" s="107">
        <v>10256.35</v>
      </c>
      <c r="L24" s="93">
        <v>1</v>
      </c>
      <c r="M24" s="107">
        <v>1846.14</v>
      </c>
      <c r="N24" s="107">
        <f>IF(M24&lt;=251, VLOOKUP(B3, 'Look Up Table'!I:J, 2, TRUE) * L24, 0)</f>
        <v>0</v>
      </c>
      <c r="O24" s="107">
        <f>IF(N24&gt;0, N24 - M24, 0)</f>
        <v>0</v>
      </c>
      <c r="P24" s="107">
        <f>IF(N24 = 0, K24 * B6, 0)</f>
        <v>717.94450000000006</v>
      </c>
      <c r="Q24" s="93"/>
      <c r="R24" s="93"/>
    </row>
    <row r="25" spans="1:18" x14ac:dyDescent="0.25">
      <c r="A25" s="96">
        <v>45747</v>
      </c>
      <c r="B25" s="93">
        <v>9682</v>
      </c>
      <c r="C25" s="93">
        <v>24193</v>
      </c>
      <c r="D25" s="93" t="s">
        <v>892</v>
      </c>
      <c r="E25" s="93" t="s">
        <v>893</v>
      </c>
      <c r="F25" s="93">
        <v>22</v>
      </c>
      <c r="G25" s="93" t="s">
        <v>1420</v>
      </c>
      <c r="H25" s="93" t="s">
        <v>1421</v>
      </c>
      <c r="I25" s="93" t="s">
        <v>86</v>
      </c>
      <c r="J25" s="107">
        <v>4097.2700000000004</v>
      </c>
      <c r="K25" s="107">
        <v>1335.86</v>
      </c>
      <c r="L25" s="93">
        <v>1</v>
      </c>
      <c r="M25" s="107">
        <v>240.45</v>
      </c>
      <c r="N25" s="107">
        <f>IF(M25&lt;=251, VLOOKUP(B3, 'Look Up Table'!I:J, 2, TRUE) * L25, 0)</f>
        <v>350</v>
      </c>
      <c r="O25" s="107">
        <f>IF(N25&gt;0, N25 - M25, 0)</f>
        <v>109.55000000000001</v>
      </c>
      <c r="P25" s="107">
        <f>IF(N25 = 0, K25 * B6, 0)</f>
        <v>0</v>
      </c>
      <c r="Q25" s="93"/>
      <c r="R25" s="93"/>
    </row>
    <row r="26" spans="1:18" x14ac:dyDescent="0.25">
      <c r="A26" s="104"/>
      <c r="B26" s="105"/>
      <c r="C26" s="105"/>
      <c r="D26" s="105"/>
      <c r="E26" s="105"/>
      <c r="F26" s="105"/>
      <c r="G26" s="105"/>
      <c r="H26" s="105"/>
      <c r="I26" s="105"/>
      <c r="J26" s="108">
        <f>SUM(J8:J25)</f>
        <v>41996.460000000006</v>
      </c>
      <c r="K26" s="108">
        <f>SUM(K8:K25)</f>
        <v>42366.259999999995</v>
      </c>
      <c r="L26" s="105">
        <f>SUM(L8:L25)</f>
        <v>16</v>
      </c>
      <c r="M26" s="108">
        <f>SUM(M8:M25)</f>
        <v>11576.699999999999</v>
      </c>
      <c r="N26" s="108">
        <f>SUM(N8:N25)</f>
        <v>2800</v>
      </c>
      <c r="O26" s="108">
        <f>SUM(O8:O25)</f>
        <v>979.31</v>
      </c>
      <c r="P26" s="108">
        <f>SUM(P8:P25)</f>
        <v>3794.0007000000005</v>
      </c>
      <c r="Q26" s="93"/>
      <c r="R26" s="93"/>
    </row>
    <row r="28" spans="1:18" x14ac:dyDescent="0.25">
      <c r="J28" s="99" t="s">
        <v>1451</v>
      </c>
      <c r="M28" s="106">
        <f>-VLOOKUP(B2, '3213'!A:G, 7, 0)</f>
        <v>-2582.9699999999998</v>
      </c>
    </row>
    <row r="29" spans="1:18" x14ac:dyDescent="0.25">
      <c r="J29" s="99"/>
      <c r="M29" s="106"/>
    </row>
    <row r="30" spans="1:18" x14ac:dyDescent="0.25">
      <c r="J30" s="99" t="s">
        <v>1264</v>
      </c>
      <c r="K30" s="92">
        <v>0.18</v>
      </c>
      <c r="M30" s="106">
        <f>M26</f>
        <v>11576.699999999999</v>
      </c>
    </row>
    <row r="31" spans="1:18" x14ac:dyDescent="0.25">
      <c r="J31" s="99"/>
      <c r="M31" s="106"/>
    </row>
    <row r="32" spans="1:18" x14ac:dyDescent="0.25">
      <c r="A32" s="110"/>
      <c r="B32" s="109"/>
      <c r="C32" s="109"/>
      <c r="D32" t="s">
        <v>1448</v>
      </c>
      <c r="J32" s="99" t="s">
        <v>1265</v>
      </c>
      <c r="K32" s="92">
        <f>B6</f>
        <v>7.0000000000000007E-2</v>
      </c>
      <c r="M32" s="106">
        <f>P26</f>
        <v>3794.0007000000005</v>
      </c>
    </row>
    <row r="33" spans="1:13" x14ac:dyDescent="0.25">
      <c r="J33" s="99"/>
      <c r="M33" s="106"/>
    </row>
    <row r="34" spans="1:13" x14ac:dyDescent="0.25">
      <c r="J34" s="99" t="s">
        <v>1452</v>
      </c>
      <c r="M34" s="106">
        <f>O26</f>
        <v>979.31</v>
      </c>
    </row>
    <row r="35" spans="1:13" x14ac:dyDescent="0.25">
      <c r="J35" s="99"/>
      <c r="M35" s="106"/>
    </row>
    <row r="36" spans="1:13" x14ac:dyDescent="0.25">
      <c r="J36" s="99" t="s">
        <v>1453</v>
      </c>
      <c r="M36" s="106">
        <f>SUM(P26, O26)</f>
        <v>4773.3107</v>
      </c>
    </row>
    <row r="37" spans="1:13" x14ac:dyDescent="0.25">
      <c r="J37" s="99"/>
      <c r="M37" s="106"/>
    </row>
    <row r="38" spans="1:13" x14ac:dyDescent="0.25">
      <c r="A38" s="110"/>
      <c r="B38" s="109"/>
      <c r="C38" s="109"/>
      <c r="D38" t="s">
        <v>1449</v>
      </c>
      <c r="J38" s="99" t="s">
        <v>1454</v>
      </c>
      <c r="M38" s="106">
        <f>J26</f>
        <v>41996.460000000006</v>
      </c>
    </row>
    <row r="39" spans="1:13" x14ac:dyDescent="0.25">
      <c r="J39" s="99"/>
      <c r="M39" s="106"/>
    </row>
    <row r="40" spans="1:13" x14ac:dyDescent="0.25">
      <c r="J40" s="99" t="s">
        <v>1455</v>
      </c>
      <c r="K40" s="92">
        <v>-0.25</v>
      </c>
      <c r="M40" s="106">
        <f>K40 * M38</f>
        <v>-10499.115000000002</v>
      </c>
    </row>
    <row r="41" spans="1:13" x14ac:dyDescent="0.25">
      <c r="J41" s="99"/>
      <c r="M41" s="106"/>
    </row>
    <row r="42" spans="1:13" x14ac:dyDescent="0.25">
      <c r="J42" s="99" t="s">
        <v>1456</v>
      </c>
      <c r="M42" s="106">
        <f>M38 + M40</f>
        <v>31497.345000000005</v>
      </c>
    </row>
    <row r="43" spans="1:13" x14ac:dyDescent="0.25">
      <c r="J43" s="99"/>
      <c r="M43" s="106"/>
    </row>
    <row r="44" spans="1:13" x14ac:dyDescent="0.25">
      <c r="J44" s="99" t="s">
        <v>1457</v>
      </c>
      <c r="K44" s="92">
        <v>0.05</v>
      </c>
      <c r="M44" s="106">
        <f>K44 * M42</f>
        <v>1574.8672500000002</v>
      </c>
    </row>
    <row r="45" spans="1:13" x14ac:dyDescent="0.25">
      <c r="J45" s="99"/>
      <c r="M45" s="106"/>
    </row>
    <row r="46" spans="1:13" x14ac:dyDescent="0.25">
      <c r="J46" s="99" t="s">
        <v>1458</v>
      </c>
      <c r="K46">
        <f>VLOOKUP(B2,'Pay Summary'!A:D,4,0)</f>
        <v>4</v>
      </c>
      <c r="M46" s="106">
        <f>IF(K46 = 1, 500, 0)</f>
        <v>0</v>
      </c>
    </row>
    <row r="47" spans="1:13" x14ac:dyDescent="0.25">
      <c r="J47" s="99"/>
      <c r="M47" s="106"/>
    </row>
    <row r="48" spans="1:13" x14ac:dyDescent="0.25">
      <c r="J48" s="99" t="s">
        <v>1450</v>
      </c>
      <c r="K48">
        <f>L26</f>
        <v>16</v>
      </c>
      <c r="M48" s="106">
        <f>VLOOKUP(K48, 'Look Up Table'!E:F, 2, TRUE)</f>
        <v>1500</v>
      </c>
    </row>
    <row r="49" spans="10:15" x14ac:dyDescent="0.25">
      <c r="J49" s="99"/>
      <c r="M49" s="106"/>
    </row>
    <row r="50" spans="10:15" x14ac:dyDescent="0.25">
      <c r="J50" s="99" t="s">
        <v>1306</v>
      </c>
      <c r="K50" s="111" t="str">
        <f>B4</f>
        <v>3P</v>
      </c>
      <c r="M50" s="106">
        <f>IF(B5&gt;=3,IF(B4="3P",L26*50,IF(B4="A",0,IF(B4="B",L26*-50))),0)</f>
        <v>800</v>
      </c>
      <c r="N50" s="99" t="s">
        <v>1463</v>
      </c>
      <c r="O50" s="112">
        <f>'NPS Sheet'!X51</f>
        <v>0.91700000000000004</v>
      </c>
    </row>
    <row r="51" spans="10:15" x14ac:dyDescent="0.25">
      <c r="J51" s="99"/>
      <c r="M51" s="106"/>
    </row>
    <row r="52" spans="10:15" x14ac:dyDescent="0.25">
      <c r="J52" s="99" t="s">
        <v>1459</v>
      </c>
      <c r="M52" s="106">
        <f>SUM(M48, M50, M46)</f>
        <v>2300</v>
      </c>
    </row>
    <row r="53" spans="10:15" x14ac:dyDescent="0.25">
      <c r="J53" s="99"/>
      <c r="M53" s="106"/>
    </row>
    <row r="54" spans="10:15" x14ac:dyDescent="0.25">
      <c r="J54" s="99" t="s">
        <v>1460</v>
      </c>
      <c r="M54" s="106">
        <f>IFERROR(VLOOKUP(B2,SPIFFS!A:H,8,0),0)</f>
        <v>1450</v>
      </c>
    </row>
    <row r="55" spans="10:15" x14ac:dyDescent="0.25">
      <c r="J55" s="99"/>
      <c r="M55" s="106"/>
    </row>
    <row r="56" spans="10:15" x14ac:dyDescent="0.25">
      <c r="J56" s="99" t="s">
        <v>1461</v>
      </c>
      <c r="M56" s="106">
        <f>SUM(M30, M36, M44, M52, M28, M54)</f>
        <v>19091.907949999997</v>
      </c>
    </row>
    <row r="57" spans="10:15" x14ac:dyDescent="0.25">
      <c r="J57" s="99"/>
      <c r="M57" s="106"/>
    </row>
    <row r="58" spans="10:15" x14ac:dyDescent="0.25">
      <c r="J58" s="99" t="s">
        <v>1462</v>
      </c>
      <c r="M58" s="106">
        <f>IF(M56&lt;0, SUM(M28, M52, M44, M36), 0)</f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77F2C-ACAC-4AD8-96C5-2A65A5670FA4}">
  <dimension ref="A1:R57"/>
  <sheetViews>
    <sheetView workbookViewId="0"/>
  </sheetViews>
  <sheetFormatPr defaultRowHeight="15" x14ac:dyDescent="0.25"/>
  <cols>
    <col min="1" max="1" width="23" style="95" bestFit="1" customWidth="1"/>
    <col min="2" max="2" width="15" bestFit="1" customWidth="1"/>
    <col min="3" max="3" width="11.42578125" bestFit="1" customWidth="1"/>
    <col min="4" max="4" width="25" bestFit="1" customWidth="1"/>
    <col min="5" max="5" width="9.85546875" bestFit="1" customWidth="1"/>
    <col min="6" max="6" width="5" bestFit="1" customWidth="1"/>
    <col min="8" max="8" width="16.7109375" bestFit="1" customWidth="1"/>
    <col min="9" max="9" width="9.5703125" bestFit="1" customWidth="1"/>
    <col min="10" max="10" width="23.140625" bestFit="1" customWidth="1"/>
    <col min="11" max="11" width="18.42578125" bestFit="1" customWidth="1"/>
    <col min="12" max="12" width="5.7109375" bestFit="1" customWidth="1"/>
    <col min="13" max="13" width="20.140625" bestFit="1" customWidth="1"/>
    <col min="14" max="14" width="13.7109375" bestFit="1" customWidth="1"/>
    <col min="15" max="15" width="11.5703125" bestFit="1" customWidth="1"/>
    <col min="16" max="16" width="24.85546875" bestFit="1" customWidth="1"/>
  </cols>
  <sheetData>
    <row r="1" spans="1:18" x14ac:dyDescent="0.25">
      <c r="A1" s="101" t="s">
        <v>1249</v>
      </c>
      <c r="B1" s="100" t="s">
        <v>895</v>
      </c>
    </row>
    <row r="2" spans="1:18" x14ac:dyDescent="0.25">
      <c r="A2" s="101" t="s">
        <v>1307</v>
      </c>
      <c r="B2" s="100">
        <v>215323</v>
      </c>
    </row>
    <row r="3" spans="1:18" x14ac:dyDescent="0.25">
      <c r="A3" s="101" t="s">
        <v>1305</v>
      </c>
      <c r="B3" s="100">
        <f>VLOOKUP(B2, '90'!A:E, 5, 0)</f>
        <v>21</v>
      </c>
    </row>
    <row r="4" spans="1:18" x14ac:dyDescent="0.25">
      <c r="A4" s="101" t="s">
        <v>1306</v>
      </c>
      <c r="B4" s="100" t="str">
        <f>IFERROR(VLOOKUP(B2, NPS!B:H, 7, 0), 0)</f>
        <v>3P</v>
      </c>
    </row>
    <row r="5" spans="1:18" x14ac:dyDescent="0.25">
      <c r="A5" s="101" t="s">
        <v>1257</v>
      </c>
      <c r="B5" s="100">
        <f>IFERROR(VLOOKUP(B2, NPS!B:H, 3, 0), 0)</f>
        <v>11</v>
      </c>
    </row>
    <row r="6" spans="1:18" x14ac:dyDescent="0.25">
      <c r="A6" s="101" t="s">
        <v>1447</v>
      </c>
      <c r="B6" s="103">
        <f>VLOOKUP(16, 'Look Up Table'!A:B, 2, TRUE)</f>
        <v>7.0000000000000007E-2</v>
      </c>
    </row>
    <row r="7" spans="1:18" ht="50.1" customHeight="1" x14ac:dyDescent="0.25">
      <c r="A7" s="102" t="s">
        <v>43</v>
      </c>
      <c r="B7" s="80" t="s">
        <v>1308</v>
      </c>
      <c r="C7" s="80" t="s">
        <v>1309</v>
      </c>
      <c r="D7" s="80" t="s">
        <v>48</v>
      </c>
      <c r="E7" s="80" t="s">
        <v>1310</v>
      </c>
      <c r="F7" s="80" t="s">
        <v>1311</v>
      </c>
      <c r="G7" s="80" t="s">
        <v>1312</v>
      </c>
      <c r="H7" s="80" t="s">
        <v>1313</v>
      </c>
      <c r="I7" s="80" t="s">
        <v>51</v>
      </c>
      <c r="J7" s="80" t="s">
        <v>1314</v>
      </c>
      <c r="K7" s="80" t="s">
        <v>1315</v>
      </c>
      <c r="L7" s="80" t="s">
        <v>54</v>
      </c>
      <c r="M7" s="80" t="s">
        <v>55</v>
      </c>
      <c r="N7" s="80" t="s">
        <v>1316</v>
      </c>
      <c r="O7" s="80" t="s">
        <v>1317</v>
      </c>
      <c r="P7" s="80" t="s">
        <v>1318</v>
      </c>
    </row>
    <row r="8" spans="1:18" x14ac:dyDescent="0.25">
      <c r="A8" s="96">
        <v>45722</v>
      </c>
      <c r="B8" s="93">
        <v>9081</v>
      </c>
      <c r="C8" s="93">
        <v>223861</v>
      </c>
      <c r="D8" s="93" t="s">
        <v>896</v>
      </c>
      <c r="E8" s="93" t="s">
        <v>897</v>
      </c>
      <c r="F8" s="93">
        <v>25</v>
      </c>
      <c r="G8" s="93" t="s">
        <v>1319</v>
      </c>
      <c r="H8" s="93" t="s">
        <v>1344</v>
      </c>
      <c r="I8" s="93" t="s">
        <v>59</v>
      </c>
      <c r="J8" s="107">
        <v>3119.2</v>
      </c>
      <c r="K8" s="107">
        <v>74.06</v>
      </c>
      <c r="L8" s="93">
        <v>1</v>
      </c>
      <c r="M8" s="107">
        <v>200</v>
      </c>
      <c r="N8" s="107">
        <f>IF(M8&lt;=251, VLOOKUP(B3, 'Look Up Table'!I:J, 2, TRUE) * L8, 0)</f>
        <v>350</v>
      </c>
      <c r="O8" s="107">
        <f>IF(N8&gt;0, N8 - M8, 0)</f>
        <v>150</v>
      </c>
      <c r="P8" s="107">
        <f>IF(N8 = 0, K8 * B6, 0)</f>
        <v>0</v>
      </c>
      <c r="Q8" s="93"/>
      <c r="R8" s="93"/>
    </row>
    <row r="9" spans="1:18" x14ac:dyDescent="0.25">
      <c r="A9" s="96">
        <v>45723</v>
      </c>
      <c r="B9" s="93">
        <v>9368</v>
      </c>
      <c r="C9" s="93">
        <v>14689</v>
      </c>
      <c r="D9" s="93" t="s">
        <v>900</v>
      </c>
      <c r="E9" s="93" t="s">
        <v>901</v>
      </c>
      <c r="F9" s="93">
        <v>25</v>
      </c>
      <c r="G9" s="93" t="s">
        <v>1319</v>
      </c>
      <c r="H9" s="93" t="s">
        <v>1325</v>
      </c>
      <c r="I9" s="93" t="s">
        <v>59</v>
      </c>
      <c r="J9" s="107">
        <v>1368</v>
      </c>
      <c r="K9" s="107">
        <v>-4031.89</v>
      </c>
      <c r="L9" s="93">
        <v>1</v>
      </c>
      <c r="M9" s="107">
        <v>200</v>
      </c>
      <c r="N9" s="107">
        <f>IF(M9&lt;=251, VLOOKUP(B3, 'Look Up Table'!I:J, 2, TRUE) * L9, 0)</f>
        <v>350</v>
      </c>
      <c r="O9" s="107">
        <f>IF(N9&gt;0, N9 - M9, 0)</f>
        <v>150</v>
      </c>
      <c r="P9" s="107">
        <f>IF(N9 = 0, K9 * B6, 0)</f>
        <v>0</v>
      </c>
      <c r="Q9" s="93"/>
      <c r="R9" s="93"/>
    </row>
    <row r="10" spans="1:18" x14ac:dyDescent="0.25">
      <c r="A10" s="96">
        <v>45727</v>
      </c>
      <c r="B10" s="93">
        <v>9341</v>
      </c>
      <c r="C10" s="93">
        <v>23589</v>
      </c>
      <c r="D10" s="93" t="s">
        <v>904</v>
      </c>
      <c r="E10" s="93" t="s">
        <v>905</v>
      </c>
      <c r="F10" s="93">
        <v>24</v>
      </c>
      <c r="G10" s="93" t="s">
        <v>1319</v>
      </c>
      <c r="H10" s="93" t="s">
        <v>1422</v>
      </c>
      <c r="I10" s="93" t="s">
        <v>86</v>
      </c>
      <c r="J10" s="107">
        <v>4393.04</v>
      </c>
      <c r="K10" s="107">
        <v>6013.65</v>
      </c>
      <c r="L10" s="93">
        <v>1</v>
      </c>
      <c r="M10" s="107">
        <v>1082.46</v>
      </c>
      <c r="N10" s="107">
        <f>IF(M10&lt;=251, VLOOKUP(B3, 'Look Up Table'!I:J, 2, TRUE) * L10, 0)</f>
        <v>0</v>
      </c>
      <c r="O10" s="107">
        <f>IF(N10&gt;0, N10 - M10, 0)</f>
        <v>0</v>
      </c>
      <c r="P10" s="107">
        <f>IF(N10 = 0, K10 * B6, 0)</f>
        <v>420.95550000000003</v>
      </c>
      <c r="Q10" s="93"/>
      <c r="R10" s="93"/>
    </row>
    <row r="11" spans="1:18" x14ac:dyDescent="0.25">
      <c r="A11" s="96">
        <v>45728</v>
      </c>
      <c r="B11" s="93">
        <v>9480</v>
      </c>
      <c r="C11" s="93">
        <v>23823</v>
      </c>
      <c r="D11" s="93" t="s">
        <v>907</v>
      </c>
      <c r="E11" s="93" t="s">
        <v>908</v>
      </c>
      <c r="F11" s="93">
        <v>25</v>
      </c>
      <c r="G11" s="93" t="s">
        <v>1321</v>
      </c>
      <c r="H11" s="93" t="s">
        <v>1348</v>
      </c>
      <c r="I11" s="93" t="s">
        <v>59</v>
      </c>
      <c r="J11" s="107">
        <v>4441.8599999999997</v>
      </c>
      <c r="K11" s="107">
        <v>7800</v>
      </c>
      <c r="L11" s="93">
        <v>1</v>
      </c>
      <c r="M11" s="107">
        <v>1404</v>
      </c>
      <c r="N11" s="107">
        <f>IF(M11&lt;=251, VLOOKUP(B3, 'Look Up Table'!I:J, 2, TRUE) * L11, 0)</f>
        <v>0</v>
      </c>
      <c r="O11" s="107">
        <f>IF(N11&gt;0, N11 - M11, 0)</f>
        <v>0</v>
      </c>
      <c r="P11" s="107">
        <f>IF(N11 = 0, K11 * B6, 0)</f>
        <v>546</v>
      </c>
      <c r="Q11" s="93"/>
      <c r="R11" s="93"/>
    </row>
    <row r="12" spans="1:18" x14ac:dyDescent="0.25">
      <c r="A12" s="96">
        <v>45729</v>
      </c>
      <c r="B12" s="93">
        <v>8545</v>
      </c>
      <c r="C12" s="93">
        <v>272786</v>
      </c>
      <c r="D12" s="93" t="s">
        <v>911</v>
      </c>
      <c r="E12" s="93" t="s">
        <v>912</v>
      </c>
      <c r="F12" s="93">
        <v>25</v>
      </c>
      <c r="G12" s="93" t="s">
        <v>1321</v>
      </c>
      <c r="H12" s="93" t="s">
        <v>1346</v>
      </c>
      <c r="I12" s="93" t="s">
        <v>59</v>
      </c>
      <c r="J12" s="107">
        <v>1963</v>
      </c>
      <c r="K12" s="107">
        <v>-1137</v>
      </c>
      <c r="L12" s="93">
        <v>1</v>
      </c>
      <c r="M12" s="107">
        <v>200</v>
      </c>
      <c r="N12" s="107">
        <f>IF(M12&lt;=251, VLOOKUP(B3, 'Look Up Table'!I:J, 2, TRUE) * L12, 0)</f>
        <v>350</v>
      </c>
      <c r="O12" s="107">
        <f>IF(N12&gt;0, N12 - M12, 0)</f>
        <v>150</v>
      </c>
      <c r="P12" s="107">
        <f>IF(N12 = 0, K12 * B6, 0)</f>
        <v>0</v>
      </c>
      <c r="Q12" s="93"/>
      <c r="R12" s="93"/>
    </row>
    <row r="13" spans="1:18" x14ac:dyDescent="0.25">
      <c r="A13" s="96">
        <v>45736</v>
      </c>
      <c r="B13" s="93">
        <v>9641</v>
      </c>
      <c r="C13" s="93">
        <v>249183</v>
      </c>
      <c r="D13" s="93" t="s">
        <v>913</v>
      </c>
      <c r="E13" s="93" t="s">
        <v>914</v>
      </c>
      <c r="F13" s="93">
        <v>25</v>
      </c>
      <c r="G13" s="93" t="s">
        <v>1321</v>
      </c>
      <c r="H13" s="93" t="s">
        <v>1324</v>
      </c>
      <c r="I13" s="93" t="s">
        <v>59</v>
      </c>
      <c r="J13" s="107">
        <v>523</v>
      </c>
      <c r="K13" s="107">
        <v>-2727</v>
      </c>
      <c r="L13" s="93">
        <v>1</v>
      </c>
      <c r="M13" s="107">
        <v>200</v>
      </c>
      <c r="N13" s="107">
        <f>IF(M13&lt;=251, VLOOKUP(B3, 'Look Up Table'!I:J, 2, TRUE) * L13, 0)</f>
        <v>350</v>
      </c>
      <c r="O13" s="107">
        <f>IF(N13&gt;0, N13 - M13, 0)</f>
        <v>150</v>
      </c>
      <c r="P13" s="107">
        <f>IF(N13 = 0, K13 * B6, 0)</f>
        <v>0</v>
      </c>
      <c r="Q13" s="93"/>
      <c r="R13" s="93"/>
    </row>
    <row r="14" spans="1:18" x14ac:dyDescent="0.25">
      <c r="A14" s="96">
        <v>45741</v>
      </c>
      <c r="B14" s="93" t="s">
        <v>863</v>
      </c>
      <c r="C14" s="93">
        <v>23000</v>
      </c>
      <c r="D14" s="93" t="s">
        <v>851</v>
      </c>
      <c r="E14" s="93" t="s">
        <v>852</v>
      </c>
      <c r="F14" s="93">
        <v>25</v>
      </c>
      <c r="G14" s="93" t="s">
        <v>1321</v>
      </c>
      <c r="H14" s="93" t="s">
        <v>1358</v>
      </c>
      <c r="I14" s="93" t="s">
        <v>59</v>
      </c>
      <c r="J14" s="107">
        <v>1682.41</v>
      </c>
      <c r="K14" s="107">
        <v>1287.5</v>
      </c>
      <c r="L14" s="93">
        <v>0.5</v>
      </c>
      <c r="M14" s="107">
        <v>231.75</v>
      </c>
      <c r="N14" s="107">
        <f>IF(M14&lt;=251, VLOOKUP(B3, 'Look Up Table'!I:J, 2, TRUE) * L14, 0)</f>
        <v>175</v>
      </c>
      <c r="O14" s="107">
        <f>IF(N14&gt;0, N14 - M14, 0)</f>
        <v>-56.75</v>
      </c>
      <c r="P14" s="107">
        <f>IF(N14 = 0, K14 * B6, 0)</f>
        <v>0</v>
      </c>
      <c r="Q14" s="93"/>
      <c r="R14" s="93"/>
    </row>
    <row r="15" spans="1:18" x14ac:dyDescent="0.25">
      <c r="A15" s="96">
        <v>45742</v>
      </c>
      <c r="B15" s="93">
        <v>9503</v>
      </c>
      <c r="C15" s="93">
        <v>23883</v>
      </c>
      <c r="D15" s="93" t="s">
        <v>916</v>
      </c>
      <c r="E15" s="93" t="s">
        <v>917</v>
      </c>
      <c r="F15" s="93">
        <v>20</v>
      </c>
      <c r="G15" s="93" t="s">
        <v>1329</v>
      </c>
      <c r="H15" s="93" t="s">
        <v>1392</v>
      </c>
      <c r="I15" s="93" t="s">
        <v>86</v>
      </c>
      <c r="J15" s="107">
        <v>0</v>
      </c>
      <c r="K15" s="107">
        <v>-1962.7</v>
      </c>
      <c r="L15" s="93">
        <v>1</v>
      </c>
      <c r="M15" s="107">
        <v>200</v>
      </c>
      <c r="N15" s="107">
        <f>IF(M15&lt;=251, VLOOKUP(B3, 'Look Up Table'!I:J, 2, TRUE) * L15, 0)</f>
        <v>350</v>
      </c>
      <c r="O15" s="107">
        <f>IF(N15&gt;0, N15 - M15, 0)</f>
        <v>150</v>
      </c>
      <c r="P15" s="107">
        <f>IF(N15 = 0, K15 * B6, 0)</f>
        <v>0</v>
      </c>
      <c r="Q15" s="93"/>
      <c r="R15" s="93"/>
    </row>
    <row r="16" spans="1:18" x14ac:dyDescent="0.25">
      <c r="A16" s="96">
        <v>45742</v>
      </c>
      <c r="B16" s="93">
        <v>9670</v>
      </c>
      <c r="C16" s="93">
        <v>258792</v>
      </c>
      <c r="D16" s="93" t="s">
        <v>921</v>
      </c>
      <c r="E16" s="93" t="s">
        <v>922</v>
      </c>
      <c r="F16" s="93">
        <v>25</v>
      </c>
      <c r="G16" s="93" t="s">
        <v>1321</v>
      </c>
      <c r="H16" s="93" t="s">
        <v>1324</v>
      </c>
      <c r="I16" s="93" t="s">
        <v>59</v>
      </c>
      <c r="J16" s="107">
        <v>0</v>
      </c>
      <c r="K16" s="107">
        <v>1280.3599999999999</v>
      </c>
      <c r="L16" s="93">
        <v>1</v>
      </c>
      <c r="M16" s="107">
        <v>230.46</v>
      </c>
      <c r="N16" s="107">
        <f>IF(M16&lt;=251, VLOOKUP(B3, 'Look Up Table'!I:J, 2, TRUE) * L16, 0)</f>
        <v>350</v>
      </c>
      <c r="O16" s="107">
        <f>IF(N16&gt;0, N16 - M16, 0)</f>
        <v>119.53999999999999</v>
      </c>
      <c r="P16" s="107">
        <f>IF(N16 = 0, K16 * B6, 0)</f>
        <v>0</v>
      </c>
      <c r="Q16" s="93"/>
      <c r="R16" s="93"/>
    </row>
    <row r="17" spans="1:18" x14ac:dyDescent="0.25">
      <c r="A17" s="96">
        <v>45742</v>
      </c>
      <c r="B17" s="93">
        <v>9672</v>
      </c>
      <c r="C17" s="93">
        <v>277243</v>
      </c>
      <c r="D17" s="93" t="s">
        <v>924</v>
      </c>
      <c r="E17" s="93" t="s">
        <v>925</v>
      </c>
      <c r="F17" s="93">
        <v>21</v>
      </c>
      <c r="G17" s="93" t="s">
        <v>1321</v>
      </c>
      <c r="H17" s="93" t="s">
        <v>1417</v>
      </c>
      <c r="I17" s="93" t="s">
        <v>86</v>
      </c>
      <c r="J17" s="107">
        <v>0</v>
      </c>
      <c r="K17" s="107">
        <v>750</v>
      </c>
      <c r="L17" s="93">
        <v>1</v>
      </c>
      <c r="M17" s="107">
        <v>200</v>
      </c>
      <c r="N17" s="107">
        <f>IF(M17&lt;=251, VLOOKUP(B3, 'Look Up Table'!I:J, 2, TRUE) * L17, 0)</f>
        <v>350</v>
      </c>
      <c r="O17" s="107">
        <f>IF(N17&gt;0, N17 - M17, 0)</f>
        <v>150</v>
      </c>
      <c r="P17" s="107">
        <f>IF(N17 = 0, K17 * B6, 0)</f>
        <v>0</v>
      </c>
      <c r="Q17" s="93"/>
      <c r="R17" s="93"/>
    </row>
    <row r="18" spans="1:18" x14ac:dyDescent="0.25">
      <c r="A18" s="96">
        <v>45743</v>
      </c>
      <c r="B18" s="93">
        <v>9714</v>
      </c>
      <c r="C18" s="93">
        <v>20845</v>
      </c>
      <c r="D18" s="93" t="s">
        <v>927</v>
      </c>
      <c r="E18" s="93" t="s">
        <v>928</v>
      </c>
      <c r="F18" s="93">
        <v>25</v>
      </c>
      <c r="G18" s="93" t="s">
        <v>1321</v>
      </c>
      <c r="H18" s="93" t="s">
        <v>1324</v>
      </c>
      <c r="I18" s="93" t="s">
        <v>59</v>
      </c>
      <c r="J18" s="107">
        <v>5272.9</v>
      </c>
      <c r="K18" s="107">
        <v>2360</v>
      </c>
      <c r="L18" s="93">
        <v>1</v>
      </c>
      <c r="M18" s="107">
        <v>424.8</v>
      </c>
      <c r="N18" s="107">
        <f>IF(M18&lt;=251, VLOOKUP(B3, 'Look Up Table'!I:J, 2, TRUE) * L18, 0)</f>
        <v>0</v>
      </c>
      <c r="O18" s="107">
        <f>IF(N18&gt;0, N18 - M18, 0)</f>
        <v>0</v>
      </c>
      <c r="P18" s="107">
        <f>IF(N18 = 0, K18 * B6, 0)</f>
        <v>165.20000000000002</v>
      </c>
      <c r="Q18" s="93"/>
      <c r="R18" s="93"/>
    </row>
    <row r="19" spans="1:18" x14ac:dyDescent="0.25">
      <c r="A19" s="96">
        <v>45747</v>
      </c>
      <c r="B19" s="93">
        <v>9927</v>
      </c>
      <c r="C19" s="93">
        <v>248897</v>
      </c>
      <c r="D19" s="93" t="s">
        <v>929</v>
      </c>
      <c r="E19" s="93" t="s">
        <v>930</v>
      </c>
      <c r="F19" s="93">
        <v>25</v>
      </c>
      <c r="G19" s="93" t="s">
        <v>1321</v>
      </c>
      <c r="H19" s="93" t="s">
        <v>1346</v>
      </c>
      <c r="I19" s="93" t="s">
        <v>59</v>
      </c>
      <c r="J19" s="107">
        <v>6517.75</v>
      </c>
      <c r="K19" s="107">
        <v>-3206</v>
      </c>
      <c r="L19" s="93">
        <v>1</v>
      </c>
      <c r="M19" s="107">
        <v>200</v>
      </c>
      <c r="N19" s="107">
        <f>IF(M19&lt;=251, VLOOKUP(B3, 'Look Up Table'!I:J, 2, TRUE) * L19, 0)</f>
        <v>350</v>
      </c>
      <c r="O19" s="107">
        <f>IF(N19&gt;0, N19 - M19, 0)</f>
        <v>150</v>
      </c>
      <c r="P19" s="107">
        <f>IF(N19 = 0, K19 * B6, 0)</f>
        <v>0</v>
      </c>
      <c r="Q19" s="93"/>
      <c r="R19" s="93"/>
    </row>
    <row r="20" spans="1:18" x14ac:dyDescent="0.25">
      <c r="A20" s="96">
        <v>45747</v>
      </c>
      <c r="B20" s="93">
        <v>9943</v>
      </c>
      <c r="C20" s="93">
        <v>24490</v>
      </c>
      <c r="D20" s="93" t="s">
        <v>933</v>
      </c>
      <c r="E20" s="93">
        <v>5245807</v>
      </c>
      <c r="F20" s="93">
        <v>25</v>
      </c>
      <c r="G20" s="93" t="s">
        <v>1321</v>
      </c>
      <c r="H20" s="93" t="s">
        <v>1379</v>
      </c>
      <c r="I20" s="93" t="s">
        <v>59</v>
      </c>
      <c r="J20" s="107">
        <v>3250.1</v>
      </c>
      <c r="K20" s="107">
        <v>-2969</v>
      </c>
      <c r="L20" s="93">
        <v>1</v>
      </c>
      <c r="M20" s="107">
        <v>200</v>
      </c>
      <c r="N20" s="107">
        <f>IF(M20&lt;=251, VLOOKUP(B3, 'Look Up Table'!I:J, 2, TRUE) * L20, 0)</f>
        <v>350</v>
      </c>
      <c r="O20" s="107">
        <f>IF(N20&gt;0, N20 - M20, 0)</f>
        <v>150</v>
      </c>
      <c r="P20" s="107">
        <f>IF(N20 = 0, K20 * B6, 0)</f>
        <v>0</v>
      </c>
      <c r="Q20" s="93"/>
      <c r="R20" s="93"/>
    </row>
    <row r="21" spans="1:18" x14ac:dyDescent="0.25">
      <c r="A21" s="96">
        <v>45747</v>
      </c>
      <c r="B21" s="93">
        <v>9789</v>
      </c>
      <c r="C21" s="93">
        <v>24306</v>
      </c>
      <c r="D21" s="93" t="s">
        <v>934</v>
      </c>
      <c r="E21" s="93" t="s">
        <v>935</v>
      </c>
      <c r="F21" s="93">
        <v>25</v>
      </c>
      <c r="G21" s="93" t="s">
        <v>1319</v>
      </c>
      <c r="H21" s="93" t="s">
        <v>1332</v>
      </c>
      <c r="I21" s="93" t="s">
        <v>59</v>
      </c>
      <c r="J21" s="107">
        <v>2181.6999999999998</v>
      </c>
      <c r="K21" s="107">
        <v>-2225</v>
      </c>
      <c r="L21" s="93">
        <v>1</v>
      </c>
      <c r="M21" s="107">
        <v>200</v>
      </c>
      <c r="N21" s="107">
        <f>IF(M21&lt;=251, VLOOKUP(B3, 'Look Up Table'!I:J, 2, TRUE) * L21, 0)</f>
        <v>350</v>
      </c>
      <c r="O21" s="107">
        <f>IF(N21&gt;0, N21 - M21, 0)</f>
        <v>150</v>
      </c>
      <c r="P21" s="107">
        <f>IF(N21 = 0, K21 * B6, 0)</f>
        <v>0</v>
      </c>
      <c r="Q21" s="93"/>
      <c r="R21" s="93"/>
    </row>
    <row r="22" spans="1:18" x14ac:dyDescent="0.25">
      <c r="A22" s="96">
        <v>45747</v>
      </c>
      <c r="B22" s="93">
        <v>9679</v>
      </c>
      <c r="C22" s="93">
        <v>24186</v>
      </c>
      <c r="D22" s="93" t="s">
        <v>936</v>
      </c>
      <c r="E22" s="93" t="s">
        <v>937</v>
      </c>
      <c r="F22" s="93">
        <v>25</v>
      </c>
      <c r="G22" s="93" t="s">
        <v>1319</v>
      </c>
      <c r="H22" s="93" t="s">
        <v>1352</v>
      </c>
      <c r="I22" s="93" t="s">
        <v>59</v>
      </c>
      <c r="J22" s="107">
        <v>0</v>
      </c>
      <c r="K22" s="107">
        <v>-8285.4500000000007</v>
      </c>
      <c r="L22" s="93">
        <v>1</v>
      </c>
      <c r="M22" s="107">
        <v>200</v>
      </c>
      <c r="N22" s="107">
        <f>IF(M22&lt;=251, VLOOKUP(B3, 'Look Up Table'!I:J, 2, TRUE) * L22, 0)</f>
        <v>350</v>
      </c>
      <c r="O22" s="107">
        <f>IF(N22&gt;0, N22 - M22, 0)</f>
        <v>150</v>
      </c>
      <c r="P22" s="107">
        <f>IF(N22 = 0, K22 * B6, 0)</f>
        <v>0</v>
      </c>
      <c r="Q22" s="93"/>
      <c r="R22" s="93"/>
    </row>
    <row r="23" spans="1:18" x14ac:dyDescent="0.25">
      <c r="A23" s="96">
        <v>45747</v>
      </c>
      <c r="B23" s="93">
        <v>9975</v>
      </c>
      <c r="C23" s="93">
        <v>211254</v>
      </c>
      <c r="D23" s="93" t="s">
        <v>938</v>
      </c>
      <c r="E23" s="93" t="s">
        <v>939</v>
      </c>
      <c r="F23" s="93">
        <v>25</v>
      </c>
      <c r="G23" s="93" t="s">
        <v>1319</v>
      </c>
      <c r="H23" s="93" t="s">
        <v>1344</v>
      </c>
      <c r="I23" s="93" t="s">
        <v>59</v>
      </c>
      <c r="J23" s="107">
        <v>763</v>
      </c>
      <c r="K23" s="107">
        <v>-1091.31</v>
      </c>
      <c r="L23" s="93">
        <v>1</v>
      </c>
      <c r="M23" s="107">
        <v>200</v>
      </c>
      <c r="N23" s="107">
        <f>IF(M23&lt;=251, VLOOKUP(B3, 'Look Up Table'!I:J, 2, TRUE) * L23, 0)</f>
        <v>350</v>
      </c>
      <c r="O23" s="107">
        <f>IF(N23&gt;0, N23 - M23, 0)</f>
        <v>150</v>
      </c>
      <c r="P23" s="107">
        <f>IF(N23 = 0, K23 * B6, 0)</f>
        <v>0</v>
      </c>
      <c r="Q23" s="93"/>
      <c r="R23" s="93"/>
    </row>
    <row r="24" spans="1:18" x14ac:dyDescent="0.25">
      <c r="A24" s="96">
        <v>45747</v>
      </c>
      <c r="B24" s="93" t="s">
        <v>940</v>
      </c>
      <c r="C24" s="93">
        <v>23750</v>
      </c>
      <c r="D24" s="93" t="s">
        <v>902</v>
      </c>
      <c r="E24" s="93" t="s">
        <v>903</v>
      </c>
      <c r="F24" s="93">
        <v>22</v>
      </c>
      <c r="G24" s="93" t="s">
        <v>1321</v>
      </c>
      <c r="H24" s="93" t="s">
        <v>1349</v>
      </c>
      <c r="I24" s="93" t="s">
        <v>86</v>
      </c>
      <c r="J24" s="107">
        <v>1742</v>
      </c>
      <c r="K24" s="107">
        <v>2520.85</v>
      </c>
      <c r="L24" s="93">
        <v>0.5</v>
      </c>
      <c r="M24" s="107">
        <v>453.76</v>
      </c>
      <c r="N24" s="107">
        <f>IF(M24&lt;=251, VLOOKUP(B3, 'Look Up Table'!I:J, 2, TRUE) * L24, 0)</f>
        <v>0</v>
      </c>
      <c r="O24" s="107">
        <f>IF(N24&gt;0, N24 - M24, 0)</f>
        <v>0</v>
      </c>
      <c r="P24" s="107">
        <f>IF(N24 = 0, K24 * B6, 0)</f>
        <v>176.45950000000002</v>
      </c>
      <c r="Q24" s="93"/>
      <c r="R24" s="93"/>
    </row>
    <row r="25" spans="1:18" x14ac:dyDescent="0.25">
      <c r="A25" s="104"/>
      <c r="B25" s="105"/>
      <c r="C25" s="105"/>
      <c r="D25" s="105"/>
      <c r="E25" s="105"/>
      <c r="F25" s="105"/>
      <c r="G25" s="105"/>
      <c r="H25" s="105"/>
      <c r="I25" s="105"/>
      <c r="J25" s="108">
        <f>SUM(J8:J24)</f>
        <v>37217.959999999992</v>
      </c>
      <c r="K25" s="108">
        <f>SUM(K8:K24)</f>
        <v>-5548.93</v>
      </c>
      <c r="L25" s="105">
        <f>SUM(L8:L24)</f>
        <v>16</v>
      </c>
      <c r="M25" s="108">
        <f>SUM(M8:M24)</f>
        <v>6027.2300000000005</v>
      </c>
      <c r="N25" s="108">
        <f>SUM(N8:N24)</f>
        <v>4375</v>
      </c>
      <c r="O25" s="108">
        <f>SUM(O8:O24)</f>
        <v>1712.79</v>
      </c>
      <c r="P25" s="108">
        <f>SUM(P8:P24)</f>
        <v>1308.615</v>
      </c>
      <c r="Q25" s="93"/>
      <c r="R25" s="93"/>
    </row>
    <row r="27" spans="1:18" x14ac:dyDescent="0.25">
      <c r="J27" s="99" t="s">
        <v>1451</v>
      </c>
      <c r="M27" s="106">
        <f>-VLOOKUP(B2, '3213'!A:G, 7, 0)</f>
        <v>-2966.21</v>
      </c>
    </row>
    <row r="28" spans="1:18" x14ac:dyDescent="0.25">
      <c r="J28" s="99"/>
      <c r="M28" s="106"/>
    </row>
    <row r="29" spans="1:18" x14ac:dyDescent="0.25">
      <c r="J29" s="99" t="s">
        <v>1264</v>
      </c>
      <c r="K29" s="92">
        <v>0.18</v>
      </c>
      <c r="M29" s="106">
        <f>M25</f>
        <v>6027.2300000000005</v>
      </c>
    </row>
    <row r="30" spans="1:18" x14ac:dyDescent="0.25">
      <c r="J30" s="99"/>
      <c r="M30" s="106"/>
    </row>
    <row r="31" spans="1:18" x14ac:dyDescent="0.25">
      <c r="A31" s="110"/>
      <c r="B31" s="109"/>
      <c r="C31" s="109"/>
      <c r="D31" t="s">
        <v>1448</v>
      </c>
      <c r="J31" s="99" t="s">
        <v>1265</v>
      </c>
      <c r="K31" s="92">
        <f>B6</f>
        <v>7.0000000000000007E-2</v>
      </c>
      <c r="M31" s="106">
        <f>P25</f>
        <v>1308.615</v>
      </c>
    </row>
    <row r="32" spans="1:18" x14ac:dyDescent="0.25">
      <c r="J32" s="99"/>
      <c r="M32" s="106"/>
    </row>
    <row r="33" spans="1:13" x14ac:dyDescent="0.25">
      <c r="J33" s="99" t="s">
        <v>1452</v>
      </c>
      <c r="M33" s="106">
        <f>O25</f>
        <v>1712.79</v>
      </c>
    </row>
    <row r="34" spans="1:13" x14ac:dyDescent="0.25">
      <c r="J34" s="99"/>
      <c r="M34" s="106"/>
    </row>
    <row r="35" spans="1:13" x14ac:dyDescent="0.25">
      <c r="J35" s="99" t="s">
        <v>1453</v>
      </c>
      <c r="M35" s="106">
        <f>SUM(P25, O25)</f>
        <v>3021.4049999999997</v>
      </c>
    </row>
    <row r="36" spans="1:13" x14ac:dyDescent="0.25">
      <c r="J36" s="99"/>
      <c r="M36" s="106"/>
    </row>
    <row r="37" spans="1:13" x14ac:dyDescent="0.25">
      <c r="A37" s="110"/>
      <c r="B37" s="109"/>
      <c r="C37" s="109"/>
      <c r="D37" t="s">
        <v>1449</v>
      </c>
      <c r="J37" s="99" t="s">
        <v>1454</v>
      </c>
      <c r="M37" s="106">
        <f>J25</f>
        <v>37217.959999999992</v>
      </c>
    </row>
    <row r="38" spans="1:13" x14ac:dyDescent="0.25">
      <c r="J38" s="99"/>
      <c r="M38" s="106"/>
    </row>
    <row r="39" spans="1:13" x14ac:dyDescent="0.25">
      <c r="J39" s="99" t="s">
        <v>1455</v>
      </c>
      <c r="K39" s="92">
        <v>-0.25</v>
      </c>
      <c r="M39" s="106">
        <f>K39 * M37</f>
        <v>-9304.489999999998</v>
      </c>
    </row>
    <row r="40" spans="1:13" x14ac:dyDescent="0.25">
      <c r="J40" s="99"/>
      <c r="M40" s="106"/>
    </row>
    <row r="41" spans="1:13" x14ac:dyDescent="0.25">
      <c r="J41" s="99" t="s">
        <v>1456</v>
      </c>
      <c r="M41" s="106">
        <f>M37 + M39</f>
        <v>27913.469999999994</v>
      </c>
    </row>
    <row r="42" spans="1:13" x14ac:dyDescent="0.25">
      <c r="J42" s="99"/>
      <c r="M42" s="106"/>
    </row>
    <row r="43" spans="1:13" x14ac:dyDescent="0.25">
      <c r="J43" s="99" t="s">
        <v>1457</v>
      </c>
      <c r="K43" s="92">
        <v>0.05</v>
      </c>
      <c r="M43" s="106">
        <f>K43 * M41</f>
        <v>1395.6734999999999</v>
      </c>
    </row>
    <row r="44" spans="1:13" x14ac:dyDescent="0.25">
      <c r="J44" s="99"/>
      <c r="M44" s="106"/>
    </row>
    <row r="45" spans="1:13" x14ac:dyDescent="0.25">
      <c r="J45" s="99" t="s">
        <v>1458</v>
      </c>
      <c r="K45">
        <f>VLOOKUP(B2,'Pay Summary'!A:D,4,0)</f>
        <v>4</v>
      </c>
      <c r="M45" s="106">
        <f>IF(K45 = 1, 500, 0)</f>
        <v>0</v>
      </c>
    </row>
    <row r="46" spans="1:13" x14ac:dyDescent="0.25">
      <c r="J46" s="99"/>
      <c r="M46" s="106"/>
    </row>
    <row r="47" spans="1:13" x14ac:dyDescent="0.25">
      <c r="J47" s="99" t="s">
        <v>1450</v>
      </c>
      <c r="K47">
        <f>L25</f>
        <v>16</v>
      </c>
      <c r="M47" s="106">
        <f>VLOOKUP(K47, 'Look Up Table'!E:F, 2, TRUE)</f>
        <v>1500</v>
      </c>
    </row>
    <row r="48" spans="1:13" x14ac:dyDescent="0.25">
      <c r="J48" s="99"/>
      <c r="M48" s="106"/>
    </row>
    <row r="49" spans="10:15" x14ac:dyDescent="0.25">
      <c r="J49" s="99" t="s">
        <v>1306</v>
      </c>
      <c r="K49" s="111" t="str">
        <f>B4</f>
        <v>3P</v>
      </c>
      <c r="M49" s="106">
        <f>IF(B5&gt;=3,IF(B4="3P",L25*50,IF(B4="A",0,IF(B4="B",L25*-50))),0)</f>
        <v>800</v>
      </c>
      <c r="N49" s="99" t="s">
        <v>1463</v>
      </c>
      <c r="O49" s="112">
        <f>'NPS Sheet'!X51</f>
        <v>0.91700000000000004</v>
      </c>
    </row>
    <row r="50" spans="10:15" x14ac:dyDescent="0.25">
      <c r="J50" s="99"/>
      <c r="M50" s="106"/>
    </row>
    <row r="51" spans="10:15" x14ac:dyDescent="0.25">
      <c r="J51" s="99" t="s">
        <v>1459</v>
      </c>
      <c r="M51" s="106">
        <f>SUM(M47, M49, M45)</f>
        <v>2300</v>
      </c>
    </row>
    <row r="52" spans="10:15" x14ac:dyDescent="0.25">
      <c r="J52" s="99"/>
      <c r="M52" s="106"/>
    </row>
    <row r="53" spans="10:15" x14ac:dyDescent="0.25">
      <c r="J53" s="99" t="s">
        <v>1460</v>
      </c>
      <c r="M53" s="106">
        <f>IFERROR(VLOOKUP(B2,SPIFFS!A:H,8,0),0)</f>
        <v>500</v>
      </c>
    </row>
    <row r="54" spans="10:15" x14ac:dyDescent="0.25">
      <c r="J54" s="99"/>
      <c r="M54" s="106"/>
    </row>
    <row r="55" spans="10:15" x14ac:dyDescent="0.25">
      <c r="J55" s="99" t="s">
        <v>1461</v>
      </c>
      <c r="M55" s="106">
        <f>SUM(M29, M35, M43, M51, M27, M53)</f>
        <v>10278.0985</v>
      </c>
    </row>
    <row r="56" spans="10:15" x14ac:dyDescent="0.25">
      <c r="J56" s="99"/>
      <c r="M56" s="106"/>
    </row>
    <row r="57" spans="10:15" x14ac:dyDescent="0.25">
      <c r="J57" s="99" t="s">
        <v>1462</v>
      </c>
      <c r="M57" s="106">
        <f>IF(M55&lt;0, SUM(M27, M51, M43, M35), 0)</f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59870-6DA1-4F42-96FA-07519B2E2FBF}">
  <dimension ref="A1:R51"/>
  <sheetViews>
    <sheetView workbookViewId="0"/>
  </sheetViews>
  <sheetFormatPr defaultRowHeight="15" x14ac:dyDescent="0.25"/>
  <cols>
    <col min="1" max="1" width="23" style="95" bestFit="1" customWidth="1"/>
    <col min="2" max="2" width="18.5703125" bestFit="1" customWidth="1"/>
    <col min="3" max="3" width="11.42578125" bestFit="1" customWidth="1"/>
    <col min="4" max="4" width="24" bestFit="1" customWidth="1"/>
    <col min="5" max="5" width="9.28515625" bestFit="1" customWidth="1"/>
    <col min="6" max="6" width="5" bestFit="1" customWidth="1"/>
    <col min="8" max="8" width="10.85546875" bestFit="1" customWidth="1"/>
    <col min="9" max="9" width="9.5703125" bestFit="1" customWidth="1"/>
    <col min="10" max="10" width="23.140625" bestFit="1" customWidth="1"/>
    <col min="11" max="11" width="18.42578125" bestFit="1" customWidth="1"/>
    <col min="12" max="12" width="5.7109375" bestFit="1" customWidth="1"/>
    <col min="13" max="13" width="20.140625" bestFit="1" customWidth="1"/>
    <col min="14" max="14" width="13.7109375" bestFit="1" customWidth="1"/>
    <col min="15" max="15" width="11.5703125" bestFit="1" customWidth="1"/>
    <col min="16" max="16" width="24.85546875" bestFit="1" customWidth="1"/>
  </cols>
  <sheetData>
    <row r="1" spans="1:18" x14ac:dyDescent="0.25">
      <c r="A1" s="101" t="s">
        <v>1249</v>
      </c>
      <c r="B1" s="100" t="s">
        <v>941</v>
      </c>
    </row>
    <row r="2" spans="1:18" x14ac:dyDescent="0.25">
      <c r="A2" s="101" t="s">
        <v>1307</v>
      </c>
      <c r="B2" s="100">
        <v>217079</v>
      </c>
    </row>
    <row r="3" spans="1:18" x14ac:dyDescent="0.25">
      <c r="A3" s="101" t="s">
        <v>1305</v>
      </c>
      <c r="B3" s="100">
        <f>VLOOKUP(B2, '90'!A:E, 5, 0)</f>
        <v>19</v>
      </c>
    </row>
    <row r="4" spans="1:18" x14ac:dyDescent="0.25">
      <c r="A4" s="101" t="s">
        <v>1306</v>
      </c>
      <c r="B4" s="100" t="str">
        <f>IFERROR(VLOOKUP(B2, NPS!B:H, 7, 0), 0)</f>
        <v>3P</v>
      </c>
    </row>
    <row r="5" spans="1:18" x14ac:dyDescent="0.25">
      <c r="A5" s="101" t="s">
        <v>1257</v>
      </c>
      <c r="B5" s="100">
        <f>IFERROR(VLOOKUP(B2, NPS!B:H, 3, 0), 0)</f>
        <v>3</v>
      </c>
    </row>
    <row r="6" spans="1:18" x14ac:dyDescent="0.25">
      <c r="A6" s="101" t="s">
        <v>1447</v>
      </c>
      <c r="B6" s="103">
        <f>VLOOKUP(9, 'Look Up Table'!A:B, 2, TRUE)</f>
        <v>0</v>
      </c>
    </row>
    <row r="7" spans="1:18" ht="50.1" customHeight="1" x14ac:dyDescent="0.25">
      <c r="A7" s="102" t="s">
        <v>43</v>
      </c>
      <c r="B7" s="80" t="s">
        <v>1308</v>
      </c>
      <c r="C7" s="80" t="s">
        <v>1309</v>
      </c>
      <c r="D7" s="80" t="s">
        <v>48</v>
      </c>
      <c r="E7" s="80" t="s">
        <v>1310</v>
      </c>
      <c r="F7" s="80" t="s">
        <v>1311</v>
      </c>
      <c r="G7" s="80" t="s">
        <v>1312</v>
      </c>
      <c r="H7" s="80" t="s">
        <v>1313</v>
      </c>
      <c r="I7" s="80" t="s">
        <v>51</v>
      </c>
      <c r="J7" s="80" t="s">
        <v>1314</v>
      </c>
      <c r="K7" s="80" t="s">
        <v>1315</v>
      </c>
      <c r="L7" s="80" t="s">
        <v>54</v>
      </c>
      <c r="M7" s="80" t="s">
        <v>55</v>
      </c>
      <c r="N7" s="80" t="s">
        <v>1316</v>
      </c>
      <c r="O7" s="80" t="s">
        <v>1317</v>
      </c>
      <c r="P7" s="80" t="s">
        <v>1318</v>
      </c>
    </row>
    <row r="8" spans="1:18" x14ac:dyDescent="0.25">
      <c r="A8" s="96">
        <v>45726</v>
      </c>
      <c r="B8" s="93">
        <v>9337</v>
      </c>
      <c r="C8" s="93">
        <v>257900</v>
      </c>
      <c r="D8" s="93" t="s">
        <v>942</v>
      </c>
      <c r="E8" s="93" t="s">
        <v>943</v>
      </c>
      <c r="F8" s="93">
        <v>25</v>
      </c>
      <c r="G8" s="93" t="s">
        <v>1319</v>
      </c>
      <c r="H8" s="93" t="s">
        <v>1352</v>
      </c>
      <c r="I8" s="93" t="s">
        <v>59</v>
      </c>
      <c r="J8" s="107">
        <v>1515.8</v>
      </c>
      <c r="K8" s="107">
        <v>-1846</v>
      </c>
      <c r="L8" s="93">
        <v>1</v>
      </c>
      <c r="M8" s="107">
        <v>200</v>
      </c>
      <c r="N8" s="107">
        <f>IF(M8&lt;=251, VLOOKUP(B3, 'Look Up Table'!I:J, 2, TRUE) * L8, 0)</f>
        <v>300</v>
      </c>
      <c r="O8" s="107">
        <f>IF(N8&gt;0, N8 - M8, 0)</f>
        <v>100</v>
      </c>
      <c r="P8" s="107">
        <f>IF(N8 = 0, K8 * B6, 0)</f>
        <v>0</v>
      </c>
      <c r="Q8" s="93"/>
      <c r="R8" s="93"/>
    </row>
    <row r="9" spans="1:18" x14ac:dyDescent="0.25">
      <c r="A9" s="96">
        <v>45728</v>
      </c>
      <c r="B9" s="93">
        <v>9404</v>
      </c>
      <c r="C9" s="93">
        <v>23721</v>
      </c>
      <c r="D9" s="93" t="s">
        <v>946</v>
      </c>
      <c r="E9" s="93" t="s">
        <v>947</v>
      </c>
      <c r="F9" s="93">
        <v>22</v>
      </c>
      <c r="G9" s="93" t="s">
        <v>1319</v>
      </c>
      <c r="H9" s="93" t="s">
        <v>1351</v>
      </c>
      <c r="I9" s="93" t="s">
        <v>86</v>
      </c>
      <c r="J9" s="107">
        <v>2398.7800000000002</v>
      </c>
      <c r="K9" s="107">
        <v>2347.3000000000002</v>
      </c>
      <c r="L9" s="93">
        <v>1</v>
      </c>
      <c r="M9" s="107">
        <v>422.51</v>
      </c>
      <c r="N9" s="107">
        <f>IF(M9&lt;=251, VLOOKUP(B3, 'Look Up Table'!I:J, 2, TRUE) * L9, 0)</f>
        <v>0</v>
      </c>
      <c r="O9" s="107">
        <f>IF(N9&gt;0, N9 - M9, 0)</f>
        <v>0</v>
      </c>
      <c r="P9" s="107">
        <f>IF(N9 = 0, K9 * B6, 0)</f>
        <v>0</v>
      </c>
      <c r="Q9" s="93"/>
      <c r="R9" s="93"/>
    </row>
    <row r="10" spans="1:18" x14ac:dyDescent="0.25">
      <c r="A10" s="96">
        <v>45735</v>
      </c>
      <c r="B10" s="93">
        <v>9611</v>
      </c>
      <c r="C10" s="93">
        <v>24041</v>
      </c>
      <c r="D10" s="93" t="s">
        <v>949</v>
      </c>
      <c r="E10" s="93" t="s">
        <v>950</v>
      </c>
      <c r="F10" s="93">
        <v>25</v>
      </c>
      <c r="G10" s="93" t="s">
        <v>1321</v>
      </c>
      <c r="H10" s="93" t="s">
        <v>1348</v>
      </c>
      <c r="I10" s="93" t="s">
        <v>59</v>
      </c>
      <c r="J10" s="107">
        <v>2513.0700000000002</v>
      </c>
      <c r="K10" s="107">
        <v>-2565</v>
      </c>
      <c r="L10" s="93">
        <v>1</v>
      </c>
      <c r="M10" s="107">
        <v>200</v>
      </c>
      <c r="N10" s="107">
        <f>IF(M10&lt;=251, VLOOKUP(B3, 'Look Up Table'!I:J, 2, TRUE) * L10, 0)</f>
        <v>300</v>
      </c>
      <c r="O10" s="107">
        <f>IF(N10&gt;0, N10 - M10, 0)</f>
        <v>100</v>
      </c>
      <c r="P10" s="107">
        <f>IF(N10 = 0, K10 * B6, 0)</f>
        <v>0</v>
      </c>
      <c r="Q10" s="93"/>
      <c r="R10" s="93"/>
    </row>
    <row r="11" spans="1:18" x14ac:dyDescent="0.25">
      <c r="A11" s="96">
        <v>45736</v>
      </c>
      <c r="B11" s="93">
        <v>9570</v>
      </c>
      <c r="C11" s="93">
        <v>225699</v>
      </c>
      <c r="D11" s="93" t="s">
        <v>953</v>
      </c>
      <c r="E11" s="93" t="s">
        <v>954</v>
      </c>
      <c r="F11" s="93">
        <v>25</v>
      </c>
      <c r="G11" s="93" t="s">
        <v>1319</v>
      </c>
      <c r="H11" s="93" t="s">
        <v>1344</v>
      </c>
      <c r="I11" s="93" t="s">
        <v>59</v>
      </c>
      <c r="J11" s="107">
        <v>4204.16</v>
      </c>
      <c r="K11" s="107">
        <v>2391.75</v>
      </c>
      <c r="L11" s="93">
        <v>1</v>
      </c>
      <c r="M11" s="107">
        <v>430.52</v>
      </c>
      <c r="N11" s="107">
        <f>IF(M11&lt;=251, VLOOKUP(B3, 'Look Up Table'!I:J, 2, TRUE) * L11, 0)</f>
        <v>0</v>
      </c>
      <c r="O11" s="107">
        <f>IF(N11&gt;0, N11 - M11, 0)</f>
        <v>0</v>
      </c>
      <c r="P11" s="107">
        <f>IF(N11 = 0, K11 * B6, 0)</f>
        <v>0</v>
      </c>
      <c r="Q11" s="93"/>
      <c r="R11" s="93"/>
    </row>
    <row r="12" spans="1:18" x14ac:dyDescent="0.25">
      <c r="A12" s="96">
        <v>45741</v>
      </c>
      <c r="B12" s="93" t="s">
        <v>312</v>
      </c>
      <c r="C12" s="93">
        <v>266642</v>
      </c>
      <c r="D12" s="93" t="s">
        <v>308</v>
      </c>
      <c r="E12" s="93" t="s">
        <v>309</v>
      </c>
      <c r="F12" s="93">
        <v>25</v>
      </c>
      <c r="G12" s="93" t="s">
        <v>1321</v>
      </c>
      <c r="H12" s="93" t="s">
        <v>1348</v>
      </c>
      <c r="I12" s="93" t="s">
        <v>59</v>
      </c>
      <c r="J12" s="107">
        <v>1785.9</v>
      </c>
      <c r="K12" s="107">
        <v>1470</v>
      </c>
      <c r="L12" s="93">
        <v>0.5</v>
      </c>
      <c r="M12" s="107">
        <v>264.60000000000002</v>
      </c>
      <c r="N12" s="107">
        <f>IF(M12&lt;=251, VLOOKUP(B3, 'Look Up Table'!I:J, 2, TRUE) * L12, 0)</f>
        <v>0</v>
      </c>
      <c r="O12" s="107">
        <f>IF(N12&gt;0, N12 - M12, 0)</f>
        <v>0</v>
      </c>
      <c r="P12" s="107">
        <f>IF(N12 = 0, K12 * B6, 0)</f>
        <v>0</v>
      </c>
      <c r="Q12" s="93"/>
      <c r="R12" s="93"/>
    </row>
    <row r="13" spans="1:18" x14ac:dyDescent="0.25">
      <c r="A13" s="96">
        <v>45743</v>
      </c>
      <c r="B13" s="93">
        <v>9721</v>
      </c>
      <c r="C13" s="93">
        <v>24244</v>
      </c>
      <c r="D13" s="93" t="s">
        <v>955</v>
      </c>
      <c r="E13" s="93">
        <v>5232712</v>
      </c>
      <c r="F13" s="93">
        <v>25</v>
      </c>
      <c r="G13" s="93" t="s">
        <v>1321</v>
      </c>
      <c r="H13" s="93" t="s">
        <v>1322</v>
      </c>
      <c r="I13" s="93" t="s">
        <v>59</v>
      </c>
      <c r="J13" s="107">
        <v>1157.6300000000001</v>
      </c>
      <c r="K13" s="107">
        <v>-493</v>
      </c>
      <c r="L13" s="93">
        <v>1</v>
      </c>
      <c r="M13" s="107">
        <v>200</v>
      </c>
      <c r="N13" s="107">
        <f>IF(M13&lt;=251, VLOOKUP(B3, 'Look Up Table'!I:J, 2, TRUE) * L13, 0)</f>
        <v>300</v>
      </c>
      <c r="O13" s="107">
        <f>IF(N13&gt;0, N13 - M13, 0)</f>
        <v>100</v>
      </c>
      <c r="P13" s="107">
        <f>IF(N13 = 0, K13 * B6, 0)</f>
        <v>0</v>
      </c>
      <c r="Q13" s="93"/>
      <c r="R13" s="93"/>
    </row>
    <row r="14" spans="1:18" x14ac:dyDescent="0.25">
      <c r="A14" s="96">
        <v>45744</v>
      </c>
      <c r="B14" s="93">
        <v>9756</v>
      </c>
      <c r="C14" s="93">
        <v>226994</v>
      </c>
      <c r="D14" s="93" t="s">
        <v>674</v>
      </c>
      <c r="E14" s="93" t="s">
        <v>675</v>
      </c>
      <c r="F14" s="93">
        <v>25</v>
      </c>
      <c r="G14" s="93" t="s">
        <v>1321</v>
      </c>
      <c r="H14" s="93" t="s">
        <v>1348</v>
      </c>
      <c r="I14" s="93" t="s">
        <v>59</v>
      </c>
      <c r="J14" s="107">
        <v>2158.9899999999998</v>
      </c>
      <c r="K14" s="107">
        <v>775</v>
      </c>
      <c r="L14" s="93">
        <v>0.5</v>
      </c>
      <c r="M14" s="107">
        <v>139.5</v>
      </c>
      <c r="N14" s="107">
        <f>IF(M14&lt;=251, VLOOKUP(B3, 'Look Up Table'!I:J, 2, TRUE) * L14, 0)</f>
        <v>150</v>
      </c>
      <c r="O14" s="107">
        <f>IF(N14&gt;0, N14 - M14, 0)</f>
        <v>10.5</v>
      </c>
      <c r="P14" s="107">
        <f>IF(N14 = 0, K14 * B6, 0)</f>
        <v>0</v>
      </c>
      <c r="Q14" s="93"/>
      <c r="R14" s="93"/>
    </row>
    <row r="15" spans="1:18" x14ac:dyDescent="0.25">
      <c r="A15" s="96">
        <v>45744</v>
      </c>
      <c r="B15" s="93">
        <v>9753</v>
      </c>
      <c r="C15" s="93">
        <v>18444</v>
      </c>
      <c r="D15" s="93" t="s">
        <v>371</v>
      </c>
      <c r="E15" s="93" t="s">
        <v>372</v>
      </c>
      <c r="F15" s="93">
        <v>25</v>
      </c>
      <c r="G15" s="93" t="s">
        <v>1321</v>
      </c>
      <c r="H15" s="93" t="s">
        <v>1346</v>
      </c>
      <c r="I15" s="93" t="s">
        <v>59</v>
      </c>
      <c r="J15" s="107">
        <v>587</v>
      </c>
      <c r="K15" s="107">
        <v>1125</v>
      </c>
      <c r="L15" s="93">
        <v>0.5</v>
      </c>
      <c r="M15" s="107">
        <v>202.5</v>
      </c>
      <c r="N15" s="107">
        <f>IF(M15&lt;=251, VLOOKUP(B3, 'Look Up Table'!I:J, 2, TRUE) * L15, 0)</f>
        <v>150</v>
      </c>
      <c r="O15" s="107">
        <f>IF(N15&gt;0, N15 - M15, 0)</f>
        <v>-52.5</v>
      </c>
      <c r="P15" s="107">
        <f>IF(N15 = 0, K15 * B6, 0)</f>
        <v>0</v>
      </c>
      <c r="Q15" s="93"/>
      <c r="R15" s="93"/>
    </row>
    <row r="16" spans="1:18" x14ac:dyDescent="0.25">
      <c r="A16" s="96">
        <v>45747</v>
      </c>
      <c r="B16" s="93">
        <v>9980</v>
      </c>
      <c r="C16" s="93">
        <v>24536</v>
      </c>
      <c r="D16" s="93" t="s">
        <v>956</v>
      </c>
      <c r="E16" s="93">
        <v>9006261</v>
      </c>
      <c r="F16" s="93">
        <v>25</v>
      </c>
      <c r="G16" s="93" t="s">
        <v>1321</v>
      </c>
      <c r="H16" s="93" t="s">
        <v>1346</v>
      </c>
      <c r="I16" s="93" t="s">
        <v>59</v>
      </c>
      <c r="J16" s="107">
        <v>3060.5</v>
      </c>
      <c r="K16" s="107">
        <v>-3309</v>
      </c>
      <c r="L16" s="93">
        <v>1</v>
      </c>
      <c r="M16" s="107">
        <v>200</v>
      </c>
      <c r="N16" s="107">
        <f>IF(M16&lt;=251, VLOOKUP(B3, 'Look Up Table'!I:J, 2, TRUE) * L16, 0)</f>
        <v>300</v>
      </c>
      <c r="O16" s="107">
        <f>IF(N16&gt;0, N16 - M16, 0)</f>
        <v>100</v>
      </c>
      <c r="P16" s="107">
        <f>IF(N16 = 0, K16 * B6, 0)</f>
        <v>0</v>
      </c>
      <c r="Q16" s="93"/>
      <c r="R16" s="93"/>
    </row>
    <row r="17" spans="1:18" x14ac:dyDescent="0.25">
      <c r="A17" s="96">
        <v>45747</v>
      </c>
      <c r="B17" s="93">
        <v>9853</v>
      </c>
      <c r="C17" s="93">
        <v>277687</v>
      </c>
      <c r="D17" s="93" t="s">
        <v>957</v>
      </c>
      <c r="E17" s="93" t="s">
        <v>958</v>
      </c>
      <c r="F17" s="93">
        <v>25</v>
      </c>
      <c r="G17" s="93" t="s">
        <v>1319</v>
      </c>
      <c r="H17" s="93" t="s">
        <v>1333</v>
      </c>
      <c r="I17" s="93" t="s">
        <v>59</v>
      </c>
      <c r="J17" s="107">
        <v>2158.69</v>
      </c>
      <c r="K17" s="107">
        <v>-3084.05</v>
      </c>
      <c r="L17" s="93">
        <v>1</v>
      </c>
      <c r="M17" s="107">
        <v>200</v>
      </c>
      <c r="N17" s="107">
        <f>IF(M17&lt;=251, VLOOKUP(B3, 'Look Up Table'!I:J, 2, TRUE) * L17, 0)</f>
        <v>300</v>
      </c>
      <c r="O17" s="107">
        <f>IF(N17&gt;0, N17 - M17, 0)</f>
        <v>100</v>
      </c>
      <c r="P17" s="107">
        <f>IF(N17 = 0, K17 * B6, 0)</f>
        <v>0</v>
      </c>
      <c r="Q17" s="93"/>
      <c r="R17" s="93"/>
    </row>
    <row r="18" spans="1:18" x14ac:dyDescent="0.25">
      <c r="A18" s="96">
        <v>45747</v>
      </c>
      <c r="B18" s="93" t="s">
        <v>739</v>
      </c>
      <c r="C18" s="93">
        <v>24482</v>
      </c>
      <c r="D18" s="93" t="s">
        <v>737</v>
      </c>
      <c r="E18" s="93" t="s">
        <v>738</v>
      </c>
      <c r="F18" s="93">
        <v>25</v>
      </c>
      <c r="G18" s="93" t="s">
        <v>1321</v>
      </c>
      <c r="H18" s="93" t="s">
        <v>1346</v>
      </c>
      <c r="I18" s="93" t="s">
        <v>59</v>
      </c>
      <c r="J18" s="107">
        <v>992</v>
      </c>
      <c r="K18" s="107">
        <v>2192.5</v>
      </c>
      <c r="L18" s="93">
        <v>0.5</v>
      </c>
      <c r="M18" s="107">
        <v>394.65</v>
      </c>
      <c r="N18" s="107">
        <f>IF(M18&lt;=251, VLOOKUP(B3, 'Look Up Table'!I:J, 2, TRUE) * L18, 0)</f>
        <v>0</v>
      </c>
      <c r="O18" s="107">
        <f>IF(N18&gt;0, N18 - M18, 0)</f>
        <v>0</v>
      </c>
      <c r="P18" s="107">
        <f>IF(N18 = 0, K18 * B6, 0)</f>
        <v>0</v>
      </c>
      <c r="Q18" s="93"/>
      <c r="R18" s="93"/>
    </row>
    <row r="19" spans="1:18" x14ac:dyDescent="0.25">
      <c r="A19" s="104"/>
      <c r="B19" s="105"/>
      <c r="C19" s="105"/>
      <c r="D19" s="105"/>
      <c r="E19" s="105"/>
      <c r="F19" s="105"/>
      <c r="G19" s="105"/>
      <c r="H19" s="105"/>
      <c r="I19" s="105"/>
      <c r="J19" s="108">
        <f>SUM(J8:J18)</f>
        <v>22532.52</v>
      </c>
      <c r="K19" s="108">
        <f>SUM(K8:K18)</f>
        <v>-995.5</v>
      </c>
      <c r="L19" s="105">
        <f>SUM(L8:L18)</f>
        <v>9</v>
      </c>
      <c r="M19" s="108">
        <f>SUM(M8:M18)</f>
        <v>2854.28</v>
      </c>
      <c r="N19" s="108">
        <f>SUM(N8:N18)</f>
        <v>1800</v>
      </c>
      <c r="O19" s="108">
        <f>SUM(O8:O18)</f>
        <v>458</v>
      </c>
      <c r="P19" s="108">
        <f>SUM(P8:P18)</f>
        <v>0</v>
      </c>
      <c r="Q19" s="93"/>
      <c r="R19" s="93"/>
    </row>
    <row r="21" spans="1:18" x14ac:dyDescent="0.25">
      <c r="J21" s="99" t="s">
        <v>1451</v>
      </c>
      <c r="M21" s="106">
        <f>-VLOOKUP(B2, '3213'!A:G, 7, 0)</f>
        <v>-1813.11</v>
      </c>
    </row>
    <row r="22" spans="1:18" x14ac:dyDescent="0.25">
      <c r="J22" s="99"/>
      <c r="M22" s="106"/>
    </row>
    <row r="23" spans="1:18" x14ac:dyDescent="0.25">
      <c r="J23" s="99" t="s">
        <v>1264</v>
      </c>
      <c r="K23" s="92">
        <v>0.18</v>
      </c>
      <c r="M23" s="106">
        <f>M19</f>
        <v>2854.28</v>
      </c>
    </row>
    <row r="24" spans="1:18" x14ac:dyDescent="0.25">
      <c r="J24" s="99"/>
      <c r="M24" s="106"/>
    </row>
    <row r="25" spans="1:18" x14ac:dyDescent="0.25">
      <c r="A25" s="110"/>
      <c r="B25" s="109"/>
      <c r="C25" s="109"/>
      <c r="D25" t="s">
        <v>1448</v>
      </c>
      <c r="J25" s="99" t="s">
        <v>1265</v>
      </c>
      <c r="K25" s="92">
        <f>B6</f>
        <v>0</v>
      </c>
      <c r="M25" s="106">
        <f>P19</f>
        <v>0</v>
      </c>
    </row>
    <row r="26" spans="1:18" x14ac:dyDescent="0.25">
      <c r="J26" s="99"/>
      <c r="M26" s="106"/>
    </row>
    <row r="27" spans="1:18" x14ac:dyDescent="0.25">
      <c r="J27" s="99" t="s">
        <v>1452</v>
      </c>
      <c r="M27" s="106">
        <f>O19</f>
        <v>458</v>
      </c>
    </row>
    <row r="28" spans="1:18" x14ac:dyDescent="0.25">
      <c r="J28" s="99"/>
      <c r="M28" s="106"/>
    </row>
    <row r="29" spans="1:18" x14ac:dyDescent="0.25">
      <c r="J29" s="99" t="s">
        <v>1453</v>
      </c>
      <c r="M29" s="106">
        <f>SUM(P19, O19)</f>
        <v>458</v>
      </c>
    </row>
    <row r="30" spans="1:18" x14ac:dyDescent="0.25">
      <c r="J30" s="99"/>
      <c r="M30" s="106"/>
    </row>
    <row r="31" spans="1:18" x14ac:dyDescent="0.25">
      <c r="A31" s="110"/>
      <c r="B31" s="109"/>
      <c r="C31" s="109"/>
      <c r="D31" t="s">
        <v>1449</v>
      </c>
      <c r="J31" s="99" t="s">
        <v>1454</v>
      </c>
      <c r="M31" s="106">
        <f>J19</f>
        <v>22532.52</v>
      </c>
    </row>
    <row r="32" spans="1:18" x14ac:dyDescent="0.25">
      <c r="J32" s="99"/>
      <c r="M32" s="106"/>
    </row>
    <row r="33" spans="10:15" x14ac:dyDescent="0.25">
      <c r="J33" s="99" t="s">
        <v>1455</v>
      </c>
      <c r="K33" s="92">
        <v>-0.25</v>
      </c>
      <c r="M33" s="106">
        <f>K33 * M31</f>
        <v>-5633.13</v>
      </c>
    </row>
    <row r="34" spans="10:15" x14ac:dyDescent="0.25">
      <c r="J34" s="99"/>
      <c r="M34" s="106"/>
    </row>
    <row r="35" spans="10:15" x14ac:dyDescent="0.25">
      <c r="J35" s="99" t="s">
        <v>1456</v>
      </c>
      <c r="M35" s="106">
        <f>M31 + M33</f>
        <v>16899.39</v>
      </c>
    </row>
    <row r="36" spans="10:15" x14ac:dyDescent="0.25">
      <c r="J36" s="99"/>
      <c r="M36" s="106"/>
    </row>
    <row r="37" spans="10:15" x14ac:dyDescent="0.25">
      <c r="J37" s="99" t="s">
        <v>1457</v>
      </c>
      <c r="K37" s="92">
        <v>0.05</v>
      </c>
      <c r="M37" s="106">
        <f>K37 * M35</f>
        <v>844.96950000000004</v>
      </c>
    </row>
    <row r="38" spans="10:15" x14ac:dyDescent="0.25">
      <c r="J38" s="99"/>
      <c r="M38" s="106"/>
    </row>
    <row r="39" spans="10:15" x14ac:dyDescent="0.25">
      <c r="J39" s="99" t="s">
        <v>1458</v>
      </c>
      <c r="K39" t="str">
        <f>VLOOKUP(B2,'Pay Summary'!A:D,4,0)</f>
        <v/>
      </c>
      <c r="M39" s="106">
        <f>IF(K39 = 1, 500, 0)</f>
        <v>0</v>
      </c>
    </row>
    <row r="40" spans="10:15" x14ac:dyDescent="0.25">
      <c r="J40" s="99"/>
      <c r="M40" s="106"/>
    </row>
    <row r="41" spans="10:15" x14ac:dyDescent="0.25">
      <c r="J41" s="99" t="s">
        <v>1450</v>
      </c>
      <c r="K41">
        <f>L19</f>
        <v>9</v>
      </c>
      <c r="M41" s="106">
        <f>VLOOKUP(K41, 'Look Up Table'!E:F, 2, TRUE)</f>
        <v>0</v>
      </c>
    </row>
    <row r="42" spans="10:15" x14ac:dyDescent="0.25">
      <c r="J42" s="99"/>
      <c r="M42" s="106"/>
    </row>
    <row r="43" spans="10:15" x14ac:dyDescent="0.25">
      <c r="J43" s="99" t="s">
        <v>1306</v>
      </c>
      <c r="K43" s="111" t="str">
        <f>B4</f>
        <v>3P</v>
      </c>
      <c r="M43" s="106">
        <f>IF(B5&gt;=3,IF(B4="3P",L19*50,IF(B4="A",0,IF(B4="B",L19*-50))),0)</f>
        <v>450</v>
      </c>
      <c r="N43" s="99" t="s">
        <v>1463</v>
      </c>
      <c r="O43" s="112">
        <f>'NPS Sheet'!X51</f>
        <v>0.91700000000000004</v>
      </c>
    </row>
    <row r="44" spans="10:15" x14ac:dyDescent="0.25">
      <c r="J44" s="99"/>
      <c r="M44" s="106"/>
    </row>
    <row r="45" spans="10:15" x14ac:dyDescent="0.25">
      <c r="J45" s="99" t="s">
        <v>1459</v>
      </c>
      <c r="M45" s="106">
        <f>SUM(M41, M43, M39)</f>
        <v>450</v>
      </c>
    </row>
    <row r="46" spans="10:15" x14ac:dyDescent="0.25">
      <c r="J46" s="99"/>
      <c r="M46" s="106"/>
    </row>
    <row r="47" spans="10:15" x14ac:dyDescent="0.25">
      <c r="J47" s="99" t="s">
        <v>1460</v>
      </c>
      <c r="M47" s="106">
        <f>IFERROR(VLOOKUP(B2,SPIFFS!A:H,8,0),0)</f>
        <v>0</v>
      </c>
    </row>
    <row r="48" spans="10:15" x14ac:dyDescent="0.25">
      <c r="J48" s="99"/>
      <c r="M48" s="106"/>
    </row>
    <row r="49" spans="10:13" x14ac:dyDescent="0.25">
      <c r="J49" s="99" t="s">
        <v>1461</v>
      </c>
      <c r="M49" s="106">
        <f>SUM(M23, M29, M37, M45, M21, M47)</f>
        <v>2794.1395000000002</v>
      </c>
    </row>
    <row r="50" spans="10:13" x14ac:dyDescent="0.25">
      <c r="J50" s="99"/>
      <c r="M50" s="106"/>
    </row>
    <row r="51" spans="10:13" x14ac:dyDescent="0.25">
      <c r="J51" s="99" t="s">
        <v>1462</v>
      </c>
      <c r="M51" s="106">
        <f>IF(M49&lt;0, SUM(M21, M45, M37, M29), 0)</f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BBBBE4-B48E-42A9-9A17-B90E1EE448E3}">
  <dimension ref="A1:R49"/>
  <sheetViews>
    <sheetView workbookViewId="0"/>
  </sheetViews>
  <sheetFormatPr defaultRowHeight="15" x14ac:dyDescent="0.25"/>
  <cols>
    <col min="1" max="1" width="23" style="95" bestFit="1" customWidth="1"/>
    <col min="2" max="2" width="17.28515625" bestFit="1" customWidth="1"/>
    <col min="3" max="3" width="11.42578125" bestFit="1" customWidth="1"/>
    <col min="4" max="4" width="28.85546875" bestFit="1" customWidth="1"/>
    <col min="5" max="5" width="9.5703125" bestFit="1" customWidth="1"/>
    <col min="6" max="6" width="5" bestFit="1" customWidth="1"/>
    <col min="7" max="7" width="22.140625" bestFit="1" customWidth="1"/>
    <col min="8" max="8" width="17.5703125" bestFit="1" customWidth="1"/>
    <col min="9" max="9" width="9.5703125" bestFit="1" customWidth="1"/>
    <col min="10" max="10" width="23.140625" bestFit="1" customWidth="1"/>
    <col min="11" max="11" width="18.42578125" bestFit="1" customWidth="1"/>
    <col min="12" max="12" width="5.7109375" bestFit="1" customWidth="1"/>
    <col min="13" max="13" width="20.140625" bestFit="1" customWidth="1"/>
    <col min="14" max="14" width="13.7109375" bestFit="1" customWidth="1"/>
    <col min="15" max="15" width="11.5703125" bestFit="1" customWidth="1"/>
    <col min="16" max="16" width="24.85546875" bestFit="1" customWidth="1"/>
  </cols>
  <sheetData>
    <row r="1" spans="1:18" x14ac:dyDescent="0.25">
      <c r="A1" s="101" t="s">
        <v>1249</v>
      </c>
      <c r="B1" s="100" t="s">
        <v>34</v>
      </c>
    </row>
    <row r="2" spans="1:18" x14ac:dyDescent="0.25">
      <c r="A2" s="101" t="s">
        <v>1307</v>
      </c>
      <c r="B2" s="100">
        <v>242160</v>
      </c>
    </row>
    <row r="3" spans="1:18" x14ac:dyDescent="0.25">
      <c r="A3" s="101" t="s">
        <v>1305</v>
      </c>
      <c r="B3" s="100">
        <f>VLOOKUP(B2, '90'!A:E, 5, 0)</f>
        <v>13</v>
      </c>
    </row>
    <row r="4" spans="1:18" x14ac:dyDescent="0.25">
      <c r="A4" s="101" t="s">
        <v>1306</v>
      </c>
      <c r="B4" s="100" t="str">
        <f>IFERROR(VLOOKUP(B2, NPS!B:H, 7, 0), 0)</f>
        <v>3P</v>
      </c>
    </row>
    <row r="5" spans="1:18" x14ac:dyDescent="0.25">
      <c r="A5" s="101" t="s">
        <v>1257</v>
      </c>
      <c r="B5" s="100">
        <f>IFERROR(VLOOKUP(B2, NPS!B:H, 3, 0), 0)</f>
        <v>4</v>
      </c>
    </row>
    <row r="6" spans="1:18" x14ac:dyDescent="0.25">
      <c r="A6" s="101" t="s">
        <v>1447</v>
      </c>
      <c r="B6" s="103">
        <f>VLOOKUP(8, 'Look Up Table'!A:B, 2, TRUE)</f>
        <v>0</v>
      </c>
    </row>
    <row r="7" spans="1:18" ht="50.1" customHeight="1" x14ac:dyDescent="0.25">
      <c r="A7" s="102" t="s">
        <v>43</v>
      </c>
      <c r="B7" s="80" t="s">
        <v>1308</v>
      </c>
      <c r="C7" s="80" t="s">
        <v>1309</v>
      </c>
      <c r="D7" s="80" t="s">
        <v>48</v>
      </c>
      <c r="E7" s="80" t="s">
        <v>1310</v>
      </c>
      <c r="F7" s="80" t="s">
        <v>1311</v>
      </c>
      <c r="G7" s="80" t="s">
        <v>1312</v>
      </c>
      <c r="H7" s="80" t="s">
        <v>1313</v>
      </c>
      <c r="I7" s="80" t="s">
        <v>51</v>
      </c>
      <c r="J7" s="80" t="s">
        <v>1314</v>
      </c>
      <c r="K7" s="80" t="s">
        <v>1315</v>
      </c>
      <c r="L7" s="80" t="s">
        <v>54</v>
      </c>
      <c r="M7" s="80" t="s">
        <v>55</v>
      </c>
      <c r="N7" s="80" t="s">
        <v>1316</v>
      </c>
      <c r="O7" s="80" t="s">
        <v>1317</v>
      </c>
      <c r="P7" s="80" t="s">
        <v>1318</v>
      </c>
    </row>
    <row r="8" spans="1:18" x14ac:dyDescent="0.25">
      <c r="A8" s="96">
        <v>45729</v>
      </c>
      <c r="B8" s="93">
        <v>9461</v>
      </c>
      <c r="C8" s="93">
        <v>23807</v>
      </c>
      <c r="D8" s="93" t="s">
        <v>959</v>
      </c>
      <c r="E8" s="93" t="s">
        <v>960</v>
      </c>
      <c r="F8" s="93">
        <v>20</v>
      </c>
      <c r="G8" s="93" t="s">
        <v>1337</v>
      </c>
      <c r="H8" s="93" t="s">
        <v>1382</v>
      </c>
      <c r="I8" s="93" t="s">
        <v>86</v>
      </c>
      <c r="J8" s="107">
        <v>500</v>
      </c>
      <c r="K8" s="107">
        <v>785.02</v>
      </c>
      <c r="L8" s="93">
        <v>1</v>
      </c>
      <c r="M8" s="107">
        <v>200</v>
      </c>
      <c r="N8" s="107">
        <f>IF(M8&lt;=251, VLOOKUP(B3, 'Look Up Table'!I:J, 2, TRUE) * L8, 0)</f>
        <v>250</v>
      </c>
      <c r="O8" s="107">
        <f>IF(N8&gt;0, N8 - M8, 0)</f>
        <v>50</v>
      </c>
      <c r="P8" s="107">
        <f>IF(N8 = 0, K8 * B6, 0)</f>
        <v>0</v>
      </c>
      <c r="Q8" s="93"/>
      <c r="R8" s="93"/>
    </row>
    <row r="9" spans="1:18" x14ac:dyDescent="0.25">
      <c r="A9" s="96">
        <v>45735</v>
      </c>
      <c r="B9" s="93">
        <v>9619</v>
      </c>
      <c r="C9" s="93">
        <v>24050</v>
      </c>
      <c r="D9" s="93" t="s">
        <v>962</v>
      </c>
      <c r="E9" s="93" t="s">
        <v>963</v>
      </c>
      <c r="F9" s="93">
        <v>25</v>
      </c>
      <c r="G9" s="93" t="s">
        <v>1319</v>
      </c>
      <c r="H9" s="93" t="s">
        <v>1325</v>
      </c>
      <c r="I9" s="93" t="s">
        <v>59</v>
      </c>
      <c r="J9" s="107">
        <v>146</v>
      </c>
      <c r="K9" s="107">
        <v>-1413.97</v>
      </c>
      <c r="L9" s="93">
        <v>1</v>
      </c>
      <c r="M9" s="107">
        <v>200</v>
      </c>
      <c r="N9" s="107">
        <f>IF(M9&lt;=251, VLOOKUP(B3, 'Look Up Table'!I:J, 2, TRUE) * L9, 0)</f>
        <v>250</v>
      </c>
      <c r="O9" s="107">
        <f>IF(N9&gt;0, N9 - M9, 0)</f>
        <v>50</v>
      </c>
      <c r="P9" s="107">
        <f>IF(N9 = 0, K9 * B6, 0)</f>
        <v>0</v>
      </c>
      <c r="Q9" s="93"/>
      <c r="R9" s="93"/>
    </row>
    <row r="10" spans="1:18" x14ac:dyDescent="0.25">
      <c r="A10" s="96">
        <v>45741</v>
      </c>
      <c r="B10" s="93">
        <v>9645</v>
      </c>
      <c r="C10" s="93">
        <v>223234</v>
      </c>
      <c r="D10" s="93" t="s">
        <v>964</v>
      </c>
      <c r="E10" s="93" t="s">
        <v>965</v>
      </c>
      <c r="F10" s="93">
        <v>22</v>
      </c>
      <c r="G10" s="93" t="s">
        <v>1321</v>
      </c>
      <c r="H10" s="93" t="s">
        <v>1365</v>
      </c>
      <c r="I10" s="93" t="s">
        <v>86</v>
      </c>
      <c r="J10" s="107">
        <v>724.14</v>
      </c>
      <c r="K10" s="107">
        <v>600</v>
      </c>
      <c r="L10" s="93">
        <v>1</v>
      </c>
      <c r="M10" s="107">
        <v>200</v>
      </c>
      <c r="N10" s="107">
        <f>IF(M10&lt;=251, VLOOKUP(B3, 'Look Up Table'!I:J, 2, TRUE) * L10, 0)</f>
        <v>250</v>
      </c>
      <c r="O10" s="107">
        <f>IF(N10&gt;0, N10 - M10, 0)</f>
        <v>50</v>
      </c>
      <c r="P10" s="107">
        <f>IF(N10 = 0, K10 * B6, 0)</f>
        <v>0</v>
      </c>
      <c r="Q10" s="93"/>
      <c r="R10" s="93"/>
    </row>
    <row r="11" spans="1:18" x14ac:dyDescent="0.25">
      <c r="A11" s="96">
        <v>45742</v>
      </c>
      <c r="B11" s="93">
        <v>9688</v>
      </c>
      <c r="C11" s="93">
        <v>211426</v>
      </c>
      <c r="D11" s="93" t="s">
        <v>967</v>
      </c>
      <c r="E11" s="93" t="s">
        <v>968</v>
      </c>
      <c r="F11" s="93">
        <v>22</v>
      </c>
      <c r="G11" s="93" t="s">
        <v>1321</v>
      </c>
      <c r="H11" s="93" t="s">
        <v>1356</v>
      </c>
      <c r="I11" s="93" t="s">
        <v>86</v>
      </c>
      <c r="J11" s="107">
        <v>1224.81</v>
      </c>
      <c r="K11" s="107">
        <v>2057.2600000000002</v>
      </c>
      <c r="L11" s="93">
        <v>0.5</v>
      </c>
      <c r="M11" s="107">
        <v>370.31</v>
      </c>
      <c r="N11" s="107">
        <f>IF(M11&lt;=251, VLOOKUP(B3, 'Look Up Table'!I:J, 2, TRUE) * L11, 0)</f>
        <v>0</v>
      </c>
      <c r="O11" s="107">
        <f>IF(N11&gt;0, N11 - M11, 0)</f>
        <v>0</v>
      </c>
      <c r="P11" s="107">
        <f>IF(N11 = 0, K11 * B6, 0)</f>
        <v>0</v>
      </c>
      <c r="Q11" s="93"/>
      <c r="R11" s="93"/>
    </row>
    <row r="12" spans="1:18" x14ac:dyDescent="0.25">
      <c r="A12" s="96">
        <v>45747</v>
      </c>
      <c r="B12" s="93" t="s">
        <v>973</v>
      </c>
      <c r="C12" s="93">
        <v>273457</v>
      </c>
      <c r="D12" s="93" t="s">
        <v>971</v>
      </c>
      <c r="E12" s="93" t="s">
        <v>972</v>
      </c>
      <c r="F12" s="93">
        <v>25</v>
      </c>
      <c r="G12" s="93" t="s">
        <v>1329</v>
      </c>
      <c r="H12" s="93" t="s">
        <v>1334</v>
      </c>
      <c r="I12" s="93" t="s">
        <v>59</v>
      </c>
      <c r="J12" s="107">
        <v>864.27</v>
      </c>
      <c r="K12" s="107">
        <v>-1124</v>
      </c>
      <c r="L12" s="93">
        <v>1</v>
      </c>
      <c r="M12" s="107">
        <v>200</v>
      </c>
      <c r="N12" s="107">
        <f>IF(M12&lt;=251, VLOOKUP(B3, 'Look Up Table'!I:J, 2, TRUE) * L12, 0)</f>
        <v>250</v>
      </c>
      <c r="O12" s="107">
        <f>IF(N12&gt;0, N12 - M12, 0)</f>
        <v>50</v>
      </c>
      <c r="P12" s="107">
        <f>IF(N12 = 0, K12 * B6, 0)</f>
        <v>0</v>
      </c>
      <c r="Q12" s="93"/>
      <c r="R12" s="93"/>
    </row>
    <row r="13" spans="1:18" x14ac:dyDescent="0.25">
      <c r="A13" s="96">
        <v>45747</v>
      </c>
      <c r="B13" s="93">
        <v>9948</v>
      </c>
      <c r="C13" s="93">
        <v>24493</v>
      </c>
      <c r="D13" s="93" t="s">
        <v>978</v>
      </c>
      <c r="E13" s="93" t="s">
        <v>979</v>
      </c>
      <c r="F13" s="93">
        <v>25</v>
      </c>
      <c r="G13" s="93" t="s">
        <v>1329</v>
      </c>
      <c r="H13" s="93" t="s">
        <v>1339</v>
      </c>
      <c r="I13" s="93" t="s">
        <v>59</v>
      </c>
      <c r="J13" s="107">
        <v>2646.55</v>
      </c>
      <c r="K13" s="107">
        <v>756.6</v>
      </c>
      <c r="L13" s="93">
        <v>1</v>
      </c>
      <c r="M13" s="107">
        <v>200</v>
      </c>
      <c r="N13" s="107">
        <f>IF(M13&lt;=251, VLOOKUP(B3, 'Look Up Table'!I:J, 2, TRUE) * L13, 0)</f>
        <v>250</v>
      </c>
      <c r="O13" s="107">
        <f>IF(N13&gt;0, N13 - M13, 0)</f>
        <v>50</v>
      </c>
      <c r="P13" s="107">
        <f>IF(N13 = 0, K13 * B6, 0)</f>
        <v>0</v>
      </c>
      <c r="Q13" s="93"/>
      <c r="R13" s="93"/>
    </row>
    <row r="14" spans="1:18" x14ac:dyDescent="0.25">
      <c r="A14" s="96">
        <v>45747</v>
      </c>
      <c r="B14" s="93" t="s">
        <v>980</v>
      </c>
      <c r="C14" s="93">
        <v>24374</v>
      </c>
      <c r="D14" s="93" t="s">
        <v>974</v>
      </c>
      <c r="E14" s="93" t="s">
        <v>975</v>
      </c>
      <c r="F14" s="93">
        <v>25</v>
      </c>
      <c r="G14" s="93" t="s">
        <v>1329</v>
      </c>
      <c r="H14" s="93" t="s">
        <v>1330</v>
      </c>
      <c r="I14" s="93" t="s">
        <v>59</v>
      </c>
      <c r="J14" s="107">
        <v>655.93</v>
      </c>
      <c r="K14" s="107">
        <v>-1288.44</v>
      </c>
      <c r="L14" s="93">
        <v>0.5</v>
      </c>
      <c r="M14" s="107">
        <v>100</v>
      </c>
      <c r="N14" s="107">
        <f>IF(M14&lt;=251, VLOOKUP(B3, 'Look Up Table'!I:J, 2, TRUE) * L14, 0)</f>
        <v>125</v>
      </c>
      <c r="O14" s="107">
        <f>IF(N14&gt;0, N14 - M14, 0)</f>
        <v>25</v>
      </c>
      <c r="P14" s="107">
        <f>IF(N14 = 0, K14 * B6, 0)</f>
        <v>0</v>
      </c>
      <c r="Q14" s="93"/>
      <c r="R14" s="93"/>
    </row>
    <row r="15" spans="1:18" x14ac:dyDescent="0.25">
      <c r="A15" s="96">
        <v>45747</v>
      </c>
      <c r="B15" s="93">
        <v>9551</v>
      </c>
      <c r="C15" s="93">
        <v>23974</v>
      </c>
      <c r="D15" s="93" t="s">
        <v>981</v>
      </c>
      <c r="E15" s="93" t="s">
        <v>797</v>
      </c>
      <c r="F15" s="93">
        <v>18</v>
      </c>
      <c r="G15" s="93" t="s">
        <v>1319</v>
      </c>
      <c r="H15" s="93" t="s">
        <v>1388</v>
      </c>
      <c r="I15" s="93" t="s">
        <v>86</v>
      </c>
      <c r="J15" s="107">
        <v>755.72</v>
      </c>
      <c r="K15" s="107">
        <v>1306.77</v>
      </c>
      <c r="L15" s="93">
        <v>1</v>
      </c>
      <c r="M15" s="107">
        <v>235.22</v>
      </c>
      <c r="N15" s="107">
        <f>IF(M15&lt;=251, VLOOKUP(B3, 'Look Up Table'!I:J, 2, TRUE) * L15, 0)</f>
        <v>250</v>
      </c>
      <c r="O15" s="107">
        <f>IF(N15&gt;0, N15 - M15, 0)</f>
        <v>14.780000000000001</v>
      </c>
      <c r="P15" s="107">
        <f>IF(N15 = 0, K15 * B6, 0)</f>
        <v>0</v>
      </c>
      <c r="Q15" s="93"/>
      <c r="R15" s="93"/>
    </row>
    <row r="16" spans="1:18" x14ac:dyDescent="0.25">
      <c r="A16" s="96">
        <v>45747</v>
      </c>
      <c r="B16" s="93">
        <v>9577</v>
      </c>
      <c r="C16" s="93">
        <v>24008</v>
      </c>
      <c r="D16" s="93" t="s">
        <v>982</v>
      </c>
      <c r="E16" s="93" t="s">
        <v>983</v>
      </c>
      <c r="F16" s="93">
        <v>22</v>
      </c>
      <c r="G16" s="93" t="s">
        <v>1319</v>
      </c>
      <c r="H16" s="93" t="s">
        <v>1343</v>
      </c>
      <c r="I16" s="93" t="s">
        <v>86</v>
      </c>
      <c r="J16" s="107">
        <v>1872.28</v>
      </c>
      <c r="K16" s="107">
        <v>-1562.8</v>
      </c>
      <c r="L16" s="93">
        <v>1</v>
      </c>
      <c r="M16" s="107">
        <v>200</v>
      </c>
      <c r="N16" s="107">
        <f>IF(M16&lt;=251, VLOOKUP(B3, 'Look Up Table'!I:J, 2, TRUE) * L16, 0)</f>
        <v>250</v>
      </c>
      <c r="O16" s="107">
        <f>IF(N16&gt;0, N16 - M16, 0)</f>
        <v>50</v>
      </c>
      <c r="P16" s="107">
        <f>IF(N16 = 0, K16 * B6, 0)</f>
        <v>0</v>
      </c>
      <c r="Q16" s="93"/>
      <c r="R16" s="93"/>
    </row>
    <row r="17" spans="1:18" x14ac:dyDescent="0.25">
      <c r="A17" s="104"/>
      <c r="B17" s="105"/>
      <c r="C17" s="105"/>
      <c r="D17" s="105"/>
      <c r="E17" s="105"/>
      <c r="F17" s="105"/>
      <c r="G17" s="105"/>
      <c r="H17" s="105"/>
      <c r="I17" s="105"/>
      <c r="J17" s="108">
        <f>SUM(J8:J16)</f>
        <v>9389.7000000000007</v>
      </c>
      <c r="K17" s="108">
        <f>SUM(K8:K16)</f>
        <v>116.44000000000028</v>
      </c>
      <c r="L17" s="105">
        <f>SUM(L8:L16)</f>
        <v>8</v>
      </c>
      <c r="M17" s="108">
        <f>SUM(M8:M16)</f>
        <v>1905.53</v>
      </c>
      <c r="N17" s="108">
        <f>SUM(N8:N16)</f>
        <v>1875</v>
      </c>
      <c r="O17" s="108">
        <f>SUM(O8:O16)</f>
        <v>339.78</v>
      </c>
      <c r="P17" s="108">
        <f>SUM(P8:P16)</f>
        <v>0</v>
      </c>
      <c r="Q17" s="93"/>
      <c r="R17" s="93"/>
    </row>
    <row r="19" spans="1:18" x14ac:dyDescent="0.25">
      <c r="J19" s="99" t="s">
        <v>1451</v>
      </c>
      <c r="M19" s="106">
        <f>-VLOOKUP(B2, '3213'!A:G, 7, 0)</f>
        <v>-2546.96</v>
      </c>
    </row>
    <row r="20" spans="1:18" x14ac:dyDescent="0.25">
      <c r="J20" s="99"/>
      <c r="M20" s="106"/>
    </row>
    <row r="21" spans="1:18" x14ac:dyDescent="0.25">
      <c r="J21" s="99" t="s">
        <v>1264</v>
      </c>
      <c r="K21" s="92">
        <v>0.18</v>
      </c>
      <c r="M21" s="106">
        <f>M17</f>
        <v>1905.53</v>
      </c>
    </row>
    <row r="22" spans="1:18" x14ac:dyDescent="0.25">
      <c r="J22" s="99"/>
      <c r="M22" s="106"/>
    </row>
    <row r="23" spans="1:18" x14ac:dyDescent="0.25">
      <c r="A23" s="110"/>
      <c r="B23" s="109"/>
      <c r="C23" s="109"/>
      <c r="D23" t="s">
        <v>1448</v>
      </c>
      <c r="J23" s="99" t="s">
        <v>1265</v>
      </c>
      <c r="K23" s="92">
        <f>B6</f>
        <v>0</v>
      </c>
      <c r="M23" s="106">
        <f>P17</f>
        <v>0</v>
      </c>
    </row>
    <row r="24" spans="1:18" x14ac:dyDescent="0.25">
      <c r="J24" s="99"/>
      <c r="M24" s="106"/>
    </row>
    <row r="25" spans="1:18" x14ac:dyDescent="0.25">
      <c r="J25" s="99" t="s">
        <v>1452</v>
      </c>
      <c r="M25" s="106">
        <f>O17</f>
        <v>339.78</v>
      </c>
    </row>
    <row r="26" spans="1:18" x14ac:dyDescent="0.25">
      <c r="J26" s="99"/>
      <c r="M26" s="106"/>
    </row>
    <row r="27" spans="1:18" x14ac:dyDescent="0.25">
      <c r="J27" s="99" t="s">
        <v>1453</v>
      </c>
      <c r="M27" s="106">
        <f>SUM(P17, O17)</f>
        <v>339.78</v>
      </c>
    </row>
    <row r="28" spans="1:18" x14ac:dyDescent="0.25">
      <c r="J28" s="99"/>
      <c r="M28" s="106"/>
    </row>
    <row r="29" spans="1:18" x14ac:dyDescent="0.25">
      <c r="A29" s="110"/>
      <c r="B29" s="109"/>
      <c r="C29" s="109"/>
      <c r="D29" t="s">
        <v>1449</v>
      </c>
      <c r="J29" s="99" t="s">
        <v>1454</v>
      </c>
      <c r="M29" s="106">
        <f>J17</f>
        <v>9389.7000000000007</v>
      </c>
    </row>
    <row r="30" spans="1:18" x14ac:dyDescent="0.25">
      <c r="J30" s="99"/>
      <c r="M30" s="106"/>
    </row>
    <row r="31" spans="1:18" x14ac:dyDescent="0.25">
      <c r="J31" s="99" t="s">
        <v>1455</v>
      </c>
      <c r="K31" s="92">
        <v>-0.25</v>
      </c>
      <c r="M31" s="106">
        <f>K31 * M29</f>
        <v>-2347.4250000000002</v>
      </c>
    </row>
    <row r="32" spans="1:18" x14ac:dyDescent="0.25">
      <c r="J32" s="99"/>
      <c r="M32" s="106"/>
    </row>
    <row r="33" spans="10:15" x14ac:dyDescent="0.25">
      <c r="J33" s="99" t="s">
        <v>1456</v>
      </c>
      <c r="M33" s="106">
        <f>M29 + M31</f>
        <v>7042.2750000000005</v>
      </c>
    </row>
    <row r="34" spans="10:15" x14ac:dyDescent="0.25">
      <c r="J34" s="99"/>
      <c r="M34" s="106"/>
    </row>
    <row r="35" spans="10:15" x14ac:dyDescent="0.25">
      <c r="J35" s="99" t="s">
        <v>1457</v>
      </c>
      <c r="K35" s="92">
        <v>0.05</v>
      </c>
      <c r="M35" s="106">
        <f>K35 * M33</f>
        <v>352.11375000000004</v>
      </c>
    </row>
    <row r="36" spans="10:15" x14ac:dyDescent="0.25">
      <c r="J36" s="99"/>
      <c r="M36" s="106"/>
    </row>
    <row r="37" spans="10:15" x14ac:dyDescent="0.25">
      <c r="J37" s="99" t="s">
        <v>1458</v>
      </c>
      <c r="K37" t="str">
        <f>VLOOKUP(B2,'Pay Summary'!A:D,4,0)</f>
        <v/>
      </c>
      <c r="M37" s="106">
        <f>IF(K37 = 1, 500, 0)</f>
        <v>0</v>
      </c>
    </row>
    <row r="38" spans="10:15" x14ac:dyDescent="0.25">
      <c r="J38" s="99"/>
      <c r="M38" s="106"/>
    </row>
    <row r="39" spans="10:15" x14ac:dyDescent="0.25">
      <c r="J39" s="99" t="s">
        <v>1450</v>
      </c>
      <c r="K39">
        <f>L17</f>
        <v>8</v>
      </c>
      <c r="M39" s="106">
        <f>VLOOKUP(K39, 'Look Up Table'!E:F, 2, TRUE)</f>
        <v>0</v>
      </c>
    </row>
    <row r="40" spans="10:15" x14ac:dyDescent="0.25">
      <c r="J40" s="99"/>
      <c r="M40" s="106"/>
    </row>
    <row r="41" spans="10:15" x14ac:dyDescent="0.25">
      <c r="J41" s="99" t="s">
        <v>1306</v>
      </c>
      <c r="K41" s="111" t="str">
        <f>B4</f>
        <v>3P</v>
      </c>
      <c r="M41" s="106">
        <f>IF(B5&gt;=3,IF(B4="3P",L17*50,IF(B4="A",0,IF(B4="B",L17*-50))),0)</f>
        <v>400</v>
      </c>
      <c r="N41" s="99" t="s">
        <v>1463</v>
      </c>
      <c r="O41" s="112">
        <f>'NPS Sheet'!X51</f>
        <v>0.91700000000000004</v>
      </c>
    </row>
    <row r="42" spans="10:15" x14ac:dyDescent="0.25">
      <c r="J42" s="99"/>
      <c r="M42" s="106"/>
    </row>
    <row r="43" spans="10:15" x14ac:dyDescent="0.25">
      <c r="J43" s="99" t="s">
        <v>1459</v>
      </c>
      <c r="M43" s="106">
        <f>SUM(M39, M41, M37)</f>
        <v>400</v>
      </c>
    </row>
    <row r="44" spans="10:15" x14ac:dyDescent="0.25">
      <c r="J44" s="99"/>
      <c r="M44" s="106"/>
    </row>
    <row r="45" spans="10:15" x14ac:dyDescent="0.25">
      <c r="J45" s="99" t="s">
        <v>1460</v>
      </c>
      <c r="M45" s="106">
        <f>IFERROR(VLOOKUP(B2,SPIFFS!A:H,8,0),0)</f>
        <v>1800</v>
      </c>
    </row>
    <row r="46" spans="10:15" x14ac:dyDescent="0.25">
      <c r="J46" s="99"/>
      <c r="M46" s="106"/>
    </row>
    <row r="47" spans="10:15" x14ac:dyDescent="0.25">
      <c r="J47" s="99" t="s">
        <v>1461</v>
      </c>
      <c r="M47" s="106">
        <f>SUM(M21, M27, M35, M43, M19, M45)</f>
        <v>2250.4637499999999</v>
      </c>
    </row>
    <row r="48" spans="10:15" x14ac:dyDescent="0.25">
      <c r="J48" s="99"/>
      <c r="M48" s="106"/>
    </row>
    <row r="49" spans="10:13" x14ac:dyDescent="0.25">
      <c r="J49" s="99" t="s">
        <v>1462</v>
      </c>
      <c r="M49" s="106">
        <f>IF(M47&lt;0, SUM(M19, M43, M35, M27), 0)</f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915511-4E2F-4F4C-9DEB-B2C8C112BF3C}">
  <dimension ref="A1:R53"/>
  <sheetViews>
    <sheetView workbookViewId="0"/>
  </sheetViews>
  <sheetFormatPr defaultRowHeight="15" x14ac:dyDescent="0.25"/>
  <cols>
    <col min="1" max="1" width="23" style="95" bestFit="1" customWidth="1"/>
    <col min="2" max="2" width="16.42578125" bestFit="1" customWidth="1"/>
    <col min="3" max="3" width="11.42578125" bestFit="1" customWidth="1"/>
    <col min="4" max="4" width="20.5703125" bestFit="1" customWidth="1"/>
    <col min="6" max="6" width="5" bestFit="1" customWidth="1"/>
    <col min="8" max="8" width="15.140625" bestFit="1" customWidth="1"/>
    <col min="9" max="9" width="9.5703125" bestFit="1" customWidth="1"/>
    <col min="10" max="10" width="23.140625" bestFit="1" customWidth="1"/>
    <col min="11" max="11" width="18.42578125" bestFit="1" customWidth="1"/>
    <col min="12" max="12" width="5.7109375" bestFit="1" customWidth="1"/>
    <col min="13" max="13" width="20.140625" bestFit="1" customWidth="1"/>
    <col min="14" max="14" width="13.7109375" bestFit="1" customWidth="1"/>
    <col min="15" max="15" width="11.5703125" bestFit="1" customWidth="1"/>
    <col min="16" max="16" width="24.85546875" bestFit="1" customWidth="1"/>
  </cols>
  <sheetData>
    <row r="1" spans="1:18" x14ac:dyDescent="0.25">
      <c r="A1" s="101" t="s">
        <v>1249</v>
      </c>
      <c r="B1" s="100" t="s">
        <v>984</v>
      </c>
    </row>
    <row r="2" spans="1:18" x14ac:dyDescent="0.25">
      <c r="A2" s="101" t="s">
        <v>1307</v>
      </c>
      <c r="B2" s="100">
        <v>245770</v>
      </c>
    </row>
    <row r="3" spans="1:18" x14ac:dyDescent="0.25">
      <c r="A3" s="101" t="s">
        <v>1305</v>
      </c>
      <c r="B3" s="100">
        <f>VLOOKUP(B2, '90'!A:E, 5, 0)</f>
        <v>23</v>
      </c>
    </row>
    <row r="4" spans="1:18" x14ac:dyDescent="0.25">
      <c r="A4" s="101" t="s">
        <v>1306</v>
      </c>
      <c r="B4" s="100" t="str">
        <f>IFERROR(VLOOKUP(B2, NPS!B:H, 7, 0), 0)</f>
        <v>3P</v>
      </c>
    </row>
    <row r="5" spans="1:18" x14ac:dyDescent="0.25">
      <c r="A5" s="101" t="s">
        <v>1257</v>
      </c>
      <c r="B5" s="100">
        <f>IFERROR(VLOOKUP(B2, NPS!B:H, 3, 0), 0)</f>
        <v>3</v>
      </c>
    </row>
    <row r="6" spans="1:18" x14ac:dyDescent="0.25">
      <c r="A6" s="101" t="s">
        <v>1447</v>
      </c>
      <c r="B6" s="103">
        <f>VLOOKUP(12.5, 'Look Up Table'!A:B, 2, TRUE)</f>
        <v>0.04</v>
      </c>
    </row>
    <row r="7" spans="1:18" ht="50.1" customHeight="1" x14ac:dyDescent="0.25">
      <c r="A7" s="102" t="s">
        <v>43</v>
      </c>
      <c r="B7" s="80" t="s">
        <v>1308</v>
      </c>
      <c r="C7" s="80" t="s">
        <v>1309</v>
      </c>
      <c r="D7" s="80" t="s">
        <v>48</v>
      </c>
      <c r="E7" s="80" t="s">
        <v>1310</v>
      </c>
      <c r="F7" s="80" t="s">
        <v>1311</v>
      </c>
      <c r="G7" s="80" t="s">
        <v>1312</v>
      </c>
      <c r="H7" s="80" t="s">
        <v>1313</v>
      </c>
      <c r="I7" s="80" t="s">
        <v>51</v>
      </c>
      <c r="J7" s="80" t="s">
        <v>1314</v>
      </c>
      <c r="K7" s="80" t="s">
        <v>1315</v>
      </c>
      <c r="L7" s="80" t="s">
        <v>54</v>
      </c>
      <c r="M7" s="80" t="s">
        <v>55</v>
      </c>
      <c r="N7" s="80" t="s">
        <v>1316</v>
      </c>
      <c r="O7" s="80" t="s">
        <v>1317</v>
      </c>
      <c r="P7" s="80" t="s">
        <v>1318</v>
      </c>
    </row>
    <row r="8" spans="1:18" x14ac:dyDescent="0.25">
      <c r="A8" s="96">
        <v>45727</v>
      </c>
      <c r="B8" s="93">
        <v>9388</v>
      </c>
      <c r="C8" s="93">
        <v>23687</v>
      </c>
      <c r="D8" s="93" t="s">
        <v>985</v>
      </c>
      <c r="E8" s="93" t="s">
        <v>986</v>
      </c>
      <c r="F8" s="93">
        <v>18</v>
      </c>
      <c r="G8" s="93" t="s">
        <v>1319</v>
      </c>
      <c r="H8" s="93" t="s">
        <v>1423</v>
      </c>
      <c r="I8" s="93" t="s">
        <v>86</v>
      </c>
      <c r="J8" s="107">
        <v>1708.42</v>
      </c>
      <c r="K8" s="107">
        <v>-815.38</v>
      </c>
      <c r="L8" s="93">
        <v>1</v>
      </c>
      <c r="M8" s="107">
        <v>200</v>
      </c>
      <c r="N8" s="107">
        <f>IF(M8&lt;=251, VLOOKUP(B3, 'Look Up Table'!I:J, 2, TRUE) * L8, 0)</f>
        <v>350</v>
      </c>
      <c r="O8" s="107">
        <f>IF(N8&gt;0, N8 - M8, 0)</f>
        <v>150</v>
      </c>
      <c r="P8" s="107">
        <f>IF(N8 = 0, K8 * B6, 0)</f>
        <v>0</v>
      </c>
      <c r="Q8" s="93"/>
      <c r="R8" s="93"/>
    </row>
    <row r="9" spans="1:18" x14ac:dyDescent="0.25">
      <c r="A9" s="96">
        <v>45730</v>
      </c>
      <c r="B9" s="93">
        <v>9521</v>
      </c>
      <c r="C9" s="93">
        <v>256091</v>
      </c>
      <c r="D9" s="93" t="s">
        <v>305</v>
      </c>
      <c r="E9" s="93" t="s">
        <v>306</v>
      </c>
      <c r="F9" s="93">
        <v>25</v>
      </c>
      <c r="G9" s="93" t="s">
        <v>1319</v>
      </c>
      <c r="H9" s="93" t="s">
        <v>1344</v>
      </c>
      <c r="I9" s="93" t="s">
        <v>59</v>
      </c>
      <c r="J9" s="107">
        <v>393</v>
      </c>
      <c r="K9" s="107">
        <v>-849</v>
      </c>
      <c r="L9" s="93">
        <v>0.5</v>
      </c>
      <c r="M9" s="107">
        <v>100</v>
      </c>
      <c r="N9" s="107">
        <f>IF(M9&lt;=251, VLOOKUP(B3, 'Look Up Table'!I:J, 2, TRUE) * L9, 0)</f>
        <v>175</v>
      </c>
      <c r="O9" s="107">
        <f>IF(N9&gt;0, N9 - M9, 0)</f>
        <v>75</v>
      </c>
      <c r="P9" s="107">
        <f>IF(N9 = 0, K9 * B6, 0)</f>
        <v>0</v>
      </c>
      <c r="Q9" s="93"/>
      <c r="R9" s="93"/>
    </row>
    <row r="10" spans="1:18" x14ac:dyDescent="0.25">
      <c r="A10" s="96">
        <v>45734</v>
      </c>
      <c r="B10" s="93">
        <v>9572</v>
      </c>
      <c r="C10" s="93">
        <v>292271</v>
      </c>
      <c r="D10" s="93" t="s">
        <v>988</v>
      </c>
      <c r="E10" s="93" t="s">
        <v>989</v>
      </c>
      <c r="F10" s="93">
        <v>25</v>
      </c>
      <c r="G10" s="93" t="s">
        <v>1319</v>
      </c>
      <c r="H10" s="93" t="s">
        <v>1424</v>
      </c>
      <c r="I10" s="93" t="s">
        <v>59</v>
      </c>
      <c r="J10" s="107">
        <v>1395.82</v>
      </c>
      <c r="K10" s="107">
        <v>2126.48</v>
      </c>
      <c r="L10" s="93">
        <v>1</v>
      </c>
      <c r="M10" s="107">
        <v>382.77</v>
      </c>
      <c r="N10" s="107">
        <f>IF(M10&lt;=251, VLOOKUP(B3, 'Look Up Table'!I:J, 2, TRUE) * L10, 0)</f>
        <v>0</v>
      </c>
      <c r="O10" s="107">
        <f>IF(N10&gt;0, N10 - M10, 0)</f>
        <v>0</v>
      </c>
      <c r="P10" s="107">
        <f>IF(N10 = 0, K10 * B6, 0)</f>
        <v>85.059200000000004</v>
      </c>
      <c r="Q10" s="93"/>
      <c r="R10" s="93"/>
    </row>
    <row r="11" spans="1:18" x14ac:dyDescent="0.25">
      <c r="A11" s="96">
        <v>45736</v>
      </c>
      <c r="B11" s="93">
        <v>9590</v>
      </c>
      <c r="C11" s="93">
        <v>293217</v>
      </c>
      <c r="D11" s="93" t="s">
        <v>993</v>
      </c>
      <c r="E11" s="93" t="s">
        <v>994</v>
      </c>
      <c r="F11" s="93">
        <v>25</v>
      </c>
      <c r="G11" s="93" t="s">
        <v>1321</v>
      </c>
      <c r="H11" s="93" t="s">
        <v>1328</v>
      </c>
      <c r="I11" s="93" t="s">
        <v>59</v>
      </c>
      <c r="J11" s="107">
        <v>2592.3000000000002</v>
      </c>
      <c r="K11" s="107">
        <v>-5307.09</v>
      </c>
      <c r="L11" s="93">
        <v>1</v>
      </c>
      <c r="M11" s="107">
        <v>200</v>
      </c>
      <c r="N11" s="107">
        <f>IF(M11&lt;=251, VLOOKUP(B3, 'Look Up Table'!I:J, 2, TRUE) * L11, 0)</f>
        <v>350</v>
      </c>
      <c r="O11" s="107">
        <f>IF(N11&gt;0, N11 - M11, 0)</f>
        <v>150</v>
      </c>
      <c r="P11" s="107">
        <f>IF(N11 = 0, K11 * B6, 0)</f>
        <v>0</v>
      </c>
      <c r="Q11" s="93"/>
      <c r="R11" s="93"/>
    </row>
    <row r="12" spans="1:18" x14ac:dyDescent="0.25">
      <c r="A12" s="96">
        <v>45736</v>
      </c>
      <c r="B12" s="93">
        <v>9624</v>
      </c>
      <c r="C12" s="93">
        <v>273737</v>
      </c>
      <c r="D12" s="93" t="s">
        <v>996</v>
      </c>
      <c r="E12" s="93" t="s">
        <v>997</v>
      </c>
      <c r="F12" s="93">
        <v>22</v>
      </c>
      <c r="G12" s="93" t="s">
        <v>1319</v>
      </c>
      <c r="H12" s="93" t="s">
        <v>1425</v>
      </c>
      <c r="I12" s="93" t="s">
        <v>86</v>
      </c>
      <c r="J12" s="107">
        <v>1850</v>
      </c>
      <c r="K12" s="107">
        <v>750</v>
      </c>
      <c r="L12" s="93">
        <v>1</v>
      </c>
      <c r="M12" s="107">
        <v>200</v>
      </c>
      <c r="N12" s="107">
        <f>IF(M12&lt;=251, VLOOKUP(B3, 'Look Up Table'!I:J, 2, TRUE) * L12, 0)</f>
        <v>350</v>
      </c>
      <c r="O12" s="107">
        <f>IF(N12&gt;0, N12 - M12, 0)</f>
        <v>150</v>
      </c>
      <c r="P12" s="107">
        <f>IF(N12 = 0, K12 * B6, 0)</f>
        <v>0</v>
      </c>
      <c r="Q12" s="93"/>
      <c r="R12" s="93"/>
    </row>
    <row r="13" spans="1:18" x14ac:dyDescent="0.25">
      <c r="A13" s="96">
        <v>45742</v>
      </c>
      <c r="B13" s="93">
        <v>9652</v>
      </c>
      <c r="C13" s="93">
        <v>24122</v>
      </c>
      <c r="D13" s="93" t="s">
        <v>999</v>
      </c>
      <c r="E13" s="93" t="s">
        <v>1000</v>
      </c>
      <c r="F13" s="93">
        <v>25</v>
      </c>
      <c r="G13" s="93" t="s">
        <v>1319</v>
      </c>
      <c r="H13" s="93" t="s">
        <v>1323</v>
      </c>
      <c r="I13" s="93" t="s">
        <v>59</v>
      </c>
      <c r="J13" s="107">
        <v>1762</v>
      </c>
      <c r="K13" s="107">
        <v>4875</v>
      </c>
      <c r="L13" s="93">
        <v>1</v>
      </c>
      <c r="M13" s="107">
        <v>877.5</v>
      </c>
      <c r="N13" s="107">
        <f>IF(M13&lt;=251, VLOOKUP(B3, 'Look Up Table'!I:J, 2, TRUE) * L13, 0)</f>
        <v>0</v>
      </c>
      <c r="O13" s="107">
        <f>IF(N13&gt;0, N13 - M13, 0)</f>
        <v>0</v>
      </c>
      <c r="P13" s="107">
        <f>IF(N13 = 0, K13 * B6, 0)</f>
        <v>195</v>
      </c>
      <c r="Q13" s="93"/>
      <c r="R13" s="93"/>
    </row>
    <row r="14" spans="1:18" x14ac:dyDescent="0.25">
      <c r="A14" s="96">
        <v>45743</v>
      </c>
      <c r="B14" s="93">
        <v>9505</v>
      </c>
      <c r="C14" s="93">
        <v>23888</v>
      </c>
      <c r="D14" s="93" t="s">
        <v>1003</v>
      </c>
      <c r="E14" s="93" t="s">
        <v>1004</v>
      </c>
      <c r="F14" s="93">
        <v>25</v>
      </c>
      <c r="G14" s="93" t="s">
        <v>1319</v>
      </c>
      <c r="H14" s="93" t="s">
        <v>1323</v>
      </c>
      <c r="I14" s="93" t="s">
        <v>59</v>
      </c>
      <c r="J14" s="107">
        <v>2482</v>
      </c>
      <c r="K14" s="107">
        <v>6748</v>
      </c>
      <c r="L14" s="93">
        <v>1</v>
      </c>
      <c r="M14" s="107">
        <v>1214.6400000000001</v>
      </c>
      <c r="N14" s="107">
        <f>IF(M14&lt;=251, VLOOKUP(B3, 'Look Up Table'!I:J, 2, TRUE) * L14, 0)</f>
        <v>0</v>
      </c>
      <c r="O14" s="107">
        <f>IF(N14&gt;0, N14 - M14, 0)</f>
        <v>0</v>
      </c>
      <c r="P14" s="107">
        <f>IF(N14 = 0, K14 * B6, 0)</f>
        <v>269.92</v>
      </c>
      <c r="Q14" s="93"/>
      <c r="R14" s="93"/>
    </row>
    <row r="15" spans="1:18" x14ac:dyDescent="0.25">
      <c r="A15" s="96">
        <v>45743</v>
      </c>
      <c r="B15" s="93">
        <v>9701</v>
      </c>
      <c r="C15" s="93">
        <v>24221</v>
      </c>
      <c r="D15" s="93" t="s">
        <v>1005</v>
      </c>
      <c r="E15" s="93" t="s">
        <v>1006</v>
      </c>
      <c r="F15" s="93">
        <v>25</v>
      </c>
      <c r="G15" s="93" t="s">
        <v>1321</v>
      </c>
      <c r="H15" s="93" t="s">
        <v>1348</v>
      </c>
      <c r="I15" s="93" t="s">
        <v>59</v>
      </c>
      <c r="J15" s="107">
        <v>1772.29</v>
      </c>
      <c r="K15" s="107">
        <v>3560</v>
      </c>
      <c r="L15" s="93">
        <v>1</v>
      </c>
      <c r="M15" s="107">
        <v>640.79999999999995</v>
      </c>
      <c r="N15" s="107">
        <f>IF(M15&lt;=251, VLOOKUP(B3, 'Look Up Table'!I:J, 2, TRUE) * L15, 0)</f>
        <v>0</v>
      </c>
      <c r="O15" s="107">
        <f>IF(N15&gt;0, N15 - M15, 0)</f>
        <v>0</v>
      </c>
      <c r="P15" s="107">
        <f>IF(N15 = 0, K15 * B6, 0)</f>
        <v>142.4</v>
      </c>
      <c r="Q15" s="93"/>
      <c r="R15" s="93"/>
    </row>
    <row r="16" spans="1:18" x14ac:dyDescent="0.25">
      <c r="A16" s="96">
        <v>45747</v>
      </c>
      <c r="B16" s="93">
        <v>9916</v>
      </c>
      <c r="C16" s="93">
        <v>258081</v>
      </c>
      <c r="D16" s="93" t="s">
        <v>1007</v>
      </c>
      <c r="E16" s="93" t="s">
        <v>1008</v>
      </c>
      <c r="F16" s="93">
        <v>25</v>
      </c>
      <c r="G16" s="93" t="s">
        <v>1319</v>
      </c>
      <c r="H16" s="93" t="s">
        <v>1407</v>
      </c>
      <c r="I16" s="93" t="s">
        <v>59</v>
      </c>
      <c r="J16" s="107">
        <v>1803.06</v>
      </c>
      <c r="K16" s="107">
        <v>2297.48</v>
      </c>
      <c r="L16" s="93">
        <v>1</v>
      </c>
      <c r="M16" s="107">
        <v>413.55</v>
      </c>
      <c r="N16" s="107">
        <f>IF(M16&lt;=251, VLOOKUP(B3, 'Look Up Table'!I:J, 2, TRUE) * L16, 0)</f>
        <v>0</v>
      </c>
      <c r="O16" s="107">
        <f>IF(N16&gt;0, N16 - M16, 0)</f>
        <v>0</v>
      </c>
      <c r="P16" s="107">
        <f>IF(N16 = 0, K16 * B6, 0)</f>
        <v>91.899200000000008</v>
      </c>
      <c r="Q16" s="93"/>
      <c r="R16" s="93"/>
    </row>
    <row r="17" spans="1:18" x14ac:dyDescent="0.25">
      <c r="A17" s="96">
        <v>45747</v>
      </c>
      <c r="B17" s="93">
        <v>9952</v>
      </c>
      <c r="C17" s="93">
        <v>24497</v>
      </c>
      <c r="D17" s="93" t="s">
        <v>1011</v>
      </c>
      <c r="E17" s="93" t="s">
        <v>1012</v>
      </c>
      <c r="F17" s="93">
        <v>25</v>
      </c>
      <c r="G17" s="93" t="s">
        <v>1319</v>
      </c>
      <c r="H17" s="93" t="s">
        <v>1376</v>
      </c>
      <c r="I17" s="93" t="s">
        <v>59</v>
      </c>
      <c r="J17" s="107">
        <v>3060.45</v>
      </c>
      <c r="K17" s="107">
        <v>2344</v>
      </c>
      <c r="L17" s="93">
        <v>1</v>
      </c>
      <c r="M17" s="107">
        <v>421.92</v>
      </c>
      <c r="N17" s="107">
        <f>IF(M17&lt;=251, VLOOKUP(B3, 'Look Up Table'!I:J, 2, TRUE) * L17, 0)</f>
        <v>0</v>
      </c>
      <c r="O17" s="107">
        <f>IF(N17&gt;0, N17 - M17, 0)</f>
        <v>0</v>
      </c>
      <c r="P17" s="107">
        <f>IF(N17 = 0, K17 * B6, 0)</f>
        <v>93.76</v>
      </c>
      <c r="Q17" s="93"/>
      <c r="R17" s="93"/>
    </row>
    <row r="18" spans="1:18" x14ac:dyDescent="0.25">
      <c r="A18" s="96">
        <v>45747</v>
      </c>
      <c r="B18" s="93">
        <v>8042</v>
      </c>
      <c r="C18" s="93">
        <v>220512</v>
      </c>
      <c r="D18" s="93" t="s">
        <v>1014</v>
      </c>
      <c r="E18" s="93" t="s">
        <v>1015</v>
      </c>
      <c r="F18" s="93">
        <v>25</v>
      </c>
      <c r="G18" s="93" t="s">
        <v>1319</v>
      </c>
      <c r="H18" s="93" t="s">
        <v>1426</v>
      </c>
      <c r="I18" s="93" t="s">
        <v>59</v>
      </c>
      <c r="J18" s="107">
        <v>3010.3</v>
      </c>
      <c r="K18" s="107">
        <v>2781</v>
      </c>
      <c r="L18" s="93">
        <v>1</v>
      </c>
      <c r="M18" s="107">
        <v>500.58</v>
      </c>
      <c r="N18" s="107">
        <f>IF(M18&lt;=251, VLOOKUP(B3, 'Look Up Table'!I:J, 2, TRUE) * L18, 0)</f>
        <v>0</v>
      </c>
      <c r="O18" s="107">
        <f>IF(N18&gt;0, N18 - M18, 0)</f>
        <v>0</v>
      </c>
      <c r="P18" s="107">
        <f>IF(N18 = 0, K18 * B6, 0)</f>
        <v>111.24000000000001</v>
      </c>
      <c r="Q18" s="93"/>
      <c r="R18" s="93"/>
    </row>
    <row r="19" spans="1:18" x14ac:dyDescent="0.25">
      <c r="A19" s="96">
        <v>45747</v>
      </c>
      <c r="B19" s="93">
        <v>9990</v>
      </c>
      <c r="C19" s="93">
        <v>275157</v>
      </c>
      <c r="D19" s="93" t="s">
        <v>1017</v>
      </c>
      <c r="E19" s="93" t="s">
        <v>1018</v>
      </c>
      <c r="F19" s="93">
        <v>25</v>
      </c>
      <c r="G19" s="93" t="s">
        <v>1321</v>
      </c>
      <c r="H19" s="93" t="s">
        <v>1348</v>
      </c>
      <c r="I19" s="93" t="s">
        <v>59</v>
      </c>
      <c r="J19" s="107">
        <v>4054.05</v>
      </c>
      <c r="K19" s="107">
        <v>3862.04</v>
      </c>
      <c r="L19" s="93">
        <v>1</v>
      </c>
      <c r="M19" s="107">
        <v>695.17</v>
      </c>
      <c r="N19" s="107">
        <f>IF(M19&lt;=251, VLOOKUP(B3, 'Look Up Table'!I:J, 2, TRUE) * L19, 0)</f>
        <v>0</v>
      </c>
      <c r="O19" s="107">
        <f>IF(N19&gt;0, N19 - M19, 0)</f>
        <v>0</v>
      </c>
      <c r="P19" s="107">
        <f>IF(N19 = 0, K19 * B6, 0)</f>
        <v>154.48160000000001</v>
      </c>
      <c r="Q19" s="93"/>
      <c r="R19" s="93"/>
    </row>
    <row r="20" spans="1:18" x14ac:dyDescent="0.25">
      <c r="A20" s="96">
        <v>45747</v>
      </c>
      <c r="B20" s="93">
        <v>9703</v>
      </c>
      <c r="C20" s="93">
        <v>24226</v>
      </c>
      <c r="D20" s="93" t="s">
        <v>1020</v>
      </c>
      <c r="E20" s="93" t="s">
        <v>1021</v>
      </c>
      <c r="F20" s="93">
        <v>25</v>
      </c>
      <c r="G20" s="93" t="s">
        <v>1321</v>
      </c>
      <c r="H20" s="93" t="s">
        <v>1324</v>
      </c>
      <c r="I20" s="93" t="s">
        <v>59</v>
      </c>
      <c r="J20" s="107">
        <v>672</v>
      </c>
      <c r="K20" s="107">
        <v>-2313.64</v>
      </c>
      <c r="L20" s="93">
        <v>1</v>
      </c>
      <c r="M20" s="107">
        <v>200</v>
      </c>
      <c r="N20" s="107">
        <f>IF(M20&lt;=251, VLOOKUP(B3, 'Look Up Table'!I:J, 2, TRUE) * L20, 0)</f>
        <v>350</v>
      </c>
      <c r="O20" s="107">
        <f>IF(N20&gt;0, N20 - M20, 0)</f>
        <v>150</v>
      </c>
      <c r="P20" s="107">
        <f>IF(N20 = 0, K20 * B6, 0)</f>
        <v>0</v>
      </c>
      <c r="Q20" s="93"/>
      <c r="R20" s="93"/>
    </row>
    <row r="21" spans="1:18" x14ac:dyDescent="0.25">
      <c r="A21" s="104"/>
      <c r="B21" s="105"/>
      <c r="C21" s="105"/>
      <c r="D21" s="105"/>
      <c r="E21" s="105"/>
      <c r="F21" s="105"/>
      <c r="G21" s="105"/>
      <c r="H21" s="105"/>
      <c r="I21" s="105"/>
      <c r="J21" s="108">
        <f>SUM(J8:J20)</f>
        <v>26555.69</v>
      </c>
      <c r="K21" s="108">
        <f>SUM(K8:K20)</f>
        <v>20058.89</v>
      </c>
      <c r="L21" s="105">
        <f>SUM(L8:L20)</f>
        <v>12.5</v>
      </c>
      <c r="M21" s="108">
        <f>SUM(M8:M20)</f>
        <v>6046.93</v>
      </c>
      <c r="N21" s="108">
        <f>SUM(N8:N20)</f>
        <v>1575</v>
      </c>
      <c r="O21" s="108">
        <f>SUM(O8:O20)</f>
        <v>675</v>
      </c>
      <c r="P21" s="108">
        <f>SUM(P8:P20)</f>
        <v>1143.76</v>
      </c>
      <c r="Q21" s="93"/>
      <c r="R21" s="93"/>
    </row>
    <row r="23" spans="1:18" x14ac:dyDescent="0.25">
      <c r="J23" s="99" t="s">
        <v>1451</v>
      </c>
      <c r="M23" s="106">
        <f>-VLOOKUP(B2, '3213'!A:G, 7, 0)</f>
        <v>-2196.87</v>
      </c>
    </row>
    <row r="24" spans="1:18" x14ac:dyDescent="0.25">
      <c r="J24" s="99"/>
      <c r="M24" s="106"/>
    </row>
    <row r="25" spans="1:18" x14ac:dyDescent="0.25">
      <c r="J25" s="99" t="s">
        <v>1264</v>
      </c>
      <c r="K25" s="92">
        <v>0.18</v>
      </c>
      <c r="M25" s="106">
        <f>M21</f>
        <v>6046.93</v>
      </c>
    </row>
    <row r="26" spans="1:18" x14ac:dyDescent="0.25">
      <c r="J26" s="99"/>
      <c r="M26" s="106"/>
    </row>
    <row r="27" spans="1:18" x14ac:dyDescent="0.25">
      <c r="A27" s="110"/>
      <c r="B27" s="109"/>
      <c r="C27" s="109"/>
      <c r="D27" t="s">
        <v>1448</v>
      </c>
      <c r="J27" s="99" t="s">
        <v>1265</v>
      </c>
      <c r="K27" s="92">
        <f>B6</f>
        <v>0.04</v>
      </c>
      <c r="M27" s="106">
        <f>P21</f>
        <v>1143.76</v>
      </c>
    </row>
    <row r="28" spans="1:18" x14ac:dyDescent="0.25">
      <c r="J28" s="99"/>
      <c r="M28" s="106"/>
    </row>
    <row r="29" spans="1:18" x14ac:dyDescent="0.25">
      <c r="J29" s="99" t="s">
        <v>1452</v>
      </c>
      <c r="M29" s="106">
        <f>O21</f>
        <v>675</v>
      </c>
    </row>
    <row r="30" spans="1:18" x14ac:dyDescent="0.25">
      <c r="J30" s="99"/>
      <c r="M30" s="106"/>
    </row>
    <row r="31" spans="1:18" x14ac:dyDescent="0.25">
      <c r="J31" s="99" t="s">
        <v>1453</v>
      </c>
      <c r="M31" s="106">
        <f>SUM(P21, O21)</f>
        <v>1818.76</v>
      </c>
    </row>
    <row r="32" spans="1:18" x14ac:dyDescent="0.25">
      <c r="J32" s="99"/>
      <c r="M32" s="106"/>
    </row>
    <row r="33" spans="1:15" x14ac:dyDescent="0.25">
      <c r="A33" s="110"/>
      <c r="B33" s="109"/>
      <c r="C33" s="109"/>
      <c r="D33" t="s">
        <v>1449</v>
      </c>
      <c r="J33" s="99" t="s">
        <v>1454</v>
      </c>
      <c r="M33" s="106">
        <f>J21</f>
        <v>26555.69</v>
      </c>
    </row>
    <row r="34" spans="1:15" x14ac:dyDescent="0.25">
      <c r="J34" s="99"/>
      <c r="M34" s="106"/>
    </row>
    <row r="35" spans="1:15" x14ac:dyDescent="0.25">
      <c r="J35" s="99" t="s">
        <v>1455</v>
      </c>
      <c r="K35" s="92">
        <v>-0.25</v>
      </c>
      <c r="M35" s="106">
        <f>K35 * M33</f>
        <v>-6638.9224999999997</v>
      </c>
    </row>
    <row r="36" spans="1:15" x14ac:dyDescent="0.25">
      <c r="J36" s="99"/>
      <c r="M36" s="106"/>
    </row>
    <row r="37" spans="1:15" x14ac:dyDescent="0.25">
      <c r="J37" s="99" t="s">
        <v>1456</v>
      </c>
      <c r="M37" s="106">
        <f>M33 + M35</f>
        <v>19916.767499999998</v>
      </c>
    </row>
    <row r="38" spans="1:15" x14ac:dyDescent="0.25">
      <c r="J38" s="99"/>
      <c r="M38" s="106"/>
    </row>
    <row r="39" spans="1:15" x14ac:dyDescent="0.25">
      <c r="J39" s="99" t="s">
        <v>1457</v>
      </c>
      <c r="K39" s="92">
        <v>0.05</v>
      </c>
      <c r="M39" s="106">
        <f>K39 * M37</f>
        <v>995.83837499999993</v>
      </c>
    </row>
    <row r="40" spans="1:15" x14ac:dyDescent="0.25">
      <c r="J40" s="99"/>
      <c r="M40" s="106"/>
    </row>
    <row r="41" spans="1:15" x14ac:dyDescent="0.25">
      <c r="J41" s="99" t="s">
        <v>1458</v>
      </c>
      <c r="K41" t="str">
        <f>VLOOKUP(B2,'Pay Summary'!A:D,4,0)</f>
        <v/>
      </c>
      <c r="M41" s="106">
        <f>IF(K41 = 1, 500, 0)</f>
        <v>0</v>
      </c>
    </row>
    <row r="42" spans="1:15" x14ac:dyDescent="0.25">
      <c r="J42" s="99"/>
      <c r="M42" s="106"/>
    </row>
    <row r="43" spans="1:15" x14ac:dyDescent="0.25">
      <c r="J43" s="99" t="s">
        <v>1450</v>
      </c>
      <c r="K43">
        <f>L21</f>
        <v>12.5</v>
      </c>
      <c r="M43" s="106">
        <f>VLOOKUP(K43, 'Look Up Table'!E:F, 2, TRUE)</f>
        <v>750</v>
      </c>
    </row>
    <row r="44" spans="1:15" x14ac:dyDescent="0.25">
      <c r="J44" s="99"/>
      <c r="M44" s="106"/>
    </row>
    <row r="45" spans="1:15" x14ac:dyDescent="0.25">
      <c r="J45" s="99" t="s">
        <v>1306</v>
      </c>
      <c r="K45" s="111" t="str">
        <f>B4</f>
        <v>3P</v>
      </c>
      <c r="M45" s="106">
        <f>IF(B5&gt;=3,IF(B4="3P",L21*50,IF(B4="A",0,IF(B4="B",L21*-50))),0)</f>
        <v>625</v>
      </c>
      <c r="N45" s="99" t="s">
        <v>1463</v>
      </c>
      <c r="O45" s="112">
        <f>'NPS Sheet'!X51</f>
        <v>0.91700000000000004</v>
      </c>
    </row>
    <row r="46" spans="1:15" x14ac:dyDescent="0.25">
      <c r="J46" s="99"/>
      <c r="M46" s="106"/>
    </row>
    <row r="47" spans="1:15" x14ac:dyDescent="0.25">
      <c r="J47" s="99" t="s">
        <v>1459</v>
      </c>
      <c r="M47" s="106">
        <f>SUM(M43, M45, M41)</f>
        <v>1375</v>
      </c>
    </row>
    <row r="48" spans="1:15" x14ac:dyDescent="0.25">
      <c r="J48" s="99"/>
      <c r="M48" s="106"/>
    </row>
    <row r="49" spans="10:13" x14ac:dyDescent="0.25">
      <c r="J49" s="99" t="s">
        <v>1460</v>
      </c>
      <c r="M49" s="106">
        <f>IFERROR(VLOOKUP(B2,SPIFFS!A:H,8,0),0)</f>
        <v>0</v>
      </c>
    </row>
    <row r="50" spans="10:13" x14ac:dyDescent="0.25">
      <c r="J50" s="99"/>
      <c r="M50" s="106"/>
    </row>
    <row r="51" spans="10:13" x14ac:dyDescent="0.25">
      <c r="J51" s="99" t="s">
        <v>1461</v>
      </c>
      <c r="M51" s="106">
        <f>SUM(M25, M31, M39, M47, M23, M49)</f>
        <v>8039.658375</v>
      </c>
    </row>
    <row r="52" spans="10:13" x14ac:dyDescent="0.25">
      <c r="J52" s="99"/>
      <c r="M52" s="106"/>
    </row>
    <row r="53" spans="10:13" x14ac:dyDescent="0.25">
      <c r="J53" s="99" t="s">
        <v>1462</v>
      </c>
      <c r="M53" s="106">
        <f>IF(M51&lt;0, SUM(M23, M47, M39, M31), 0)</f>
        <v>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A8C2B-4CFB-4EC9-BC09-F398A76115CE}">
  <dimension ref="A1:R41"/>
  <sheetViews>
    <sheetView workbookViewId="0"/>
  </sheetViews>
  <sheetFormatPr defaultRowHeight="15" x14ac:dyDescent="0.25"/>
  <cols>
    <col min="1" max="1" width="23" style="95" bestFit="1" customWidth="1"/>
    <col min="2" max="2" width="11.85546875" bestFit="1" customWidth="1"/>
    <col min="3" max="3" width="11.42578125" bestFit="1" customWidth="1"/>
    <col min="4" max="4" width="21.7109375" bestFit="1" customWidth="1"/>
    <col min="5" max="5" width="8" bestFit="1" customWidth="1"/>
    <col min="6" max="6" width="5" bestFit="1" customWidth="1"/>
    <col min="8" max="8" width="7.140625" bestFit="1" customWidth="1"/>
    <col min="9" max="9" width="9.5703125" bestFit="1" customWidth="1"/>
    <col min="10" max="10" width="23.140625" bestFit="1" customWidth="1"/>
    <col min="11" max="11" width="18.42578125" bestFit="1" customWidth="1"/>
    <col min="12" max="12" width="5.7109375" bestFit="1" customWidth="1"/>
    <col min="13" max="13" width="20.140625" bestFit="1" customWidth="1"/>
    <col min="14" max="14" width="13.7109375" bestFit="1" customWidth="1"/>
    <col min="15" max="15" width="11.5703125" bestFit="1" customWidth="1"/>
    <col min="16" max="16" width="24.85546875" bestFit="1" customWidth="1"/>
  </cols>
  <sheetData>
    <row r="1" spans="1:18" x14ac:dyDescent="0.25">
      <c r="A1" s="101" t="s">
        <v>1249</v>
      </c>
      <c r="B1" s="100" t="s">
        <v>1022</v>
      </c>
    </row>
    <row r="2" spans="1:18" x14ac:dyDescent="0.25">
      <c r="A2" s="101" t="s">
        <v>1307</v>
      </c>
      <c r="B2" s="100">
        <v>259020</v>
      </c>
    </row>
    <row r="3" spans="1:18" x14ac:dyDescent="0.25">
      <c r="A3" s="101" t="s">
        <v>1305</v>
      </c>
      <c r="B3" s="100">
        <f>VLOOKUP(B2, '90'!A:E, 5, 0)</f>
        <v>1</v>
      </c>
    </row>
    <row r="4" spans="1:18" x14ac:dyDescent="0.25">
      <c r="A4" s="101" t="s">
        <v>1306</v>
      </c>
      <c r="B4" s="100" t="str">
        <f>IFERROR(VLOOKUP(B2, NPS!B:H, 7, 0), 0)</f>
        <v>A</v>
      </c>
    </row>
    <row r="5" spans="1:18" x14ac:dyDescent="0.25">
      <c r="A5" s="101" t="s">
        <v>1257</v>
      </c>
      <c r="B5" s="100">
        <f>IFERROR(VLOOKUP(B2, NPS!B:H, 3, 0), 0)</f>
        <v>0</v>
      </c>
    </row>
    <row r="6" spans="1:18" x14ac:dyDescent="0.25">
      <c r="A6" s="101" t="s">
        <v>1447</v>
      </c>
      <c r="B6" s="103">
        <f>VLOOKUP(1, 'Look Up Table'!A:B, 2, TRUE)</f>
        <v>0</v>
      </c>
    </row>
    <row r="7" spans="1:18" ht="50.1" customHeight="1" x14ac:dyDescent="0.25">
      <c r="A7" s="102" t="s">
        <v>43</v>
      </c>
      <c r="B7" s="80" t="s">
        <v>1308</v>
      </c>
      <c r="C7" s="80" t="s">
        <v>1309</v>
      </c>
      <c r="D7" s="80" t="s">
        <v>48</v>
      </c>
      <c r="E7" s="80" t="s">
        <v>1310</v>
      </c>
      <c r="F7" s="80" t="s">
        <v>1311</v>
      </c>
      <c r="G7" s="80" t="s">
        <v>1312</v>
      </c>
      <c r="H7" s="80" t="s">
        <v>1313</v>
      </c>
      <c r="I7" s="80" t="s">
        <v>51</v>
      </c>
      <c r="J7" s="80" t="s">
        <v>1314</v>
      </c>
      <c r="K7" s="80" t="s">
        <v>1315</v>
      </c>
      <c r="L7" s="80" t="s">
        <v>54</v>
      </c>
      <c r="M7" s="80" t="s">
        <v>55</v>
      </c>
      <c r="N7" s="80" t="s">
        <v>1316</v>
      </c>
      <c r="O7" s="80" t="s">
        <v>1317</v>
      </c>
      <c r="P7" s="80" t="s">
        <v>1318</v>
      </c>
    </row>
    <row r="8" spans="1:18" x14ac:dyDescent="0.25">
      <c r="A8" s="96">
        <v>45736</v>
      </c>
      <c r="B8" s="93">
        <v>9606</v>
      </c>
      <c r="C8" s="93">
        <v>24038</v>
      </c>
      <c r="D8" s="93" t="s">
        <v>1023</v>
      </c>
      <c r="E8" s="93">
        <v>5155278</v>
      </c>
      <c r="F8" s="93">
        <v>25</v>
      </c>
      <c r="G8" s="93" t="s">
        <v>1321</v>
      </c>
      <c r="H8" s="93" t="s">
        <v>1418</v>
      </c>
      <c r="I8" s="93" t="s">
        <v>59</v>
      </c>
      <c r="J8" s="107">
        <v>419</v>
      </c>
      <c r="K8" s="107">
        <v>-1600</v>
      </c>
      <c r="L8" s="93">
        <v>1</v>
      </c>
      <c r="M8" s="107">
        <v>200</v>
      </c>
      <c r="N8" s="107">
        <f>IF(M8&lt;=251, VLOOKUP(B3, 'Look Up Table'!I:J, 2, TRUE) * L8, 0)</f>
        <v>200</v>
      </c>
      <c r="O8" s="107">
        <f>IF(N8&gt;0, N8 - M8, 0)</f>
        <v>0</v>
      </c>
      <c r="P8" s="107">
        <f>IF(N8 = 0, K8 * B6, 0)</f>
        <v>0</v>
      </c>
      <c r="Q8" s="93"/>
      <c r="R8" s="93"/>
    </row>
    <row r="9" spans="1:18" x14ac:dyDescent="0.25">
      <c r="A9" s="104"/>
      <c r="B9" s="105"/>
      <c r="C9" s="105"/>
      <c r="D9" s="105"/>
      <c r="E9" s="105"/>
      <c r="F9" s="105"/>
      <c r="G9" s="105"/>
      <c r="H9" s="105"/>
      <c r="I9" s="105"/>
      <c r="J9" s="108">
        <f>SUM(J8:J8)</f>
        <v>419</v>
      </c>
      <c r="K9" s="108">
        <f>SUM(K8:K8)</f>
        <v>-1600</v>
      </c>
      <c r="L9" s="105">
        <f>SUM(L8:L8)</f>
        <v>1</v>
      </c>
      <c r="M9" s="108">
        <f>SUM(M8:M8)</f>
        <v>200</v>
      </c>
      <c r="N9" s="108">
        <f>SUM(N8:N8)</f>
        <v>200</v>
      </c>
      <c r="O9" s="108">
        <f>SUM(O8:O8)</f>
        <v>0</v>
      </c>
      <c r="P9" s="108">
        <f>SUM(P8:P8)</f>
        <v>0</v>
      </c>
      <c r="Q9" s="93"/>
      <c r="R9" s="93"/>
    </row>
    <row r="11" spans="1:18" x14ac:dyDescent="0.25">
      <c r="J11" s="99" t="s">
        <v>1451</v>
      </c>
      <c r="M11" s="106" t="e">
        <f>-VLOOKUP(B2, '3213'!A:G, 7, 0)</f>
        <v>#N/A</v>
      </c>
    </row>
    <row r="12" spans="1:18" x14ac:dyDescent="0.25">
      <c r="J12" s="99"/>
      <c r="M12" s="106"/>
    </row>
    <row r="13" spans="1:18" x14ac:dyDescent="0.25">
      <c r="J13" s="99" t="s">
        <v>1264</v>
      </c>
      <c r="K13" s="92">
        <v>0.18</v>
      </c>
      <c r="M13" s="106">
        <f>M9</f>
        <v>200</v>
      </c>
    </row>
    <row r="14" spans="1:18" x14ac:dyDescent="0.25">
      <c r="J14" s="99"/>
      <c r="M14" s="106"/>
    </row>
    <row r="15" spans="1:18" x14ac:dyDescent="0.25">
      <c r="A15" s="110"/>
      <c r="B15" s="109"/>
      <c r="C15" s="109"/>
      <c r="D15" t="s">
        <v>1448</v>
      </c>
      <c r="J15" s="99" t="s">
        <v>1265</v>
      </c>
      <c r="K15" s="92">
        <f>B6</f>
        <v>0</v>
      </c>
      <c r="M15" s="106">
        <f>P9</f>
        <v>0</v>
      </c>
    </row>
    <row r="16" spans="1:18" x14ac:dyDescent="0.25">
      <c r="J16" s="99"/>
      <c r="M16" s="106"/>
    </row>
    <row r="17" spans="1:13" x14ac:dyDescent="0.25">
      <c r="J17" s="99" t="s">
        <v>1452</v>
      </c>
      <c r="M17" s="106">
        <f>O9</f>
        <v>0</v>
      </c>
    </row>
    <row r="18" spans="1:13" x14ac:dyDescent="0.25">
      <c r="J18" s="99"/>
      <c r="M18" s="106"/>
    </row>
    <row r="19" spans="1:13" x14ac:dyDescent="0.25">
      <c r="J19" s="99" t="s">
        <v>1453</v>
      </c>
      <c r="M19" s="106">
        <f>SUM(P9, O9)</f>
        <v>0</v>
      </c>
    </row>
    <row r="20" spans="1:13" x14ac:dyDescent="0.25">
      <c r="J20" s="99"/>
      <c r="M20" s="106"/>
    </row>
    <row r="21" spans="1:13" x14ac:dyDescent="0.25">
      <c r="A21" s="110"/>
      <c r="B21" s="109"/>
      <c r="C21" s="109"/>
      <c r="D21" t="s">
        <v>1449</v>
      </c>
      <c r="J21" s="99" t="s">
        <v>1454</v>
      </c>
      <c r="M21" s="106">
        <f>J9</f>
        <v>419</v>
      </c>
    </row>
    <row r="22" spans="1:13" x14ac:dyDescent="0.25">
      <c r="J22" s="99"/>
      <c r="M22" s="106"/>
    </row>
    <row r="23" spans="1:13" x14ac:dyDescent="0.25">
      <c r="J23" s="99" t="s">
        <v>1455</v>
      </c>
      <c r="K23" s="92">
        <v>-0.25</v>
      </c>
      <c r="M23" s="106">
        <f>K23 * M21</f>
        <v>-104.75</v>
      </c>
    </row>
    <row r="24" spans="1:13" x14ac:dyDescent="0.25">
      <c r="J24" s="99"/>
      <c r="M24" s="106"/>
    </row>
    <row r="25" spans="1:13" x14ac:dyDescent="0.25">
      <c r="J25" s="99" t="s">
        <v>1456</v>
      </c>
      <c r="M25" s="106">
        <f>M21 + M23</f>
        <v>314.25</v>
      </c>
    </row>
    <row r="26" spans="1:13" x14ac:dyDescent="0.25">
      <c r="J26" s="99"/>
      <c r="M26" s="106"/>
    </row>
    <row r="27" spans="1:13" x14ac:dyDescent="0.25">
      <c r="J27" s="99" t="s">
        <v>1457</v>
      </c>
      <c r="K27" s="92">
        <v>0.05</v>
      </c>
      <c r="M27" s="106">
        <f>K27 * M25</f>
        <v>15.7125</v>
      </c>
    </row>
    <row r="28" spans="1:13" x14ac:dyDescent="0.25">
      <c r="J28" s="99"/>
      <c r="M28" s="106"/>
    </row>
    <row r="29" spans="1:13" x14ac:dyDescent="0.25">
      <c r="J29" s="99" t="s">
        <v>1458</v>
      </c>
      <c r="K29" t="str">
        <f>VLOOKUP(B2,'Pay Summary'!A:D,4,0)</f>
        <v/>
      </c>
      <c r="M29" s="106">
        <f>IF(K29 = 1, 500, 0)</f>
        <v>0</v>
      </c>
    </row>
    <row r="30" spans="1:13" x14ac:dyDescent="0.25">
      <c r="J30" s="99"/>
      <c r="M30" s="106"/>
    </row>
    <row r="31" spans="1:13" x14ac:dyDescent="0.25">
      <c r="J31" s="99" t="s">
        <v>1450</v>
      </c>
      <c r="K31">
        <f>L9</f>
        <v>1</v>
      </c>
      <c r="M31" s="106">
        <f>VLOOKUP(K31, 'Look Up Table'!E:F, 2, TRUE)</f>
        <v>0</v>
      </c>
    </row>
    <row r="32" spans="1:13" x14ac:dyDescent="0.25">
      <c r="J32" s="99"/>
      <c r="M32" s="106"/>
    </row>
    <row r="33" spans="10:15" x14ac:dyDescent="0.25">
      <c r="J33" s="99" t="s">
        <v>1306</v>
      </c>
      <c r="K33" s="111" t="str">
        <f>B4</f>
        <v>A</v>
      </c>
      <c r="M33" s="106">
        <f>IF(B5&gt;=3,IF(B4="3P",L9*50,IF(B4="A",0,IF(B4="B",L9*-50))),0)</f>
        <v>0</v>
      </c>
      <c r="N33" s="99" t="s">
        <v>1463</v>
      </c>
      <c r="O33" s="112">
        <f>'NPS Sheet'!X51</f>
        <v>0.91700000000000004</v>
      </c>
    </row>
    <row r="34" spans="10:15" x14ac:dyDescent="0.25">
      <c r="J34" s="99"/>
      <c r="M34" s="106"/>
    </row>
    <row r="35" spans="10:15" x14ac:dyDescent="0.25">
      <c r="J35" s="99" t="s">
        <v>1459</v>
      </c>
      <c r="M35" s="106">
        <f>SUM(M31, M33, M29)</f>
        <v>0</v>
      </c>
    </row>
    <row r="36" spans="10:15" x14ac:dyDescent="0.25">
      <c r="J36" s="99"/>
      <c r="M36" s="106"/>
    </row>
    <row r="37" spans="10:15" x14ac:dyDescent="0.25">
      <c r="J37" s="99" t="s">
        <v>1460</v>
      </c>
      <c r="M37" s="106">
        <f>IFERROR(VLOOKUP(B2,SPIFFS!A:H,8,0),0)</f>
        <v>0</v>
      </c>
    </row>
    <row r="38" spans="10:15" x14ac:dyDescent="0.25">
      <c r="J38" s="99"/>
      <c r="M38" s="106"/>
    </row>
    <row r="39" spans="10:15" x14ac:dyDescent="0.25">
      <c r="J39" s="99" t="s">
        <v>1461</v>
      </c>
      <c r="M39" s="106" t="e">
        <f>SUM(M13, M19, M27, M35, M11, M37)</f>
        <v>#N/A</v>
      </c>
    </row>
    <row r="40" spans="10:15" x14ac:dyDescent="0.25">
      <c r="J40" s="99"/>
      <c r="M40" s="106"/>
    </row>
    <row r="41" spans="10:15" x14ac:dyDescent="0.25">
      <c r="J41" s="99" t="s">
        <v>1462</v>
      </c>
      <c r="M41" s="106" t="e">
        <f>IF(M39&lt;0, SUM(M11, M35, M27, M19), 0)</f>
        <v>#N/A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681B07-1595-4087-92C8-2E0E96FAAF37}">
  <dimension ref="A1:R60"/>
  <sheetViews>
    <sheetView workbookViewId="0"/>
  </sheetViews>
  <sheetFormatPr defaultRowHeight="15" x14ac:dyDescent="0.25"/>
  <cols>
    <col min="1" max="1" width="23" style="95" bestFit="1" customWidth="1"/>
    <col min="2" max="2" width="27.85546875" bestFit="1" customWidth="1"/>
    <col min="3" max="3" width="11.42578125" bestFit="1" customWidth="1"/>
    <col min="4" max="4" width="26.5703125" bestFit="1" customWidth="1"/>
    <col min="5" max="5" width="9.5703125" bestFit="1" customWidth="1"/>
    <col min="6" max="6" width="5" bestFit="1" customWidth="1"/>
    <col min="7" max="7" width="13.5703125" bestFit="1" customWidth="1"/>
    <col min="8" max="8" width="17.5703125" bestFit="1" customWidth="1"/>
    <col min="9" max="9" width="9.5703125" bestFit="1" customWidth="1"/>
    <col min="10" max="10" width="23.140625" bestFit="1" customWidth="1"/>
    <col min="11" max="11" width="18.42578125" bestFit="1" customWidth="1"/>
    <col min="12" max="12" width="5.7109375" bestFit="1" customWidth="1"/>
    <col min="13" max="13" width="20.140625" bestFit="1" customWidth="1"/>
    <col min="14" max="14" width="13.7109375" bestFit="1" customWidth="1"/>
    <col min="15" max="15" width="11.5703125" bestFit="1" customWidth="1"/>
    <col min="16" max="16" width="24.85546875" bestFit="1" customWidth="1"/>
  </cols>
  <sheetData>
    <row r="1" spans="1:18" x14ac:dyDescent="0.25">
      <c r="A1" s="101" t="s">
        <v>1249</v>
      </c>
      <c r="B1" s="100" t="s">
        <v>36</v>
      </c>
    </row>
    <row r="2" spans="1:18" x14ac:dyDescent="0.25">
      <c r="A2" s="101" t="s">
        <v>1307</v>
      </c>
      <c r="B2" s="100">
        <v>259520</v>
      </c>
    </row>
    <row r="3" spans="1:18" x14ac:dyDescent="0.25">
      <c r="A3" s="101" t="s">
        <v>1305</v>
      </c>
      <c r="B3" s="100">
        <f>VLOOKUP(B2, '90'!A:E, 5, 0)</f>
        <v>25</v>
      </c>
    </row>
    <row r="4" spans="1:18" x14ac:dyDescent="0.25">
      <c r="A4" s="101" t="s">
        <v>1306</v>
      </c>
      <c r="B4" s="100" t="str">
        <f>IFERROR(VLOOKUP(B2, NPS!B:H, 7, 0), 0)</f>
        <v>3P</v>
      </c>
    </row>
    <row r="5" spans="1:18" x14ac:dyDescent="0.25">
      <c r="A5" s="101" t="s">
        <v>1257</v>
      </c>
      <c r="B5" s="100">
        <f>IFERROR(VLOOKUP(B2, NPS!B:H, 3, 0), 0)</f>
        <v>5</v>
      </c>
    </row>
    <row r="6" spans="1:18" x14ac:dyDescent="0.25">
      <c r="A6" s="101" t="s">
        <v>1447</v>
      </c>
      <c r="B6" s="103">
        <f>VLOOKUP(20, 'Look Up Table'!A:B, 2, TRUE)</f>
        <v>7.0000000000000007E-2</v>
      </c>
    </row>
    <row r="7" spans="1:18" ht="50.1" customHeight="1" x14ac:dyDescent="0.25">
      <c r="A7" s="102" t="s">
        <v>43</v>
      </c>
      <c r="B7" s="80" t="s">
        <v>1308</v>
      </c>
      <c r="C7" s="80" t="s">
        <v>1309</v>
      </c>
      <c r="D7" s="80" t="s">
        <v>48</v>
      </c>
      <c r="E7" s="80" t="s">
        <v>1310</v>
      </c>
      <c r="F7" s="80" t="s">
        <v>1311</v>
      </c>
      <c r="G7" s="80" t="s">
        <v>1312</v>
      </c>
      <c r="H7" s="80" t="s">
        <v>1313</v>
      </c>
      <c r="I7" s="80" t="s">
        <v>51</v>
      </c>
      <c r="J7" s="80" t="s">
        <v>1314</v>
      </c>
      <c r="K7" s="80" t="s">
        <v>1315</v>
      </c>
      <c r="L7" s="80" t="s">
        <v>54</v>
      </c>
      <c r="M7" s="80" t="s">
        <v>55</v>
      </c>
      <c r="N7" s="80" t="s">
        <v>1316</v>
      </c>
      <c r="O7" s="80" t="s">
        <v>1317</v>
      </c>
      <c r="P7" s="80" t="s">
        <v>1318</v>
      </c>
    </row>
    <row r="8" spans="1:18" x14ac:dyDescent="0.25">
      <c r="A8" s="96">
        <v>45726</v>
      </c>
      <c r="B8" s="93">
        <v>9362</v>
      </c>
      <c r="C8" s="93">
        <v>23646</v>
      </c>
      <c r="D8" s="93" t="s">
        <v>1024</v>
      </c>
      <c r="E8" s="93" t="s">
        <v>1025</v>
      </c>
      <c r="F8" s="93">
        <v>25</v>
      </c>
      <c r="G8" s="93" t="s">
        <v>1321</v>
      </c>
      <c r="H8" s="93" t="s">
        <v>1368</v>
      </c>
      <c r="I8" s="93" t="s">
        <v>59</v>
      </c>
      <c r="J8" s="107">
        <v>10419.280000000001</v>
      </c>
      <c r="K8" s="107">
        <v>17849</v>
      </c>
      <c r="L8" s="93">
        <v>1</v>
      </c>
      <c r="M8" s="107">
        <v>3212.82</v>
      </c>
      <c r="N8" s="107">
        <f>IF(M8&lt;=251, VLOOKUP(B3, 'Look Up Table'!I:J, 2, TRUE) * L8, 0)</f>
        <v>0</v>
      </c>
      <c r="O8" s="107">
        <f>IF(N8&gt;0, N8 - M8, 0)</f>
        <v>0</v>
      </c>
      <c r="P8" s="107">
        <f>IF(N8 = 0, K8 * B6, 0)</f>
        <v>1249.43</v>
      </c>
      <c r="Q8" s="93"/>
      <c r="R8" s="93"/>
    </row>
    <row r="9" spans="1:18" x14ac:dyDescent="0.25">
      <c r="A9" s="96">
        <v>45726</v>
      </c>
      <c r="B9" s="93">
        <v>9339</v>
      </c>
      <c r="C9" s="93">
        <v>11756</v>
      </c>
      <c r="D9" s="93" t="s">
        <v>1026</v>
      </c>
      <c r="E9" s="93" t="s">
        <v>1027</v>
      </c>
      <c r="F9" s="93">
        <v>25</v>
      </c>
      <c r="G9" s="93" t="s">
        <v>1319</v>
      </c>
      <c r="H9" s="93" t="s">
        <v>1427</v>
      </c>
      <c r="I9" s="93" t="s">
        <v>59</v>
      </c>
      <c r="J9" s="107">
        <v>1516.17</v>
      </c>
      <c r="K9" s="107">
        <v>-5595</v>
      </c>
      <c r="L9" s="93">
        <v>1</v>
      </c>
      <c r="M9" s="107">
        <v>200</v>
      </c>
      <c r="N9" s="107">
        <f>IF(M9&lt;=251, VLOOKUP(B3, 'Look Up Table'!I:J, 2, TRUE) * L9, 0)</f>
        <v>400</v>
      </c>
      <c r="O9" s="107">
        <f>IF(N9&gt;0, N9 - M9, 0)</f>
        <v>200</v>
      </c>
      <c r="P9" s="107">
        <f>IF(N9 = 0, K9 * B6, 0)</f>
        <v>0</v>
      </c>
      <c r="Q9" s="93"/>
      <c r="R9" s="93"/>
    </row>
    <row r="10" spans="1:18" x14ac:dyDescent="0.25">
      <c r="A10" s="96">
        <v>45727</v>
      </c>
      <c r="B10" s="93">
        <v>9463</v>
      </c>
      <c r="C10" s="93">
        <v>291206</v>
      </c>
      <c r="D10" s="93" t="s">
        <v>1029</v>
      </c>
      <c r="E10" s="93">
        <v>5218326</v>
      </c>
      <c r="F10" s="93">
        <v>25</v>
      </c>
      <c r="G10" s="93" t="s">
        <v>1321</v>
      </c>
      <c r="H10" s="93" t="s">
        <v>1379</v>
      </c>
      <c r="I10" s="93" t="s">
        <v>59</v>
      </c>
      <c r="J10" s="107">
        <v>1562.05</v>
      </c>
      <c r="K10" s="107">
        <v>-905</v>
      </c>
      <c r="L10" s="93">
        <v>1</v>
      </c>
      <c r="M10" s="107">
        <v>200</v>
      </c>
      <c r="N10" s="107">
        <f>IF(M10&lt;=251, VLOOKUP(B3, 'Look Up Table'!I:J, 2, TRUE) * L10, 0)</f>
        <v>400</v>
      </c>
      <c r="O10" s="107">
        <f>IF(N10&gt;0, N10 - M10, 0)</f>
        <v>200</v>
      </c>
      <c r="P10" s="107">
        <f>IF(N10 = 0, K10 * B6, 0)</f>
        <v>0</v>
      </c>
      <c r="Q10" s="93"/>
      <c r="R10" s="93"/>
    </row>
    <row r="11" spans="1:18" x14ac:dyDescent="0.25">
      <c r="A11" s="96">
        <v>45729</v>
      </c>
      <c r="B11" s="93">
        <v>9372</v>
      </c>
      <c r="C11" s="93">
        <v>23649</v>
      </c>
      <c r="D11" s="93" t="s">
        <v>1030</v>
      </c>
      <c r="E11" s="93" t="s">
        <v>1031</v>
      </c>
      <c r="F11" s="93">
        <v>25</v>
      </c>
      <c r="G11" s="93" t="s">
        <v>1319</v>
      </c>
      <c r="H11" s="93" t="s">
        <v>1353</v>
      </c>
      <c r="I11" s="93" t="s">
        <v>59</v>
      </c>
      <c r="J11" s="107">
        <v>1001</v>
      </c>
      <c r="K11" s="107">
        <v>-3891.01</v>
      </c>
      <c r="L11" s="93">
        <v>1</v>
      </c>
      <c r="M11" s="107">
        <v>200</v>
      </c>
      <c r="N11" s="107">
        <f>IF(M11&lt;=251, VLOOKUP(B3, 'Look Up Table'!I:J, 2, TRUE) * L11, 0)</f>
        <v>400</v>
      </c>
      <c r="O11" s="107">
        <f>IF(N11&gt;0, N11 - M11, 0)</f>
        <v>200</v>
      </c>
      <c r="P11" s="107">
        <f>IF(N11 = 0, K11 * B6, 0)</f>
        <v>0</v>
      </c>
      <c r="Q11" s="93"/>
      <c r="R11" s="93"/>
    </row>
    <row r="12" spans="1:18" x14ac:dyDescent="0.25">
      <c r="A12" s="96">
        <v>45730</v>
      </c>
      <c r="B12" s="93">
        <v>9478</v>
      </c>
      <c r="C12" s="93">
        <v>263636</v>
      </c>
      <c r="D12" s="93" t="s">
        <v>1034</v>
      </c>
      <c r="E12" s="93" t="s">
        <v>1035</v>
      </c>
      <c r="F12" s="93">
        <v>25</v>
      </c>
      <c r="G12" s="93" t="s">
        <v>1321</v>
      </c>
      <c r="H12" s="93" t="s">
        <v>1348</v>
      </c>
      <c r="I12" s="93" t="s">
        <v>59</v>
      </c>
      <c r="J12" s="107">
        <v>1762.58</v>
      </c>
      <c r="K12" s="107">
        <v>-5675</v>
      </c>
      <c r="L12" s="93">
        <v>1</v>
      </c>
      <c r="M12" s="107">
        <v>200</v>
      </c>
      <c r="N12" s="107">
        <f>IF(M12&lt;=251, VLOOKUP(B3, 'Look Up Table'!I:J, 2, TRUE) * L12, 0)</f>
        <v>400</v>
      </c>
      <c r="O12" s="107">
        <f>IF(N12&gt;0, N12 - M12, 0)</f>
        <v>200</v>
      </c>
      <c r="P12" s="107">
        <f>IF(N12 = 0, K12 * B6, 0)</f>
        <v>0</v>
      </c>
      <c r="Q12" s="93"/>
      <c r="R12" s="93"/>
    </row>
    <row r="13" spans="1:18" x14ac:dyDescent="0.25">
      <c r="A13" s="96">
        <v>45733</v>
      </c>
      <c r="B13" s="93">
        <v>9536</v>
      </c>
      <c r="C13" s="93">
        <v>23970</v>
      </c>
      <c r="D13" s="93" t="s">
        <v>1036</v>
      </c>
      <c r="E13" s="93" t="s">
        <v>1037</v>
      </c>
      <c r="F13" s="93">
        <v>25</v>
      </c>
      <c r="G13" s="93" t="s">
        <v>1319</v>
      </c>
      <c r="H13" s="93" t="s">
        <v>1363</v>
      </c>
      <c r="I13" s="93" t="s">
        <v>59</v>
      </c>
      <c r="J13" s="107">
        <v>0</v>
      </c>
      <c r="K13" s="107">
        <v>4393</v>
      </c>
      <c r="L13" s="93">
        <v>1</v>
      </c>
      <c r="M13" s="107">
        <v>790.74</v>
      </c>
      <c r="N13" s="107">
        <f>IF(M13&lt;=251, VLOOKUP(B3, 'Look Up Table'!I:J, 2, TRUE) * L13, 0)</f>
        <v>0</v>
      </c>
      <c r="O13" s="107">
        <f>IF(N13&gt;0, N13 - M13, 0)</f>
        <v>0</v>
      </c>
      <c r="P13" s="107">
        <f>IF(N13 = 0, K13 * B6, 0)</f>
        <v>307.51000000000005</v>
      </c>
      <c r="Q13" s="93"/>
      <c r="R13" s="93"/>
    </row>
    <row r="14" spans="1:18" x14ac:dyDescent="0.25">
      <c r="A14" s="96">
        <v>45736</v>
      </c>
      <c r="B14" s="93">
        <v>9639</v>
      </c>
      <c r="C14" s="93">
        <v>275602</v>
      </c>
      <c r="D14" s="93" t="s">
        <v>1040</v>
      </c>
      <c r="E14" s="93" t="s">
        <v>1041</v>
      </c>
      <c r="F14" s="93">
        <v>25</v>
      </c>
      <c r="G14" s="93" t="s">
        <v>1319</v>
      </c>
      <c r="H14" s="93" t="s">
        <v>1344</v>
      </c>
      <c r="I14" s="93" t="s">
        <v>59</v>
      </c>
      <c r="J14" s="107">
        <v>271</v>
      </c>
      <c r="K14" s="107">
        <v>-2729.05</v>
      </c>
      <c r="L14" s="93">
        <v>1</v>
      </c>
      <c r="M14" s="107">
        <v>200</v>
      </c>
      <c r="N14" s="107">
        <f>IF(M14&lt;=251, VLOOKUP(B3, 'Look Up Table'!I:J, 2, TRUE) * L14, 0)</f>
        <v>400</v>
      </c>
      <c r="O14" s="107">
        <f>IF(N14&gt;0, N14 - M14, 0)</f>
        <v>200</v>
      </c>
      <c r="P14" s="107">
        <f>IF(N14 = 0, K14 * B6, 0)</f>
        <v>0</v>
      </c>
      <c r="Q14" s="93"/>
      <c r="R14" s="93"/>
    </row>
    <row r="15" spans="1:18" x14ac:dyDescent="0.25">
      <c r="A15" s="96">
        <v>45742</v>
      </c>
      <c r="B15" s="93" t="s">
        <v>1049</v>
      </c>
      <c r="C15" s="93">
        <v>276781</v>
      </c>
      <c r="D15" s="93" t="s">
        <v>1044</v>
      </c>
      <c r="E15" s="93" t="s">
        <v>1045</v>
      </c>
      <c r="F15" s="93">
        <v>25</v>
      </c>
      <c r="G15" s="93" t="s">
        <v>1319</v>
      </c>
      <c r="H15" s="93" t="s">
        <v>1428</v>
      </c>
      <c r="I15" s="93" t="s">
        <v>59</v>
      </c>
      <c r="J15" s="107">
        <v>2584.21</v>
      </c>
      <c r="K15" s="107">
        <v>-6530</v>
      </c>
      <c r="L15" s="93">
        <v>1</v>
      </c>
      <c r="M15" s="107">
        <v>200</v>
      </c>
      <c r="N15" s="107">
        <f>IF(M15&lt;=251, VLOOKUP(B3, 'Look Up Table'!I:J, 2, TRUE) * L15, 0)</f>
        <v>400</v>
      </c>
      <c r="O15" s="107">
        <f>IF(N15&gt;0, N15 - M15, 0)</f>
        <v>200</v>
      </c>
      <c r="P15" s="107">
        <f>IF(N15 = 0, K15 * B6, 0)</f>
        <v>0</v>
      </c>
      <c r="Q15" s="93"/>
      <c r="R15" s="93"/>
    </row>
    <row r="16" spans="1:18" x14ac:dyDescent="0.25">
      <c r="A16" s="96">
        <v>45743</v>
      </c>
      <c r="B16" s="93">
        <v>9705</v>
      </c>
      <c r="C16" s="93">
        <v>266067</v>
      </c>
      <c r="D16" s="93" t="s">
        <v>1052</v>
      </c>
      <c r="E16" s="93" t="s">
        <v>1053</v>
      </c>
      <c r="F16" s="93">
        <v>25</v>
      </c>
      <c r="G16" s="93" t="s">
        <v>1321</v>
      </c>
      <c r="H16" s="93" t="s">
        <v>1324</v>
      </c>
      <c r="I16" s="93" t="s">
        <v>59</v>
      </c>
      <c r="J16" s="107">
        <v>557</v>
      </c>
      <c r="K16" s="107">
        <v>2269</v>
      </c>
      <c r="L16" s="93">
        <v>1</v>
      </c>
      <c r="M16" s="107">
        <v>408.42</v>
      </c>
      <c r="N16" s="107">
        <f>IF(M16&lt;=251, VLOOKUP(B3, 'Look Up Table'!I:J, 2, TRUE) * L16, 0)</f>
        <v>0</v>
      </c>
      <c r="O16" s="107">
        <f>IF(N16&gt;0, N16 - M16, 0)</f>
        <v>0</v>
      </c>
      <c r="P16" s="107">
        <f>IF(N16 = 0, K16 * B6, 0)</f>
        <v>158.83000000000001</v>
      </c>
      <c r="Q16" s="93"/>
      <c r="R16" s="93"/>
    </row>
    <row r="17" spans="1:18" x14ac:dyDescent="0.25">
      <c r="A17" s="96">
        <v>45743</v>
      </c>
      <c r="B17" s="93">
        <v>9642</v>
      </c>
      <c r="C17" s="93">
        <v>24096</v>
      </c>
      <c r="D17" s="93" t="s">
        <v>1056</v>
      </c>
      <c r="E17" s="93" t="s">
        <v>808</v>
      </c>
      <c r="F17" s="93">
        <v>20</v>
      </c>
      <c r="G17" s="93" t="s">
        <v>1321</v>
      </c>
      <c r="H17" s="93" t="s">
        <v>1343</v>
      </c>
      <c r="I17" s="93" t="s">
        <v>86</v>
      </c>
      <c r="J17" s="107">
        <v>3248.73</v>
      </c>
      <c r="K17" s="107">
        <v>-346.07</v>
      </c>
      <c r="L17" s="93">
        <v>1</v>
      </c>
      <c r="M17" s="107">
        <v>200</v>
      </c>
      <c r="N17" s="107">
        <f>IF(M17&lt;=251, VLOOKUP(B3, 'Look Up Table'!I:J, 2, TRUE) * L17, 0)</f>
        <v>400</v>
      </c>
      <c r="O17" s="107">
        <f>IF(N17&gt;0, N17 - M17, 0)</f>
        <v>200</v>
      </c>
      <c r="P17" s="107">
        <f>IF(N17 = 0, K17 * B6, 0)</f>
        <v>0</v>
      </c>
      <c r="Q17" s="93"/>
      <c r="R17" s="93"/>
    </row>
    <row r="18" spans="1:18" x14ac:dyDescent="0.25">
      <c r="A18" s="96">
        <v>45743</v>
      </c>
      <c r="B18" s="93">
        <v>9719</v>
      </c>
      <c r="C18" s="93">
        <v>24241</v>
      </c>
      <c r="D18" s="93" t="s">
        <v>1057</v>
      </c>
      <c r="E18" s="93" t="s">
        <v>1058</v>
      </c>
      <c r="F18" s="93">
        <v>20</v>
      </c>
      <c r="G18" s="93" t="s">
        <v>1321</v>
      </c>
      <c r="H18" s="93" t="s">
        <v>1343</v>
      </c>
      <c r="I18" s="93" t="s">
        <v>86</v>
      </c>
      <c r="J18" s="107">
        <v>2088.35</v>
      </c>
      <c r="K18" s="107">
        <v>85.45</v>
      </c>
      <c r="L18" s="93">
        <v>1</v>
      </c>
      <c r="M18" s="107">
        <v>200</v>
      </c>
      <c r="N18" s="107">
        <f>IF(M18&lt;=251, VLOOKUP(B3, 'Look Up Table'!I:J, 2, TRUE) * L18, 0)</f>
        <v>400</v>
      </c>
      <c r="O18" s="107">
        <f>IF(N18&gt;0, N18 - M18, 0)</f>
        <v>200</v>
      </c>
      <c r="P18" s="107">
        <f>IF(N18 = 0, K18 * B6, 0)</f>
        <v>0</v>
      </c>
      <c r="Q18" s="93"/>
      <c r="R18" s="93"/>
    </row>
    <row r="19" spans="1:18" x14ac:dyDescent="0.25">
      <c r="A19" s="96">
        <v>45747</v>
      </c>
      <c r="B19" s="93" t="s">
        <v>1059</v>
      </c>
      <c r="C19" s="93">
        <v>279071</v>
      </c>
      <c r="D19" s="93" t="s">
        <v>1060</v>
      </c>
      <c r="E19" s="93" t="s">
        <v>1061</v>
      </c>
      <c r="F19" s="93">
        <v>25</v>
      </c>
      <c r="G19" s="93" t="s">
        <v>1329</v>
      </c>
      <c r="H19" s="93" t="s">
        <v>1334</v>
      </c>
      <c r="I19" s="93" t="s">
        <v>59</v>
      </c>
      <c r="J19" s="107">
        <v>726.46</v>
      </c>
      <c r="K19" s="107">
        <v>-1077.1400000000001</v>
      </c>
      <c r="L19" s="93">
        <v>1</v>
      </c>
      <c r="M19" s="107">
        <v>200</v>
      </c>
      <c r="N19" s="107">
        <f>IF(M19&lt;=251, VLOOKUP(B3, 'Look Up Table'!I:J, 2, TRUE) * L19, 0)</f>
        <v>400</v>
      </c>
      <c r="O19" s="107">
        <f>IF(N19&gt;0, N19 - M19, 0)</f>
        <v>200</v>
      </c>
      <c r="P19" s="107">
        <f>IF(N19 = 0, K19 * B6, 0)</f>
        <v>0</v>
      </c>
      <c r="Q19" s="93"/>
      <c r="R19" s="93"/>
    </row>
    <row r="20" spans="1:18" x14ac:dyDescent="0.25">
      <c r="A20" s="96">
        <v>45747</v>
      </c>
      <c r="B20" s="93">
        <v>7840</v>
      </c>
      <c r="C20" s="93">
        <v>263505</v>
      </c>
      <c r="D20" s="93" t="s">
        <v>1063</v>
      </c>
      <c r="E20" s="93" t="s">
        <v>1064</v>
      </c>
      <c r="F20" s="93">
        <v>25</v>
      </c>
      <c r="G20" s="93" t="s">
        <v>1319</v>
      </c>
      <c r="H20" s="93" t="s">
        <v>1352</v>
      </c>
      <c r="I20" s="93" t="s">
        <v>59</v>
      </c>
      <c r="J20" s="107">
        <v>2542.4299999999998</v>
      </c>
      <c r="K20" s="107">
        <v>5709.71</v>
      </c>
      <c r="L20" s="93">
        <v>1</v>
      </c>
      <c r="M20" s="107">
        <v>1027.75</v>
      </c>
      <c r="N20" s="107">
        <f>IF(M20&lt;=251, VLOOKUP(B3, 'Look Up Table'!I:J, 2, TRUE) * L20, 0)</f>
        <v>0</v>
      </c>
      <c r="O20" s="107">
        <f>IF(N20&gt;0, N20 - M20, 0)</f>
        <v>0</v>
      </c>
      <c r="P20" s="107">
        <f>IF(N20 = 0, K20 * B6, 0)</f>
        <v>399.67970000000003</v>
      </c>
      <c r="Q20" s="93"/>
      <c r="R20" s="93"/>
    </row>
    <row r="21" spans="1:18" x14ac:dyDescent="0.25">
      <c r="A21" s="96">
        <v>45747</v>
      </c>
      <c r="B21" s="93">
        <v>9824</v>
      </c>
      <c r="C21" s="93">
        <v>24346</v>
      </c>
      <c r="D21" s="93" t="s">
        <v>1067</v>
      </c>
      <c r="E21" s="93" t="s">
        <v>1068</v>
      </c>
      <c r="F21" s="93">
        <v>25</v>
      </c>
      <c r="G21" s="93" t="s">
        <v>1319</v>
      </c>
      <c r="H21" s="93" t="s">
        <v>1344</v>
      </c>
      <c r="I21" s="93" t="s">
        <v>59</v>
      </c>
      <c r="J21" s="107">
        <v>183</v>
      </c>
      <c r="K21" s="107">
        <v>-4144</v>
      </c>
      <c r="L21" s="93">
        <v>1</v>
      </c>
      <c r="M21" s="107">
        <v>200</v>
      </c>
      <c r="N21" s="107">
        <f>IF(M21&lt;=251, VLOOKUP(B3, 'Look Up Table'!I:J, 2, TRUE) * L21, 0)</f>
        <v>400</v>
      </c>
      <c r="O21" s="107">
        <f>IF(N21&gt;0, N21 - M21, 0)</f>
        <v>200</v>
      </c>
      <c r="P21" s="107">
        <f>IF(N21 = 0, K21 * B6, 0)</f>
        <v>0</v>
      </c>
      <c r="Q21" s="93"/>
      <c r="R21" s="93"/>
    </row>
    <row r="22" spans="1:18" x14ac:dyDescent="0.25">
      <c r="A22" s="96">
        <v>45747</v>
      </c>
      <c r="B22" s="93">
        <v>9922</v>
      </c>
      <c r="C22" s="93">
        <v>24472</v>
      </c>
      <c r="D22" s="93" t="s">
        <v>1069</v>
      </c>
      <c r="E22" s="93" t="s">
        <v>1070</v>
      </c>
      <c r="F22" s="93">
        <v>25</v>
      </c>
      <c r="G22" s="93" t="s">
        <v>1321</v>
      </c>
      <c r="H22" s="93" t="s">
        <v>1324</v>
      </c>
      <c r="I22" s="93" t="s">
        <v>59</v>
      </c>
      <c r="J22" s="107">
        <v>254</v>
      </c>
      <c r="K22" s="107">
        <v>-3089</v>
      </c>
      <c r="L22" s="93">
        <v>1</v>
      </c>
      <c r="M22" s="107">
        <v>200</v>
      </c>
      <c r="N22" s="107">
        <f>IF(M22&lt;=251, VLOOKUP(B3, 'Look Up Table'!I:J, 2, TRUE) * L22, 0)</f>
        <v>400</v>
      </c>
      <c r="O22" s="107">
        <f>IF(N22&gt;0, N22 - M22, 0)</f>
        <v>200</v>
      </c>
      <c r="P22" s="107">
        <f>IF(N22 = 0, K22 * B6, 0)</f>
        <v>0</v>
      </c>
      <c r="Q22" s="93"/>
      <c r="R22" s="93"/>
    </row>
    <row r="23" spans="1:18" x14ac:dyDescent="0.25">
      <c r="A23" s="96">
        <v>45747</v>
      </c>
      <c r="B23" s="93">
        <v>9938</v>
      </c>
      <c r="C23" s="93">
        <v>266035</v>
      </c>
      <c r="D23" s="93" t="s">
        <v>1071</v>
      </c>
      <c r="E23" s="93">
        <v>9003649</v>
      </c>
      <c r="F23" s="93">
        <v>25</v>
      </c>
      <c r="G23" s="93" t="s">
        <v>1321</v>
      </c>
      <c r="H23" s="93" t="s">
        <v>1324</v>
      </c>
      <c r="I23" s="93" t="s">
        <v>59</v>
      </c>
      <c r="J23" s="107">
        <v>129</v>
      </c>
      <c r="K23" s="107">
        <v>-4189</v>
      </c>
      <c r="L23" s="93">
        <v>1</v>
      </c>
      <c r="M23" s="107">
        <v>200</v>
      </c>
      <c r="N23" s="107">
        <f>IF(M23&lt;=251, VLOOKUP(B3, 'Look Up Table'!I:J, 2, TRUE) * L23, 0)</f>
        <v>400</v>
      </c>
      <c r="O23" s="107">
        <f>IF(N23&gt;0, N23 - M23, 0)</f>
        <v>200</v>
      </c>
      <c r="P23" s="107">
        <f>IF(N23 = 0, K23 * B6, 0)</f>
        <v>0</v>
      </c>
      <c r="Q23" s="93"/>
      <c r="R23" s="93"/>
    </row>
    <row r="24" spans="1:18" x14ac:dyDescent="0.25">
      <c r="A24" s="96">
        <v>45747</v>
      </c>
      <c r="B24" s="93">
        <v>9979</v>
      </c>
      <c r="C24" s="93">
        <v>259026</v>
      </c>
      <c r="D24" s="93" t="s">
        <v>1073</v>
      </c>
      <c r="E24" s="93" t="s">
        <v>1074</v>
      </c>
      <c r="F24" s="93">
        <v>25</v>
      </c>
      <c r="G24" s="93" t="s">
        <v>1319</v>
      </c>
      <c r="H24" s="93" t="s">
        <v>1366</v>
      </c>
      <c r="I24" s="93" t="s">
        <v>59</v>
      </c>
      <c r="J24" s="107">
        <v>2128.67</v>
      </c>
      <c r="K24" s="107">
        <v>2396</v>
      </c>
      <c r="L24" s="93">
        <v>1</v>
      </c>
      <c r="M24" s="107">
        <v>431.28</v>
      </c>
      <c r="N24" s="107">
        <f>IF(M24&lt;=251, VLOOKUP(B3, 'Look Up Table'!I:J, 2, TRUE) * L24, 0)</f>
        <v>0</v>
      </c>
      <c r="O24" s="107">
        <f>IF(N24&gt;0, N24 - M24, 0)</f>
        <v>0</v>
      </c>
      <c r="P24" s="107">
        <f>IF(N24 = 0, K24 * B6, 0)</f>
        <v>167.72000000000003</v>
      </c>
      <c r="Q24" s="93"/>
      <c r="R24" s="93"/>
    </row>
    <row r="25" spans="1:18" x14ac:dyDescent="0.25">
      <c r="A25" s="96">
        <v>45747</v>
      </c>
      <c r="B25" s="93" t="s">
        <v>1077</v>
      </c>
      <c r="C25" s="93">
        <v>24042</v>
      </c>
      <c r="D25" s="93" t="s">
        <v>1050</v>
      </c>
      <c r="E25" s="93" t="s">
        <v>1051</v>
      </c>
      <c r="F25" s="93">
        <v>24</v>
      </c>
      <c r="G25" s="93" t="s">
        <v>1319</v>
      </c>
      <c r="H25" s="93" t="s">
        <v>1323</v>
      </c>
      <c r="I25" s="93" t="s">
        <v>59</v>
      </c>
      <c r="J25" s="107">
        <v>1820.35</v>
      </c>
      <c r="K25" s="107">
        <v>5716.86</v>
      </c>
      <c r="L25" s="93">
        <v>1</v>
      </c>
      <c r="M25" s="107">
        <v>1029.03</v>
      </c>
      <c r="N25" s="107">
        <f>IF(M25&lt;=251, VLOOKUP(B3, 'Look Up Table'!I:J, 2, TRUE) * L25, 0)</f>
        <v>0</v>
      </c>
      <c r="O25" s="107">
        <f>IF(N25&gt;0, N25 - M25, 0)</f>
        <v>0</v>
      </c>
      <c r="P25" s="107">
        <f>IF(N25 = 0, K25 * B6, 0)</f>
        <v>400.18020000000001</v>
      </c>
      <c r="Q25" s="93"/>
      <c r="R25" s="93"/>
    </row>
    <row r="26" spans="1:18" x14ac:dyDescent="0.25">
      <c r="A26" s="96">
        <v>45747</v>
      </c>
      <c r="B26" s="93" t="s">
        <v>1078</v>
      </c>
      <c r="C26" s="93">
        <v>24348</v>
      </c>
      <c r="D26" s="93" t="s">
        <v>1065</v>
      </c>
      <c r="E26" s="93" t="s">
        <v>1066</v>
      </c>
      <c r="F26" s="93">
        <v>24</v>
      </c>
      <c r="G26" s="93" t="s">
        <v>1319</v>
      </c>
      <c r="H26" s="93" t="s">
        <v>1323</v>
      </c>
      <c r="I26" s="93" t="s">
        <v>59</v>
      </c>
      <c r="J26" s="107">
        <v>976.9</v>
      </c>
      <c r="K26" s="107">
        <v>-1110.8</v>
      </c>
      <c r="L26" s="93">
        <v>1</v>
      </c>
      <c r="M26" s="107">
        <v>200</v>
      </c>
      <c r="N26" s="107">
        <f>IF(M26&lt;=251, VLOOKUP(B3, 'Look Up Table'!I:J, 2, TRUE) * L26, 0)</f>
        <v>400</v>
      </c>
      <c r="O26" s="107">
        <f>IF(N26&gt;0, N26 - M26, 0)</f>
        <v>200</v>
      </c>
      <c r="P26" s="107">
        <f>IF(N26 = 0, K26 * B6, 0)</f>
        <v>0</v>
      </c>
      <c r="Q26" s="93"/>
      <c r="R26" s="93"/>
    </row>
    <row r="27" spans="1:18" x14ac:dyDescent="0.25">
      <c r="A27" s="96">
        <v>45747</v>
      </c>
      <c r="B27" s="93">
        <v>9666</v>
      </c>
      <c r="C27" s="93">
        <v>24155</v>
      </c>
      <c r="D27" s="93" t="s">
        <v>1079</v>
      </c>
      <c r="E27" s="93" t="s">
        <v>1080</v>
      </c>
      <c r="F27" s="93">
        <v>21</v>
      </c>
      <c r="G27" s="93" t="s">
        <v>1429</v>
      </c>
      <c r="H27" s="93" t="s">
        <v>1430</v>
      </c>
      <c r="I27" s="93" t="s">
        <v>86</v>
      </c>
      <c r="J27" s="107">
        <v>8422.2199999999993</v>
      </c>
      <c r="K27" s="107">
        <v>10677.87</v>
      </c>
      <c r="L27" s="93">
        <v>1</v>
      </c>
      <c r="M27" s="107">
        <v>1922.02</v>
      </c>
      <c r="N27" s="107">
        <f>IF(M27&lt;=251, VLOOKUP(B3, 'Look Up Table'!I:J, 2, TRUE) * L27, 0)</f>
        <v>0</v>
      </c>
      <c r="O27" s="107">
        <f>IF(N27&gt;0, N27 - M27, 0)</f>
        <v>0</v>
      </c>
      <c r="P27" s="107">
        <f>IF(N27 = 0, K27 * B6, 0)</f>
        <v>747.45090000000016</v>
      </c>
      <c r="Q27" s="93"/>
      <c r="R27" s="93"/>
    </row>
    <row r="28" spans="1:18" x14ac:dyDescent="0.25">
      <c r="A28" s="104"/>
      <c r="B28" s="105"/>
      <c r="C28" s="105"/>
      <c r="D28" s="105"/>
      <c r="E28" s="105"/>
      <c r="F28" s="105"/>
      <c r="G28" s="105"/>
      <c r="H28" s="105"/>
      <c r="I28" s="105"/>
      <c r="J28" s="108">
        <f>SUM(J8:J27)</f>
        <v>42193.4</v>
      </c>
      <c r="K28" s="108">
        <f>SUM(K8:K27)</f>
        <v>9815.82</v>
      </c>
      <c r="L28" s="105">
        <f>SUM(L8:L27)</f>
        <v>20</v>
      </c>
      <c r="M28" s="108">
        <f>SUM(M8:M27)</f>
        <v>11422.060000000001</v>
      </c>
      <c r="N28" s="108">
        <f>SUM(N8:N27)</f>
        <v>5200</v>
      </c>
      <c r="O28" s="108">
        <f>SUM(O8:O27)</f>
        <v>2600</v>
      </c>
      <c r="P28" s="108">
        <f>SUM(P8:P27)</f>
        <v>3430.8008000000004</v>
      </c>
      <c r="Q28" s="93"/>
      <c r="R28" s="93"/>
    </row>
    <row r="30" spans="1:18" x14ac:dyDescent="0.25">
      <c r="J30" s="99" t="s">
        <v>1451</v>
      </c>
      <c r="M30" s="106">
        <f>-VLOOKUP(B2, '3213'!A:G, 7, 0)</f>
        <v>-2587</v>
      </c>
    </row>
    <row r="31" spans="1:18" x14ac:dyDescent="0.25">
      <c r="J31" s="99"/>
      <c r="M31" s="106"/>
    </row>
    <row r="32" spans="1:18" x14ac:dyDescent="0.25">
      <c r="J32" s="99" t="s">
        <v>1264</v>
      </c>
      <c r="K32" s="92">
        <v>0.18</v>
      </c>
      <c r="M32" s="106">
        <f>M28</f>
        <v>11422.060000000001</v>
      </c>
    </row>
    <row r="33" spans="1:13" x14ac:dyDescent="0.25">
      <c r="J33" s="99"/>
      <c r="M33" s="106"/>
    </row>
    <row r="34" spans="1:13" x14ac:dyDescent="0.25">
      <c r="A34" s="110"/>
      <c r="B34" s="109"/>
      <c r="C34" s="109"/>
      <c r="D34" t="s">
        <v>1448</v>
      </c>
      <c r="J34" s="99" t="s">
        <v>1265</v>
      </c>
      <c r="K34" s="92">
        <f>B6</f>
        <v>7.0000000000000007E-2</v>
      </c>
      <c r="M34" s="106">
        <f>P28</f>
        <v>3430.8008000000004</v>
      </c>
    </row>
    <row r="35" spans="1:13" x14ac:dyDescent="0.25">
      <c r="J35" s="99"/>
      <c r="M35" s="106"/>
    </row>
    <row r="36" spans="1:13" x14ac:dyDescent="0.25">
      <c r="J36" s="99" t="s">
        <v>1452</v>
      </c>
      <c r="M36" s="106">
        <f>O28</f>
        <v>2600</v>
      </c>
    </row>
    <row r="37" spans="1:13" x14ac:dyDescent="0.25">
      <c r="J37" s="99"/>
      <c r="M37" s="106"/>
    </row>
    <row r="38" spans="1:13" x14ac:dyDescent="0.25">
      <c r="J38" s="99" t="s">
        <v>1453</v>
      </c>
      <c r="M38" s="106">
        <f>SUM(P28, O28)</f>
        <v>6030.8008000000009</v>
      </c>
    </row>
    <row r="39" spans="1:13" x14ac:dyDescent="0.25">
      <c r="J39" s="99"/>
      <c r="M39" s="106"/>
    </row>
    <row r="40" spans="1:13" x14ac:dyDescent="0.25">
      <c r="A40" s="110"/>
      <c r="B40" s="109"/>
      <c r="C40" s="109"/>
      <c r="D40" t="s">
        <v>1449</v>
      </c>
      <c r="J40" s="99" t="s">
        <v>1454</v>
      </c>
      <c r="M40" s="106">
        <f>J28</f>
        <v>42193.4</v>
      </c>
    </row>
    <row r="41" spans="1:13" x14ac:dyDescent="0.25">
      <c r="J41" s="99"/>
      <c r="M41" s="106"/>
    </row>
    <row r="42" spans="1:13" x14ac:dyDescent="0.25">
      <c r="J42" s="99" t="s">
        <v>1455</v>
      </c>
      <c r="K42" s="92">
        <v>-0.25</v>
      </c>
      <c r="M42" s="106">
        <f>K42 * M40</f>
        <v>-10548.35</v>
      </c>
    </row>
    <row r="43" spans="1:13" x14ac:dyDescent="0.25">
      <c r="J43" s="99"/>
      <c r="M43" s="106"/>
    </row>
    <row r="44" spans="1:13" x14ac:dyDescent="0.25">
      <c r="J44" s="99" t="s">
        <v>1456</v>
      </c>
      <c r="M44" s="106">
        <f>M40 + M42</f>
        <v>31645.050000000003</v>
      </c>
    </row>
    <row r="45" spans="1:13" x14ac:dyDescent="0.25">
      <c r="J45" s="99"/>
      <c r="M45" s="106"/>
    </row>
    <row r="46" spans="1:13" x14ac:dyDescent="0.25">
      <c r="J46" s="99" t="s">
        <v>1457</v>
      </c>
      <c r="K46" s="92">
        <v>0.05</v>
      </c>
      <c r="M46" s="106">
        <f>K46 * M44</f>
        <v>1582.2525000000003</v>
      </c>
    </row>
    <row r="47" spans="1:13" x14ac:dyDescent="0.25">
      <c r="J47" s="99"/>
      <c r="M47" s="106"/>
    </row>
    <row r="48" spans="1:13" x14ac:dyDescent="0.25">
      <c r="J48" s="99" t="s">
        <v>1458</v>
      </c>
      <c r="K48">
        <f>VLOOKUP(B2,'Pay Summary'!A:D,4,0)</f>
        <v>1</v>
      </c>
      <c r="M48" s="106">
        <f>IF(K48 = 1, 500, 0)</f>
        <v>500</v>
      </c>
    </row>
    <row r="49" spans="10:15" x14ac:dyDescent="0.25">
      <c r="J49" s="99"/>
      <c r="M49" s="106"/>
    </row>
    <row r="50" spans="10:15" x14ac:dyDescent="0.25">
      <c r="J50" s="99" t="s">
        <v>1450</v>
      </c>
      <c r="K50">
        <f>L28</f>
        <v>20</v>
      </c>
      <c r="M50" s="106">
        <f>VLOOKUP(K50, 'Look Up Table'!E:F, 2, TRUE)</f>
        <v>2500</v>
      </c>
    </row>
    <row r="51" spans="10:15" x14ac:dyDescent="0.25">
      <c r="J51" s="99"/>
      <c r="M51" s="106"/>
    </row>
    <row r="52" spans="10:15" x14ac:dyDescent="0.25">
      <c r="J52" s="99" t="s">
        <v>1306</v>
      </c>
      <c r="K52" s="111" t="str">
        <f>B4</f>
        <v>3P</v>
      </c>
      <c r="M52" s="106">
        <f>IF(B5&gt;=3,IF(B4="3P",L28*50,IF(B4="A",0,IF(B4="B",L28*-50))),0)</f>
        <v>1000</v>
      </c>
      <c r="N52" s="99" t="s">
        <v>1463</v>
      </c>
      <c r="O52" s="112">
        <f>'NPS Sheet'!X51</f>
        <v>0.91700000000000004</v>
      </c>
    </row>
    <row r="53" spans="10:15" x14ac:dyDescent="0.25">
      <c r="J53" s="99"/>
      <c r="M53" s="106"/>
    </row>
    <row r="54" spans="10:15" x14ac:dyDescent="0.25">
      <c r="J54" s="99" t="s">
        <v>1459</v>
      </c>
      <c r="M54" s="106">
        <f>SUM(M50, M52, M48)</f>
        <v>4000</v>
      </c>
    </row>
    <row r="55" spans="10:15" x14ac:dyDescent="0.25">
      <c r="J55" s="99"/>
      <c r="M55" s="106"/>
    </row>
    <row r="56" spans="10:15" x14ac:dyDescent="0.25">
      <c r="J56" s="99" t="s">
        <v>1460</v>
      </c>
      <c r="M56" s="106">
        <f>IFERROR(VLOOKUP(B2,SPIFFS!A:H,8,0),0)</f>
        <v>0</v>
      </c>
    </row>
    <row r="57" spans="10:15" x14ac:dyDescent="0.25">
      <c r="J57" s="99"/>
      <c r="M57" s="106"/>
    </row>
    <row r="58" spans="10:15" x14ac:dyDescent="0.25">
      <c r="J58" s="99" t="s">
        <v>1461</v>
      </c>
      <c r="M58" s="106">
        <f>SUM(M32, M38, M46, M54, M30, M56)</f>
        <v>20448.113300000001</v>
      </c>
    </row>
    <row r="59" spans="10:15" x14ac:dyDescent="0.25">
      <c r="J59" s="99"/>
      <c r="M59" s="106"/>
    </row>
    <row r="60" spans="10:15" x14ac:dyDescent="0.25">
      <c r="J60" s="99" t="s">
        <v>1462</v>
      </c>
      <c r="M60" s="106">
        <f>IF(M58&lt;0, SUM(M30, M54, M46, M38), 0)</f>
        <v>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42BF3-8BEA-4992-8EE3-F59D5576006D}">
  <dimension ref="A1:R45"/>
  <sheetViews>
    <sheetView workbookViewId="0"/>
  </sheetViews>
  <sheetFormatPr defaultRowHeight="15" x14ac:dyDescent="0.25"/>
  <cols>
    <col min="1" max="1" width="23" style="95" bestFit="1" customWidth="1"/>
    <col min="2" max="2" width="24.140625" bestFit="1" customWidth="1"/>
    <col min="3" max="3" width="11.42578125" bestFit="1" customWidth="1"/>
    <col min="4" max="4" width="16.28515625" bestFit="1" customWidth="1"/>
    <col min="6" max="6" width="5" bestFit="1" customWidth="1"/>
    <col min="8" max="8" width="16.7109375" bestFit="1" customWidth="1"/>
    <col min="9" max="9" width="9.5703125" bestFit="1" customWidth="1"/>
    <col min="10" max="10" width="23.140625" bestFit="1" customWidth="1"/>
    <col min="11" max="11" width="18.42578125" bestFit="1" customWidth="1"/>
    <col min="12" max="12" width="5.7109375" bestFit="1" customWidth="1"/>
    <col min="13" max="13" width="20.140625" bestFit="1" customWidth="1"/>
    <col min="14" max="14" width="13.7109375" bestFit="1" customWidth="1"/>
    <col min="15" max="15" width="11.5703125" bestFit="1" customWidth="1"/>
    <col min="16" max="16" width="24.85546875" bestFit="1" customWidth="1"/>
  </cols>
  <sheetData>
    <row r="1" spans="1:18" x14ac:dyDescent="0.25">
      <c r="A1" s="101" t="s">
        <v>1249</v>
      </c>
      <c r="B1" s="100" t="s">
        <v>1082</v>
      </c>
    </row>
    <row r="2" spans="1:18" x14ac:dyDescent="0.25">
      <c r="A2" s="101" t="s">
        <v>1307</v>
      </c>
      <c r="B2" s="100">
        <v>261800</v>
      </c>
    </row>
    <row r="3" spans="1:18" x14ac:dyDescent="0.25">
      <c r="A3" s="101" t="s">
        <v>1305</v>
      </c>
      <c r="B3" s="100">
        <f>VLOOKUP(B2, '90'!A:E, 5, 0)</f>
        <v>10</v>
      </c>
    </row>
    <row r="4" spans="1:18" x14ac:dyDescent="0.25">
      <c r="A4" s="101" t="s">
        <v>1306</v>
      </c>
      <c r="B4" s="100" t="str">
        <f>IFERROR(VLOOKUP(B2, NPS!B:H, 7, 0), 0)</f>
        <v>3P</v>
      </c>
    </row>
    <row r="5" spans="1:18" x14ac:dyDescent="0.25">
      <c r="A5" s="101" t="s">
        <v>1257</v>
      </c>
      <c r="B5" s="100">
        <f>IFERROR(VLOOKUP(B2, NPS!B:H, 3, 0), 0)</f>
        <v>1</v>
      </c>
    </row>
    <row r="6" spans="1:18" x14ac:dyDescent="0.25">
      <c r="A6" s="101" t="s">
        <v>1447</v>
      </c>
      <c r="B6" s="103">
        <f>VLOOKUP(4.5, 'Look Up Table'!A:B, 2, TRUE)</f>
        <v>0</v>
      </c>
    </row>
    <row r="7" spans="1:18" ht="50.1" customHeight="1" x14ac:dyDescent="0.25">
      <c r="A7" s="102" t="s">
        <v>43</v>
      </c>
      <c r="B7" s="80" t="s">
        <v>1308</v>
      </c>
      <c r="C7" s="80" t="s">
        <v>1309</v>
      </c>
      <c r="D7" s="80" t="s">
        <v>48</v>
      </c>
      <c r="E7" s="80" t="s">
        <v>1310</v>
      </c>
      <c r="F7" s="80" t="s">
        <v>1311</v>
      </c>
      <c r="G7" s="80" t="s">
        <v>1312</v>
      </c>
      <c r="H7" s="80" t="s">
        <v>1313</v>
      </c>
      <c r="I7" s="80" t="s">
        <v>51</v>
      </c>
      <c r="J7" s="80" t="s">
        <v>1314</v>
      </c>
      <c r="K7" s="80" t="s">
        <v>1315</v>
      </c>
      <c r="L7" s="80" t="s">
        <v>54</v>
      </c>
      <c r="M7" s="80" t="s">
        <v>55</v>
      </c>
      <c r="N7" s="80" t="s">
        <v>1316</v>
      </c>
      <c r="O7" s="80" t="s">
        <v>1317</v>
      </c>
      <c r="P7" s="80" t="s">
        <v>1318</v>
      </c>
    </row>
    <row r="8" spans="1:18" x14ac:dyDescent="0.25">
      <c r="A8" s="96">
        <v>45728</v>
      </c>
      <c r="B8" s="93">
        <v>9396</v>
      </c>
      <c r="C8" s="93">
        <v>23707</v>
      </c>
      <c r="D8" s="93" t="s">
        <v>1083</v>
      </c>
      <c r="E8" s="93" t="s">
        <v>1084</v>
      </c>
      <c r="F8" s="93">
        <v>21</v>
      </c>
      <c r="G8" s="93" t="s">
        <v>1329</v>
      </c>
      <c r="H8" s="93" t="s">
        <v>1392</v>
      </c>
      <c r="I8" s="93" t="s">
        <v>86</v>
      </c>
      <c r="J8" s="107">
        <v>2828.52</v>
      </c>
      <c r="K8" s="107">
        <v>-3254.47</v>
      </c>
      <c r="L8" s="93">
        <v>1</v>
      </c>
      <c r="M8" s="107">
        <v>200</v>
      </c>
      <c r="N8" s="107">
        <f>IF(M8&lt;=251, VLOOKUP(B3, 'Look Up Table'!I:J, 2, TRUE) * L8, 0)</f>
        <v>200</v>
      </c>
      <c r="O8" s="107">
        <f>IF(N8&gt;0, N8 - M8, 0)</f>
        <v>0</v>
      </c>
      <c r="P8" s="107">
        <f>IF(N8 = 0, K8 * B6, 0)</f>
        <v>0</v>
      </c>
      <c r="Q8" s="93"/>
      <c r="R8" s="93"/>
    </row>
    <row r="9" spans="1:18" x14ac:dyDescent="0.25">
      <c r="A9" s="96">
        <v>45729</v>
      </c>
      <c r="B9" s="93">
        <v>9321</v>
      </c>
      <c r="C9" s="93">
        <v>23569</v>
      </c>
      <c r="D9" s="93" t="s">
        <v>1086</v>
      </c>
      <c r="E9" s="93" t="s">
        <v>1087</v>
      </c>
      <c r="F9" s="93">
        <v>24</v>
      </c>
      <c r="G9" s="93" t="s">
        <v>1319</v>
      </c>
      <c r="H9" s="93" t="s">
        <v>1425</v>
      </c>
      <c r="I9" s="93" t="s">
        <v>86</v>
      </c>
      <c r="J9" s="107">
        <v>6424.27</v>
      </c>
      <c r="K9" s="107">
        <v>3508.28</v>
      </c>
      <c r="L9" s="93">
        <v>1</v>
      </c>
      <c r="M9" s="107">
        <v>631.49</v>
      </c>
      <c r="N9" s="107">
        <f>IF(M9&lt;=251, VLOOKUP(B3, 'Look Up Table'!I:J, 2, TRUE) * L9, 0)</f>
        <v>0</v>
      </c>
      <c r="O9" s="107">
        <f>IF(N9&gt;0, N9 - M9, 0)</f>
        <v>0</v>
      </c>
      <c r="P9" s="107">
        <f>IF(N9 = 0, K9 * B6, 0)</f>
        <v>0</v>
      </c>
      <c r="Q9" s="93"/>
      <c r="R9" s="93"/>
    </row>
    <row r="10" spans="1:18" x14ac:dyDescent="0.25">
      <c r="A10" s="96">
        <v>45747</v>
      </c>
      <c r="B10" s="93">
        <v>9761</v>
      </c>
      <c r="C10" s="93">
        <v>24276</v>
      </c>
      <c r="D10" s="93" t="s">
        <v>1089</v>
      </c>
      <c r="E10" s="93" t="s">
        <v>1090</v>
      </c>
      <c r="F10" s="93">
        <v>22</v>
      </c>
      <c r="G10" s="93" t="s">
        <v>1321</v>
      </c>
      <c r="H10" s="93" t="s">
        <v>1349</v>
      </c>
      <c r="I10" s="93" t="s">
        <v>86</v>
      </c>
      <c r="J10" s="107">
        <v>3199.45</v>
      </c>
      <c r="K10" s="107">
        <v>-923.86</v>
      </c>
      <c r="L10" s="93">
        <v>1</v>
      </c>
      <c r="M10" s="107">
        <v>200</v>
      </c>
      <c r="N10" s="107">
        <f>IF(M10&lt;=251, VLOOKUP(B3, 'Look Up Table'!I:J, 2, TRUE) * L10, 0)</f>
        <v>200</v>
      </c>
      <c r="O10" s="107">
        <f>IF(N10&gt;0, N10 - M10, 0)</f>
        <v>0</v>
      </c>
      <c r="P10" s="107">
        <f>IF(N10 = 0, K10 * B6, 0)</f>
        <v>0</v>
      </c>
      <c r="Q10" s="93"/>
      <c r="R10" s="93"/>
    </row>
    <row r="11" spans="1:18" x14ac:dyDescent="0.25">
      <c r="A11" s="96">
        <v>45747</v>
      </c>
      <c r="B11" s="93">
        <v>9991</v>
      </c>
      <c r="C11" s="93">
        <v>24542</v>
      </c>
      <c r="D11" s="93" t="s">
        <v>1091</v>
      </c>
      <c r="E11" s="93" t="s">
        <v>1092</v>
      </c>
      <c r="F11" s="93">
        <v>22</v>
      </c>
      <c r="G11" s="93" t="s">
        <v>1321</v>
      </c>
      <c r="H11" s="93" t="s">
        <v>1343</v>
      </c>
      <c r="I11" s="93" t="s">
        <v>86</v>
      </c>
      <c r="J11" s="107">
        <v>575</v>
      </c>
      <c r="K11" s="107">
        <v>1628.97</v>
      </c>
      <c r="L11" s="93">
        <v>0.5</v>
      </c>
      <c r="M11" s="107">
        <v>293.22000000000003</v>
      </c>
      <c r="N11" s="107">
        <f>IF(M11&lt;=251, VLOOKUP(B3, 'Look Up Table'!I:J, 2, TRUE) * L11, 0)</f>
        <v>0</v>
      </c>
      <c r="O11" s="107">
        <f>IF(N11&gt;0, N11 - M11, 0)</f>
        <v>0</v>
      </c>
      <c r="P11" s="107">
        <f>IF(N11 = 0, K11 * B6, 0)</f>
        <v>0</v>
      </c>
      <c r="Q11" s="93"/>
      <c r="R11" s="93"/>
    </row>
    <row r="12" spans="1:18" x14ac:dyDescent="0.25">
      <c r="A12" s="96">
        <v>45747</v>
      </c>
      <c r="B12" s="93">
        <v>9833</v>
      </c>
      <c r="C12" s="93">
        <v>24363</v>
      </c>
      <c r="D12" s="93" t="s">
        <v>1093</v>
      </c>
      <c r="E12" s="93" t="s">
        <v>407</v>
      </c>
      <c r="F12" s="93">
        <v>21</v>
      </c>
      <c r="G12" s="93" t="s">
        <v>1371</v>
      </c>
      <c r="H12" s="93" t="s">
        <v>1431</v>
      </c>
      <c r="I12" s="93" t="s">
        <v>86</v>
      </c>
      <c r="J12" s="107">
        <v>0</v>
      </c>
      <c r="K12" s="107">
        <v>1153.46</v>
      </c>
      <c r="L12" s="93">
        <v>1</v>
      </c>
      <c r="M12" s="107">
        <v>207.62</v>
      </c>
      <c r="N12" s="107">
        <f>IF(M12&lt;=251, VLOOKUP(B3, 'Look Up Table'!I:J, 2, TRUE) * L12, 0)</f>
        <v>200</v>
      </c>
      <c r="O12" s="107">
        <f>IF(N12&gt;0, N12 - M12, 0)</f>
        <v>-7.6200000000000045</v>
      </c>
      <c r="P12" s="107">
        <f>IF(N12 = 0, K12 * B6, 0)</f>
        <v>0</v>
      </c>
      <c r="Q12" s="93"/>
      <c r="R12" s="93"/>
    </row>
    <row r="13" spans="1:18" x14ac:dyDescent="0.25">
      <c r="A13" s="104"/>
      <c r="B13" s="105"/>
      <c r="C13" s="105"/>
      <c r="D13" s="105"/>
      <c r="E13" s="105"/>
      <c r="F13" s="105"/>
      <c r="G13" s="105"/>
      <c r="H13" s="105"/>
      <c r="I13" s="105"/>
      <c r="J13" s="108">
        <f>SUM(J8:J12)</f>
        <v>13027.240000000002</v>
      </c>
      <c r="K13" s="108">
        <f>SUM(K8:K12)</f>
        <v>2112.3800000000006</v>
      </c>
      <c r="L13" s="105">
        <f>SUM(L8:L12)</f>
        <v>4.5</v>
      </c>
      <c r="M13" s="108">
        <f>SUM(M8:M12)</f>
        <v>1532.33</v>
      </c>
      <c r="N13" s="108">
        <f>SUM(N8:N12)</f>
        <v>600</v>
      </c>
      <c r="O13" s="108">
        <f>SUM(O8:O12)</f>
        <v>-7.6200000000000045</v>
      </c>
      <c r="P13" s="108">
        <f>SUM(P8:P12)</f>
        <v>0</v>
      </c>
      <c r="Q13" s="93"/>
      <c r="R13" s="93"/>
    </row>
    <row r="15" spans="1:18" x14ac:dyDescent="0.25">
      <c r="J15" s="99" t="s">
        <v>1451</v>
      </c>
      <c r="M15" s="106">
        <f>-VLOOKUP(B2, '3213'!A:G, 7, 0)</f>
        <v>-2325.31</v>
      </c>
    </row>
    <row r="16" spans="1:18" x14ac:dyDescent="0.25">
      <c r="J16" s="99"/>
      <c r="M16" s="106"/>
    </row>
    <row r="17" spans="1:13" x14ac:dyDescent="0.25">
      <c r="J17" s="99" t="s">
        <v>1264</v>
      </c>
      <c r="K17" s="92">
        <v>0.18</v>
      </c>
      <c r="M17" s="106">
        <f>M13</f>
        <v>1532.33</v>
      </c>
    </row>
    <row r="18" spans="1:13" x14ac:dyDescent="0.25">
      <c r="J18" s="99"/>
      <c r="M18" s="106"/>
    </row>
    <row r="19" spans="1:13" x14ac:dyDescent="0.25">
      <c r="A19" s="110"/>
      <c r="B19" s="109"/>
      <c r="C19" s="109"/>
      <c r="D19" t="s">
        <v>1448</v>
      </c>
      <c r="J19" s="99" t="s">
        <v>1265</v>
      </c>
      <c r="K19" s="92">
        <f>B6</f>
        <v>0</v>
      </c>
      <c r="M19" s="106">
        <f>P13</f>
        <v>0</v>
      </c>
    </row>
    <row r="20" spans="1:13" x14ac:dyDescent="0.25">
      <c r="J20" s="99"/>
      <c r="M20" s="106"/>
    </row>
    <row r="21" spans="1:13" x14ac:dyDescent="0.25">
      <c r="J21" s="99" t="s">
        <v>1452</v>
      </c>
      <c r="M21" s="106">
        <f>O13</f>
        <v>-7.6200000000000045</v>
      </c>
    </row>
    <row r="22" spans="1:13" x14ac:dyDescent="0.25">
      <c r="J22" s="99"/>
      <c r="M22" s="106"/>
    </row>
    <row r="23" spans="1:13" x14ac:dyDescent="0.25">
      <c r="J23" s="99" t="s">
        <v>1453</v>
      </c>
      <c r="M23" s="106">
        <f>SUM(P13, O13)</f>
        <v>-7.6200000000000045</v>
      </c>
    </row>
    <row r="24" spans="1:13" x14ac:dyDescent="0.25">
      <c r="J24" s="99"/>
      <c r="M24" s="106"/>
    </row>
    <row r="25" spans="1:13" x14ac:dyDescent="0.25">
      <c r="A25" s="110"/>
      <c r="B25" s="109"/>
      <c r="C25" s="109"/>
      <c r="D25" t="s">
        <v>1449</v>
      </c>
      <c r="J25" s="99" t="s">
        <v>1454</v>
      </c>
      <c r="M25" s="106">
        <f>J13</f>
        <v>13027.240000000002</v>
      </c>
    </row>
    <row r="26" spans="1:13" x14ac:dyDescent="0.25">
      <c r="J26" s="99"/>
      <c r="M26" s="106"/>
    </row>
    <row r="27" spans="1:13" x14ac:dyDescent="0.25">
      <c r="J27" s="99" t="s">
        <v>1455</v>
      </c>
      <c r="K27" s="92">
        <v>-0.25</v>
      </c>
      <c r="M27" s="106">
        <f>K27 * M25</f>
        <v>-3256.8100000000004</v>
      </c>
    </row>
    <row r="28" spans="1:13" x14ac:dyDescent="0.25">
      <c r="J28" s="99"/>
      <c r="M28" s="106"/>
    </row>
    <row r="29" spans="1:13" x14ac:dyDescent="0.25">
      <c r="J29" s="99" t="s">
        <v>1456</v>
      </c>
      <c r="M29" s="106">
        <f>M25 + M27</f>
        <v>9770.43</v>
      </c>
    </row>
    <row r="30" spans="1:13" x14ac:dyDescent="0.25">
      <c r="J30" s="99"/>
      <c r="M30" s="106"/>
    </row>
    <row r="31" spans="1:13" x14ac:dyDescent="0.25">
      <c r="J31" s="99" t="s">
        <v>1457</v>
      </c>
      <c r="K31" s="92">
        <v>0.05</v>
      </c>
      <c r="M31" s="106">
        <f>K31 * M29</f>
        <v>488.52150000000006</v>
      </c>
    </row>
    <row r="32" spans="1:13" x14ac:dyDescent="0.25">
      <c r="J32" s="99"/>
      <c r="M32" s="106"/>
    </row>
    <row r="33" spans="10:15" x14ac:dyDescent="0.25">
      <c r="J33" s="99" t="s">
        <v>1458</v>
      </c>
      <c r="K33" t="str">
        <f>VLOOKUP(B2,'Pay Summary'!A:D,4,0)</f>
        <v/>
      </c>
      <c r="M33" s="106">
        <f>IF(K33 = 1, 500, 0)</f>
        <v>0</v>
      </c>
    </row>
    <row r="34" spans="10:15" x14ac:dyDescent="0.25">
      <c r="J34" s="99"/>
      <c r="M34" s="106"/>
    </row>
    <row r="35" spans="10:15" x14ac:dyDescent="0.25">
      <c r="J35" s="99" t="s">
        <v>1450</v>
      </c>
      <c r="K35">
        <f>L13</f>
        <v>4.5</v>
      </c>
      <c r="M35" s="106">
        <f>VLOOKUP(K35, 'Look Up Table'!E:F, 2, TRUE)</f>
        <v>0</v>
      </c>
    </row>
    <row r="36" spans="10:15" x14ac:dyDescent="0.25">
      <c r="J36" s="99"/>
      <c r="M36" s="106"/>
    </row>
    <row r="37" spans="10:15" x14ac:dyDescent="0.25">
      <c r="J37" s="99" t="s">
        <v>1306</v>
      </c>
      <c r="K37" s="111" t="str">
        <f>B4</f>
        <v>3P</v>
      </c>
      <c r="M37" s="106">
        <f>IF(B5&gt;=3,IF(B4="3P",L13*50,IF(B4="A",0,IF(B4="B",L13*-50))),0)</f>
        <v>0</v>
      </c>
      <c r="N37" s="99" t="s">
        <v>1463</v>
      </c>
      <c r="O37" s="112">
        <f>'NPS Sheet'!X51</f>
        <v>0.91700000000000004</v>
      </c>
    </row>
    <row r="38" spans="10:15" x14ac:dyDescent="0.25">
      <c r="J38" s="99"/>
      <c r="M38" s="106"/>
    </row>
    <row r="39" spans="10:15" x14ac:dyDescent="0.25">
      <c r="J39" s="99" t="s">
        <v>1459</v>
      </c>
      <c r="M39" s="106">
        <f>SUM(M35, M37, M33)</f>
        <v>0</v>
      </c>
    </row>
    <row r="40" spans="10:15" x14ac:dyDescent="0.25">
      <c r="J40" s="99"/>
      <c r="M40" s="106"/>
    </row>
    <row r="41" spans="10:15" x14ac:dyDescent="0.25">
      <c r="J41" s="99" t="s">
        <v>1460</v>
      </c>
      <c r="M41" s="106">
        <f>IFERROR(VLOOKUP(B2,SPIFFS!A:H,8,0),0)</f>
        <v>506</v>
      </c>
    </row>
    <row r="42" spans="10:15" x14ac:dyDescent="0.25">
      <c r="J42" s="99"/>
      <c r="M42" s="106"/>
    </row>
    <row r="43" spans="10:15" x14ac:dyDescent="0.25">
      <c r="J43" s="99" t="s">
        <v>1461</v>
      </c>
      <c r="M43" s="106">
        <f>SUM(M17, M23, M31, M39, M15, M41)</f>
        <v>193.92150000000015</v>
      </c>
    </row>
    <row r="44" spans="10:15" x14ac:dyDescent="0.25">
      <c r="J44" s="99"/>
      <c r="M44" s="106"/>
    </row>
    <row r="45" spans="10:15" x14ac:dyDescent="0.25">
      <c r="J45" s="99" t="s">
        <v>1462</v>
      </c>
      <c r="M45" s="106">
        <f>IF(M43&lt;0, SUM(M15, M39, M31, M23), 0)</f>
        <v>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0042F-199E-44CA-981E-18A3816A1B67}">
  <dimension ref="A1:R48"/>
  <sheetViews>
    <sheetView workbookViewId="0"/>
  </sheetViews>
  <sheetFormatPr defaultRowHeight="15" x14ac:dyDescent="0.25"/>
  <cols>
    <col min="1" max="1" width="23" style="95" bestFit="1" customWidth="1"/>
    <col min="2" max="2" width="14.28515625" bestFit="1" customWidth="1"/>
    <col min="3" max="3" width="11.42578125" bestFit="1" customWidth="1"/>
    <col min="4" max="4" width="28.85546875" bestFit="1" customWidth="1"/>
    <col min="5" max="5" width="8.42578125" bestFit="1" customWidth="1"/>
    <col min="6" max="6" width="5" bestFit="1" customWidth="1"/>
    <col min="8" max="8" width="10.140625" bestFit="1" customWidth="1"/>
    <col min="9" max="9" width="9.5703125" bestFit="1" customWidth="1"/>
    <col min="10" max="10" width="23.140625" bestFit="1" customWidth="1"/>
    <col min="11" max="11" width="18.42578125" bestFit="1" customWidth="1"/>
    <col min="12" max="12" width="5.7109375" bestFit="1" customWidth="1"/>
    <col min="13" max="13" width="20.140625" bestFit="1" customWidth="1"/>
    <col min="14" max="14" width="13.7109375" bestFit="1" customWidth="1"/>
    <col min="15" max="15" width="11.5703125" bestFit="1" customWidth="1"/>
    <col min="16" max="16" width="24.85546875" bestFit="1" customWidth="1"/>
  </cols>
  <sheetData>
    <row r="1" spans="1:18" x14ac:dyDescent="0.25">
      <c r="A1" s="101" t="s">
        <v>1249</v>
      </c>
      <c r="B1" s="100" t="s">
        <v>38</v>
      </c>
    </row>
    <row r="2" spans="1:18" x14ac:dyDescent="0.25">
      <c r="A2" s="101" t="s">
        <v>1307</v>
      </c>
      <c r="B2" s="100">
        <v>267623</v>
      </c>
    </row>
    <row r="3" spans="1:18" x14ac:dyDescent="0.25">
      <c r="A3" s="101" t="s">
        <v>1305</v>
      </c>
      <c r="B3" s="100">
        <f>VLOOKUP(B2, '90'!A:E, 5, 0)</f>
        <v>14</v>
      </c>
    </row>
    <row r="4" spans="1:18" x14ac:dyDescent="0.25">
      <c r="A4" s="101" t="s">
        <v>1306</v>
      </c>
      <c r="B4" s="100" t="str">
        <f>IFERROR(VLOOKUP(B2, NPS!B:H, 7, 0), 0)</f>
        <v>3P</v>
      </c>
    </row>
    <row r="5" spans="1:18" x14ac:dyDescent="0.25">
      <c r="A5" s="101" t="s">
        <v>1257</v>
      </c>
      <c r="B5" s="100">
        <f>IFERROR(VLOOKUP(B2, NPS!B:H, 3, 0), 0)</f>
        <v>3</v>
      </c>
    </row>
    <row r="6" spans="1:18" x14ac:dyDescent="0.25">
      <c r="A6" s="101" t="s">
        <v>1447</v>
      </c>
      <c r="B6" s="103">
        <f>VLOOKUP(8, 'Look Up Table'!A:B, 2, TRUE)</f>
        <v>0</v>
      </c>
    </row>
    <row r="7" spans="1:18" ht="50.1" customHeight="1" x14ac:dyDescent="0.25">
      <c r="A7" s="102" t="s">
        <v>43</v>
      </c>
      <c r="B7" s="80" t="s">
        <v>1308</v>
      </c>
      <c r="C7" s="80" t="s">
        <v>1309</v>
      </c>
      <c r="D7" s="80" t="s">
        <v>48</v>
      </c>
      <c r="E7" s="80" t="s">
        <v>1310</v>
      </c>
      <c r="F7" s="80" t="s">
        <v>1311</v>
      </c>
      <c r="G7" s="80" t="s">
        <v>1312</v>
      </c>
      <c r="H7" s="80" t="s">
        <v>1313</v>
      </c>
      <c r="I7" s="80" t="s">
        <v>51</v>
      </c>
      <c r="J7" s="80" t="s">
        <v>1314</v>
      </c>
      <c r="K7" s="80" t="s">
        <v>1315</v>
      </c>
      <c r="L7" s="80" t="s">
        <v>54</v>
      </c>
      <c r="M7" s="80" t="s">
        <v>55</v>
      </c>
      <c r="N7" s="80" t="s">
        <v>1316</v>
      </c>
      <c r="O7" s="80" t="s">
        <v>1317</v>
      </c>
      <c r="P7" s="80" t="s">
        <v>1318</v>
      </c>
    </row>
    <row r="8" spans="1:18" x14ac:dyDescent="0.25">
      <c r="A8" s="96">
        <v>45729</v>
      </c>
      <c r="B8" s="93">
        <v>9422</v>
      </c>
      <c r="C8" s="93">
        <v>23734</v>
      </c>
      <c r="D8" s="93" t="s">
        <v>1096</v>
      </c>
      <c r="E8" s="93">
        <v>5211059</v>
      </c>
      <c r="F8" s="93">
        <v>25</v>
      </c>
      <c r="G8" s="93" t="s">
        <v>1321</v>
      </c>
      <c r="H8" s="93" t="s">
        <v>1379</v>
      </c>
      <c r="I8" s="93" t="s">
        <v>59</v>
      </c>
      <c r="J8" s="107">
        <v>217.5</v>
      </c>
      <c r="K8" s="107">
        <v>-1537.08</v>
      </c>
      <c r="L8" s="93">
        <v>1</v>
      </c>
      <c r="M8" s="107">
        <v>200</v>
      </c>
      <c r="N8" s="107">
        <f>IF(M8&lt;=251, VLOOKUP(B3, 'Look Up Table'!I:J, 2, TRUE) * L8, 0)</f>
        <v>250</v>
      </c>
      <c r="O8" s="107">
        <f>IF(N8&gt;0, N8 - M8, 0)</f>
        <v>50</v>
      </c>
      <c r="P8" s="107">
        <f>IF(N8 = 0, K8 * B6, 0)</f>
        <v>0</v>
      </c>
      <c r="Q8" s="93"/>
      <c r="R8" s="93"/>
    </row>
    <row r="9" spans="1:18" x14ac:dyDescent="0.25">
      <c r="A9" s="96">
        <v>45734</v>
      </c>
      <c r="B9" s="93">
        <v>9424</v>
      </c>
      <c r="C9" s="93">
        <v>273221</v>
      </c>
      <c r="D9" s="93" t="s">
        <v>1097</v>
      </c>
      <c r="E9" s="93" t="s">
        <v>1098</v>
      </c>
      <c r="F9" s="93">
        <v>25</v>
      </c>
      <c r="G9" s="93" t="s">
        <v>1321</v>
      </c>
      <c r="H9" s="93" t="s">
        <v>1324</v>
      </c>
      <c r="I9" s="93" t="s">
        <v>59</v>
      </c>
      <c r="J9" s="107">
        <v>490</v>
      </c>
      <c r="K9" s="107">
        <v>-4446.9799999999996</v>
      </c>
      <c r="L9" s="93">
        <v>1</v>
      </c>
      <c r="M9" s="107">
        <v>200</v>
      </c>
      <c r="N9" s="107">
        <f>IF(M9&lt;=251, VLOOKUP(B3, 'Look Up Table'!I:J, 2, TRUE) * L9, 0)</f>
        <v>250</v>
      </c>
      <c r="O9" s="107">
        <f>IF(N9&gt;0, N9 - M9, 0)</f>
        <v>50</v>
      </c>
      <c r="P9" s="107">
        <f>IF(N9 = 0, K9 * B6, 0)</f>
        <v>0</v>
      </c>
      <c r="Q9" s="93"/>
      <c r="R9" s="93"/>
    </row>
    <row r="10" spans="1:18" x14ac:dyDescent="0.25">
      <c r="A10" s="96">
        <v>45735</v>
      </c>
      <c r="B10" s="93" t="s">
        <v>1103</v>
      </c>
      <c r="C10" s="93">
        <v>24039</v>
      </c>
      <c r="D10" s="93" t="s">
        <v>1099</v>
      </c>
      <c r="E10" s="93" t="s">
        <v>1100</v>
      </c>
      <c r="F10" s="93">
        <v>25</v>
      </c>
      <c r="G10" s="93" t="s">
        <v>1319</v>
      </c>
      <c r="H10" s="93" t="s">
        <v>1332</v>
      </c>
      <c r="I10" s="93" t="s">
        <v>59</v>
      </c>
      <c r="J10" s="107">
        <v>2616.21</v>
      </c>
      <c r="K10" s="107">
        <v>-990</v>
      </c>
      <c r="L10" s="93">
        <v>1</v>
      </c>
      <c r="M10" s="107">
        <v>200</v>
      </c>
      <c r="N10" s="107">
        <f>IF(M10&lt;=251, VLOOKUP(B3, 'Look Up Table'!I:J, 2, TRUE) * L10, 0)</f>
        <v>250</v>
      </c>
      <c r="O10" s="107">
        <f>IF(N10&gt;0, N10 - M10, 0)</f>
        <v>50</v>
      </c>
      <c r="P10" s="107">
        <f>IF(N10 = 0, K10 * B6, 0)</f>
        <v>0</v>
      </c>
      <c r="Q10" s="93"/>
      <c r="R10" s="93"/>
    </row>
    <row r="11" spans="1:18" x14ac:dyDescent="0.25">
      <c r="A11" s="96">
        <v>45741</v>
      </c>
      <c r="B11" s="93">
        <v>9533</v>
      </c>
      <c r="C11" s="93">
        <v>274898</v>
      </c>
      <c r="D11" s="93" t="s">
        <v>1104</v>
      </c>
      <c r="E11" s="93" t="s">
        <v>1105</v>
      </c>
      <c r="F11" s="93">
        <v>22</v>
      </c>
      <c r="G11" s="93" t="s">
        <v>1319</v>
      </c>
      <c r="H11" s="93" t="s">
        <v>1351</v>
      </c>
      <c r="I11" s="93" t="s">
        <v>86</v>
      </c>
      <c r="J11" s="107">
        <v>0</v>
      </c>
      <c r="K11" s="107">
        <v>750</v>
      </c>
      <c r="L11" s="93">
        <v>1</v>
      </c>
      <c r="M11" s="107">
        <v>200</v>
      </c>
      <c r="N11" s="107">
        <f>IF(M11&lt;=251, VLOOKUP(B3, 'Look Up Table'!I:J, 2, TRUE) * L11, 0)</f>
        <v>250</v>
      </c>
      <c r="O11" s="107">
        <f>IF(N11&gt;0, N11 - M11, 0)</f>
        <v>50</v>
      </c>
      <c r="P11" s="107">
        <f>IF(N11 = 0, K11 * B6, 0)</f>
        <v>0</v>
      </c>
      <c r="Q11" s="93"/>
      <c r="R11" s="93"/>
    </row>
    <row r="12" spans="1:18" x14ac:dyDescent="0.25">
      <c r="A12" s="96">
        <v>45743</v>
      </c>
      <c r="B12" s="93">
        <v>8453</v>
      </c>
      <c r="C12" s="93">
        <v>202027</v>
      </c>
      <c r="D12" s="93" t="s">
        <v>1106</v>
      </c>
      <c r="E12" s="93" t="s">
        <v>1107</v>
      </c>
      <c r="F12" s="93">
        <v>25</v>
      </c>
      <c r="G12" s="93" t="s">
        <v>1319</v>
      </c>
      <c r="H12" s="93" t="s">
        <v>1432</v>
      </c>
      <c r="I12" s="93" t="s">
        <v>59</v>
      </c>
      <c r="J12" s="107">
        <v>2049.96</v>
      </c>
      <c r="K12" s="107">
        <v>-1247.17</v>
      </c>
      <c r="L12" s="93">
        <v>1</v>
      </c>
      <c r="M12" s="107">
        <v>200</v>
      </c>
      <c r="N12" s="107">
        <f>IF(M12&lt;=251, VLOOKUP(B3, 'Look Up Table'!I:J, 2, TRUE) * L12, 0)</f>
        <v>250</v>
      </c>
      <c r="O12" s="107">
        <f>IF(N12&gt;0, N12 - M12, 0)</f>
        <v>50</v>
      </c>
      <c r="P12" s="107">
        <f>IF(N12 = 0, K12 * B6, 0)</f>
        <v>0</v>
      </c>
      <c r="Q12" s="93"/>
      <c r="R12" s="93"/>
    </row>
    <row r="13" spans="1:18" x14ac:dyDescent="0.25">
      <c r="A13" s="96">
        <v>45747</v>
      </c>
      <c r="B13" s="93">
        <v>9917</v>
      </c>
      <c r="C13" s="93">
        <v>24466</v>
      </c>
      <c r="D13" s="93" t="s">
        <v>1110</v>
      </c>
      <c r="E13" s="93" t="s">
        <v>1111</v>
      </c>
      <c r="F13" s="93">
        <v>25</v>
      </c>
      <c r="G13" s="93" t="s">
        <v>1321</v>
      </c>
      <c r="H13" s="93" t="s">
        <v>1324</v>
      </c>
      <c r="I13" s="93" t="s">
        <v>59</v>
      </c>
      <c r="J13" s="107">
        <v>6318.45</v>
      </c>
      <c r="K13" s="107">
        <v>2819.28</v>
      </c>
      <c r="L13" s="93">
        <v>1</v>
      </c>
      <c r="M13" s="107">
        <v>507.47</v>
      </c>
      <c r="N13" s="107">
        <f>IF(M13&lt;=251, VLOOKUP(B3, 'Look Up Table'!I:J, 2, TRUE) * L13, 0)</f>
        <v>0</v>
      </c>
      <c r="O13" s="107">
        <f>IF(N13&gt;0, N13 - M13, 0)</f>
        <v>0</v>
      </c>
      <c r="P13" s="107">
        <f>IF(N13 = 0, K13 * B6, 0)</f>
        <v>0</v>
      </c>
      <c r="Q13" s="93"/>
      <c r="R13" s="93"/>
    </row>
    <row r="14" spans="1:18" x14ac:dyDescent="0.25">
      <c r="A14" s="96">
        <v>45747</v>
      </c>
      <c r="B14" s="93">
        <v>9972</v>
      </c>
      <c r="C14" s="93">
        <v>292531</v>
      </c>
      <c r="D14" s="93" t="s">
        <v>1114</v>
      </c>
      <c r="E14" s="93">
        <v>5266006</v>
      </c>
      <c r="F14" s="93">
        <v>25</v>
      </c>
      <c r="G14" s="93" t="s">
        <v>1321</v>
      </c>
      <c r="H14" s="93" t="s">
        <v>1379</v>
      </c>
      <c r="I14" s="93" t="s">
        <v>59</v>
      </c>
      <c r="J14" s="107">
        <v>4522.5</v>
      </c>
      <c r="K14" s="107">
        <v>2251</v>
      </c>
      <c r="L14" s="93">
        <v>1</v>
      </c>
      <c r="M14" s="107">
        <v>405.18</v>
      </c>
      <c r="N14" s="107">
        <f>IF(M14&lt;=251, VLOOKUP(B3, 'Look Up Table'!I:J, 2, TRUE) * L14, 0)</f>
        <v>0</v>
      </c>
      <c r="O14" s="107">
        <f>IF(N14&gt;0, N14 - M14, 0)</f>
        <v>0</v>
      </c>
      <c r="P14" s="107">
        <f>IF(N14 = 0, K14 * B6, 0)</f>
        <v>0</v>
      </c>
      <c r="Q14" s="93"/>
      <c r="R14" s="93"/>
    </row>
    <row r="15" spans="1:18" x14ac:dyDescent="0.25">
      <c r="A15" s="96">
        <v>45747</v>
      </c>
      <c r="B15" s="93">
        <v>9964</v>
      </c>
      <c r="C15" s="93">
        <v>24519</v>
      </c>
      <c r="D15" s="93" t="s">
        <v>1115</v>
      </c>
      <c r="E15" s="93" t="s">
        <v>1116</v>
      </c>
      <c r="F15" s="93">
        <v>25</v>
      </c>
      <c r="G15" s="93" t="s">
        <v>1319</v>
      </c>
      <c r="H15" s="93" t="s">
        <v>1366</v>
      </c>
      <c r="I15" s="93" t="s">
        <v>59</v>
      </c>
      <c r="J15" s="107">
        <v>1034.98</v>
      </c>
      <c r="K15" s="107">
        <v>364.18</v>
      </c>
      <c r="L15" s="93">
        <v>1</v>
      </c>
      <c r="M15" s="107">
        <v>200</v>
      </c>
      <c r="N15" s="107">
        <f>IF(M15&lt;=251, VLOOKUP(B3, 'Look Up Table'!I:J, 2, TRUE) * L15, 0)</f>
        <v>250</v>
      </c>
      <c r="O15" s="107">
        <f>IF(N15&gt;0, N15 - M15, 0)</f>
        <v>50</v>
      </c>
      <c r="P15" s="107">
        <f>IF(N15 = 0, K15 * B6, 0)</f>
        <v>0</v>
      </c>
      <c r="Q15" s="93"/>
      <c r="R15" s="93"/>
    </row>
    <row r="16" spans="1:18" x14ac:dyDescent="0.25">
      <c r="A16" s="104"/>
      <c r="B16" s="105"/>
      <c r="C16" s="105"/>
      <c r="D16" s="105"/>
      <c r="E16" s="105"/>
      <c r="F16" s="105"/>
      <c r="G16" s="105"/>
      <c r="H16" s="105"/>
      <c r="I16" s="105"/>
      <c r="J16" s="108">
        <f>SUM(J8:J15)</f>
        <v>17249.599999999999</v>
      </c>
      <c r="K16" s="108">
        <f>SUM(K8:K15)</f>
        <v>-2036.7699999999988</v>
      </c>
      <c r="L16" s="105">
        <f>SUM(L8:L15)</f>
        <v>8</v>
      </c>
      <c r="M16" s="108">
        <f>SUM(M8:M15)</f>
        <v>2112.65</v>
      </c>
      <c r="N16" s="108">
        <f>SUM(N8:N15)</f>
        <v>1500</v>
      </c>
      <c r="O16" s="108">
        <f>SUM(O8:O15)</f>
        <v>300</v>
      </c>
      <c r="P16" s="108">
        <f>SUM(P8:P15)</f>
        <v>0</v>
      </c>
      <c r="Q16" s="93"/>
      <c r="R16" s="93"/>
    </row>
    <row r="18" spans="1:13" x14ac:dyDescent="0.25">
      <c r="J18" s="99" t="s">
        <v>1451</v>
      </c>
      <c r="M18" s="106">
        <f>-VLOOKUP(B2, '3213'!A:G, 7, 0)</f>
        <v>-2534.87</v>
      </c>
    </row>
    <row r="19" spans="1:13" x14ac:dyDescent="0.25">
      <c r="J19" s="99"/>
      <c r="M19" s="106"/>
    </row>
    <row r="20" spans="1:13" x14ac:dyDescent="0.25">
      <c r="J20" s="99" t="s">
        <v>1264</v>
      </c>
      <c r="K20" s="92">
        <v>0.18</v>
      </c>
      <c r="M20" s="106">
        <f>M16</f>
        <v>2112.65</v>
      </c>
    </row>
    <row r="21" spans="1:13" x14ac:dyDescent="0.25">
      <c r="J21" s="99"/>
      <c r="M21" s="106"/>
    </row>
    <row r="22" spans="1:13" x14ac:dyDescent="0.25">
      <c r="A22" s="110"/>
      <c r="B22" s="109"/>
      <c r="C22" s="109"/>
      <c r="D22" t="s">
        <v>1448</v>
      </c>
      <c r="J22" s="99" t="s">
        <v>1265</v>
      </c>
      <c r="K22" s="92">
        <f>B6</f>
        <v>0</v>
      </c>
      <c r="M22" s="106">
        <f>P16</f>
        <v>0</v>
      </c>
    </row>
    <row r="23" spans="1:13" x14ac:dyDescent="0.25">
      <c r="J23" s="99"/>
      <c r="M23" s="106"/>
    </row>
    <row r="24" spans="1:13" x14ac:dyDescent="0.25">
      <c r="J24" s="99" t="s">
        <v>1452</v>
      </c>
      <c r="M24" s="106">
        <f>O16</f>
        <v>300</v>
      </c>
    </row>
    <row r="25" spans="1:13" x14ac:dyDescent="0.25">
      <c r="J25" s="99"/>
      <c r="M25" s="106"/>
    </row>
    <row r="26" spans="1:13" x14ac:dyDescent="0.25">
      <c r="J26" s="99" t="s">
        <v>1453</v>
      </c>
      <c r="M26" s="106">
        <f>SUM(P16, O16)</f>
        <v>300</v>
      </c>
    </row>
    <row r="27" spans="1:13" x14ac:dyDescent="0.25">
      <c r="J27" s="99"/>
      <c r="M27" s="106"/>
    </row>
    <row r="28" spans="1:13" x14ac:dyDescent="0.25">
      <c r="A28" s="110"/>
      <c r="B28" s="109"/>
      <c r="C28" s="109"/>
      <c r="D28" t="s">
        <v>1449</v>
      </c>
      <c r="J28" s="99" t="s">
        <v>1454</v>
      </c>
      <c r="M28" s="106">
        <f>J16</f>
        <v>17249.599999999999</v>
      </c>
    </row>
    <row r="29" spans="1:13" x14ac:dyDescent="0.25">
      <c r="J29" s="99"/>
      <c r="M29" s="106"/>
    </row>
    <row r="30" spans="1:13" x14ac:dyDescent="0.25">
      <c r="J30" s="99" t="s">
        <v>1455</v>
      </c>
      <c r="K30" s="92">
        <v>-0.25</v>
      </c>
      <c r="M30" s="106">
        <f>K30 * M28</f>
        <v>-4312.3999999999996</v>
      </c>
    </row>
    <row r="31" spans="1:13" x14ac:dyDescent="0.25">
      <c r="J31" s="99"/>
      <c r="M31" s="106"/>
    </row>
    <row r="32" spans="1:13" x14ac:dyDescent="0.25">
      <c r="J32" s="99" t="s">
        <v>1456</v>
      </c>
      <c r="M32" s="106">
        <f>M28 + M30</f>
        <v>12937.199999999999</v>
      </c>
    </row>
    <row r="33" spans="10:15" x14ac:dyDescent="0.25">
      <c r="J33" s="99"/>
      <c r="M33" s="106"/>
    </row>
    <row r="34" spans="10:15" x14ac:dyDescent="0.25">
      <c r="J34" s="99" t="s">
        <v>1457</v>
      </c>
      <c r="K34" s="92">
        <v>0.05</v>
      </c>
      <c r="M34" s="106">
        <f>K34 * M32</f>
        <v>646.86</v>
      </c>
    </row>
    <row r="35" spans="10:15" x14ac:dyDescent="0.25">
      <c r="J35" s="99"/>
      <c r="M35" s="106"/>
    </row>
    <row r="36" spans="10:15" x14ac:dyDescent="0.25">
      <c r="J36" s="99" t="s">
        <v>1458</v>
      </c>
      <c r="K36" t="str">
        <f>VLOOKUP(B2,'Pay Summary'!A:D,4,0)</f>
        <v/>
      </c>
      <c r="M36" s="106">
        <f>IF(K36 = 1, 500, 0)</f>
        <v>0</v>
      </c>
    </row>
    <row r="37" spans="10:15" x14ac:dyDescent="0.25">
      <c r="J37" s="99"/>
      <c r="M37" s="106"/>
    </row>
    <row r="38" spans="10:15" x14ac:dyDescent="0.25">
      <c r="J38" s="99" t="s">
        <v>1450</v>
      </c>
      <c r="K38">
        <f>L16</f>
        <v>8</v>
      </c>
      <c r="M38" s="106">
        <f>VLOOKUP(K38, 'Look Up Table'!E:F, 2, TRUE)</f>
        <v>0</v>
      </c>
    </row>
    <row r="39" spans="10:15" x14ac:dyDescent="0.25">
      <c r="J39" s="99"/>
      <c r="M39" s="106"/>
    </row>
    <row r="40" spans="10:15" x14ac:dyDescent="0.25">
      <c r="J40" s="99" t="s">
        <v>1306</v>
      </c>
      <c r="K40" s="111" t="str">
        <f>B4</f>
        <v>3P</v>
      </c>
      <c r="M40" s="106">
        <f>IF(B5&gt;=3,IF(B4="3P",L16*50,IF(B4="A",0,IF(B4="B",L16*-50))),0)</f>
        <v>400</v>
      </c>
      <c r="N40" s="99" t="s">
        <v>1463</v>
      </c>
      <c r="O40" s="112">
        <f>'NPS Sheet'!X51</f>
        <v>0.91700000000000004</v>
      </c>
    </row>
    <row r="41" spans="10:15" x14ac:dyDescent="0.25">
      <c r="J41" s="99"/>
      <c r="M41" s="106"/>
    </row>
    <row r="42" spans="10:15" x14ac:dyDescent="0.25">
      <c r="J42" s="99" t="s">
        <v>1459</v>
      </c>
      <c r="M42" s="106">
        <f>SUM(M38, M40, M36)</f>
        <v>400</v>
      </c>
    </row>
    <row r="43" spans="10:15" x14ac:dyDescent="0.25">
      <c r="J43" s="99"/>
      <c r="M43" s="106"/>
    </row>
    <row r="44" spans="10:15" x14ac:dyDescent="0.25">
      <c r="J44" s="99" t="s">
        <v>1460</v>
      </c>
      <c r="M44" s="106">
        <f>IFERROR(VLOOKUP(B2,SPIFFS!A:H,8,0),0)</f>
        <v>2460</v>
      </c>
    </row>
    <row r="45" spans="10:15" x14ac:dyDescent="0.25">
      <c r="J45" s="99"/>
      <c r="M45" s="106"/>
    </row>
    <row r="46" spans="10:15" x14ac:dyDescent="0.25">
      <c r="J46" s="99" t="s">
        <v>1461</v>
      </c>
      <c r="M46" s="106">
        <f>SUM(M20, M26, M34, M42, M18, M44)</f>
        <v>3384.6400000000003</v>
      </c>
    </row>
    <row r="47" spans="10:15" x14ac:dyDescent="0.25">
      <c r="J47" s="99"/>
      <c r="M47" s="106"/>
    </row>
    <row r="48" spans="10:15" x14ac:dyDescent="0.25">
      <c r="J48" s="99" t="s">
        <v>1462</v>
      </c>
      <c r="M48" s="106">
        <f>IF(M46&lt;0, SUM(M18, M42, M34, M26), 0)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4B691-66CA-4153-A48B-C8802D7F04B5}">
  <sheetPr>
    <tabColor rgb="FFFFFF00"/>
  </sheetPr>
  <dimension ref="A1:I1156"/>
  <sheetViews>
    <sheetView zoomScale="85" zoomScaleNormal="85" workbookViewId="0">
      <pane ySplit="1" topLeftCell="A2" activePane="bottomLeft" state="frozen"/>
      <selection pane="bottomLeft" sqref="A1:H1"/>
    </sheetView>
  </sheetViews>
  <sheetFormatPr defaultColWidth="0" defaultRowHeight="23.25" customHeight="1" zeroHeight="1" x14ac:dyDescent="0.25"/>
  <cols>
    <col min="1" max="8" width="16.7109375" customWidth="1"/>
    <col min="9" max="9" width="16.7109375" hidden="1" customWidth="1"/>
    <col min="10" max="16384" width="16.7109375" style="77" hidden="1"/>
  </cols>
  <sheetData>
    <row r="1" spans="1:8" s="78" customFormat="1" ht="34.5" customHeight="1" x14ac:dyDescent="0.25">
      <c r="A1" s="78" t="s">
        <v>1254</v>
      </c>
      <c r="B1" s="78" t="s">
        <v>1256</v>
      </c>
      <c r="C1" s="78" t="s">
        <v>1256</v>
      </c>
      <c r="D1" s="78" t="s">
        <v>1256</v>
      </c>
      <c r="E1" s="78" t="s">
        <v>1256</v>
      </c>
      <c r="F1" s="78" t="s">
        <v>1256</v>
      </c>
      <c r="G1" s="78" t="s">
        <v>1256</v>
      </c>
      <c r="H1" s="78" t="s">
        <v>2</v>
      </c>
    </row>
    <row r="2" spans="1:8" s="77" customFormat="1" ht="23.25" customHeight="1" x14ac:dyDescent="0.25">
      <c r="A2" s="76">
        <v>99</v>
      </c>
      <c r="B2" s="76">
        <v>1758</v>
      </c>
      <c r="C2" s="76"/>
      <c r="D2" s="76"/>
      <c r="E2" s="76"/>
      <c r="F2" s="76"/>
      <c r="G2" s="76"/>
      <c r="H2">
        <f t="shared" ref="H2:H26" si="0">IF(ISBLANK(A2),"",SUM(B2:G2))</f>
        <v>1758</v>
      </c>
    </row>
    <row r="3" spans="1:8" s="77" customFormat="1" ht="23.25" customHeight="1" x14ac:dyDescent="0.25">
      <c r="A3" s="76">
        <v>3262</v>
      </c>
      <c r="B3" s="76">
        <v>23.61</v>
      </c>
      <c r="C3" s="76"/>
      <c r="D3" s="76"/>
      <c r="E3" s="76"/>
      <c r="F3" s="76"/>
      <c r="G3" s="76"/>
      <c r="H3">
        <f t="shared" si="0"/>
        <v>23.61</v>
      </c>
    </row>
    <row r="4" spans="1:8" s="77" customFormat="1" ht="23.25" customHeight="1" x14ac:dyDescent="0.25">
      <c r="A4" s="76">
        <v>10067</v>
      </c>
      <c r="B4" s="76">
        <v>1075</v>
      </c>
      <c r="C4" s="76"/>
      <c r="D4" s="76"/>
      <c r="E4" s="76"/>
      <c r="F4" s="76"/>
      <c r="G4" s="76"/>
      <c r="H4">
        <f t="shared" si="0"/>
        <v>1075</v>
      </c>
    </row>
    <row r="5" spans="1:8" s="77" customFormat="1" ht="23.25" customHeight="1" x14ac:dyDescent="0.25">
      <c r="A5" s="76">
        <v>10303</v>
      </c>
      <c r="B5" s="76">
        <v>550</v>
      </c>
      <c r="C5" s="76"/>
      <c r="D5" s="76"/>
      <c r="E5" s="76"/>
      <c r="F5" s="76"/>
      <c r="G5" s="76"/>
      <c r="H5">
        <f t="shared" si="0"/>
        <v>550</v>
      </c>
    </row>
    <row r="6" spans="1:8" s="77" customFormat="1" ht="23.25" customHeight="1" x14ac:dyDescent="0.25">
      <c r="A6" s="76">
        <v>10304</v>
      </c>
      <c r="B6" s="76">
        <v>1402.9</v>
      </c>
      <c r="C6" s="76"/>
      <c r="D6" s="76"/>
      <c r="E6" s="76"/>
      <c r="F6" s="76"/>
      <c r="G6" s="76"/>
      <c r="H6">
        <f t="shared" si="0"/>
        <v>1402.9</v>
      </c>
    </row>
    <row r="7" spans="1:8" s="77" customFormat="1" ht="23.25" customHeight="1" x14ac:dyDescent="0.25">
      <c r="A7" s="76">
        <v>10775</v>
      </c>
      <c r="B7" s="76">
        <v>550</v>
      </c>
      <c r="C7" s="76"/>
      <c r="D7" s="76"/>
      <c r="E7" s="76"/>
      <c r="F7" s="76"/>
      <c r="G7" s="76"/>
      <c r="H7">
        <f t="shared" si="0"/>
        <v>550</v>
      </c>
    </row>
    <row r="8" spans="1:8" s="77" customFormat="1" ht="23.25" customHeight="1" x14ac:dyDescent="0.25">
      <c r="A8" s="76">
        <v>11580</v>
      </c>
      <c r="B8" s="76">
        <v>1050</v>
      </c>
      <c r="C8" s="76"/>
      <c r="D8" s="76"/>
      <c r="E8" s="76"/>
      <c r="F8" s="76"/>
      <c r="G8" s="76"/>
      <c r="H8">
        <f t="shared" si="0"/>
        <v>1050</v>
      </c>
    </row>
    <row r="9" spans="1:8" s="77" customFormat="1" ht="23.25" customHeight="1" x14ac:dyDescent="0.25">
      <c r="A9" s="76">
        <v>11809</v>
      </c>
      <c r="B9" s="76">
        <v>1601.51</v>
      </c>
      <c r="C9" s="76"/>
      <c r="D9" s="76"/>
      <c r="E9" s="76"/>
      <c r="F9" s="76"/>
      <c r="G9" s="76"/>
      <c r="H9">
        <f t="shared" si="0"/>
        <v>1601.51</v>
      </c>
    </row>
    <row r="10" spans="1:8" s="77" customFormat="1" ht="23.25" customHeight="1" x14ac:dyDescent="0.25">
      <c r="A10" s="76">
        <v>12104</v>
      </c>
      <c r="B10" s="76">
        <v>625</v>
      </c>
      <c r="C10" s="76"/>
      <c r="D10" s="76"/>
      <c r="E10" s="76"/>
      <c r="F10" s="76"/>
      <c r="G10" s="76"/>
      <c r="H10">
        <f t="shared" si="0"/>
        <v>625</v>
      </c>
    </row>
    <row r="11" spans="1:8" s="77" customFormat="1" ht="23.25" customHeight="1" x14ac:dyDescent="0.25">
      <c r="A11" s="76">
        <v>16210</v>
      </c>
      <c r="B11" s="76">
        <v>4600</v>
      </c>
      <c r="C11" s="76"/>
      <c r="D11" s="76"/>
      <c r="E11" s="76"/>
      <c r="F11" s="76"/>
      <c r="G11" s="76"/>
      <c r="H11">
        <f t="shared" si="0"/>
        <v>4600</v>
      </c>
    </row>
    <row r="12" spans="1:8" s="77" customFormat="1" ht="23.25" customHeight="1" x14ac:dyDescent="0.25">
      <c r="A12" s="76">
        <v>16734</v>
      </c>
      <c r="B12" s="76">
        <v>250</v>
      </c>
      <c r="C12" s="76"/>
      <c r="D12" s="76"/>
      <c r="E12" s="76"/>
      <c r="F12" s="76"/>
      <c r="G12" s="76"/>
      <c r="H12">
        <f t="shared" si="0"/>
        <v>250</v>
      </c>
    </row>
    <row r="13" spans="1:8" s="77" customFormat="1" ht="23.25" customHeight="1" x14ac:dyDescent="0.25">
      <c r="A13" s="76">
        <v>18357</v>
      </c>
      <c r="B13" s="76">
        <v>1100</v>
      </c>
      <c r="C13" s="76"/>
      <c r="D13" s="76"/>
      <c r="E13" s="76"/>
      <c r="F13" s="76"/>
      <c r="G13" s="76"/>
      <c r="H13">
        <f t="shared" si="0"/>
        <v>1100</v>
      </c>
    </row>
    <row r="14" spans="1:8" s="77" customFormat="1" ht="23.25" customHeight="1" x14ac:dyDescent="0.25">
      <c r="A14" s="76">
        <v>20993</v>
      </c>
      <c r="B14" s="76">
        <v>1500</v>
      </c>
      <c r="C14" s="76"/>
      <c r="D14" s="76"/>
      <c r="E14" s="76"/>
      <c r="F14" s="76"/>
      <c r="G14" s="76"/>
      <c r="H14">
        <f t="shared" si="0"/>
        <v>1500</v>
      </c>
    </row>
    <row r="15" spans="1:8" s="77" customFormat="1" ht="23.25" customHeight="1" x14ac:dyDescent="0.25">
      <c r="A15" s="76">
        <v>22145</v>
      </c>
      <c r="B15" s="76">
        <v>2650</v>
      </c>
      <c r="C15" s="76"/>
      <c r="D15" s="76"/>
      <c r="E15" s="76"/>
      <c r="F15" s="76"/>
      <c r="G15" s="76"/>
      <c r="H15">
        <f t="shared" si="0"/>
        <v>2650</v>
      </c>
    </row>
    <row r="16" spans="1:8" s="77" customFormat="1" ht="23.25" customHeight="1" x14ac:dyDescent="0.25">
      <c r="A16" s="76">
        <v>22478</v>
      </c>
      <c r="B16" s="76">
        <v>202.8</v>
      </c>
      <c r="C16" s="76"/>
      <c r="D16" s="76"/>
      <c r="E16" s="76"/>
      <c r="F16" s="76"/>
      <c r="G16" s="76"/>
      <c r="H16">
        <f t="shared" si="0"/>
        <v>202.8</v>
      </c>
    </row>
    <row r="17" spans="1:8" s="77" customFormat="1" ht="23.25" customHeight="1" x14ac:dyDescent="0.25">
      <c r="A17" s="76">
        <v>22564</v>
      </c>
      <c r="B17" s="76">
        <v>1050</v>
      </c>
      <c r="C17" s="76"/>
      <c r="D17" s="76"/>
      <c r="E17" s="76"/>
      <c r="F17" s="76"/>
      <c r="G17" s="76"/>
      <c r="H17">
        <f t="shared" si="0"/>
        <v>1050</v>
      </c>
    </row>
    <row r="18" spans="1:8" s="77" customFormat="1" ht="23.25" customHeight="1" x14ac:dyDescent="0.25">
      <c r="A18" s="76">
        <v>207147</v>
      </c>
      <c r="B18" s="76">
        <v>1000</v>
      </c>
      <c r="C18" s="76"/>
      <c r="D18" s="76"/>
      <c r="E18" s="76"/>
      <c r="F18" s="76"/>
      <c r="G18" s="76"/>
      <c r="H18">
        <f t="shared" si="0"/>
        <v>1000</v>
      </c>
    </row>
    <row r="19" spans="1:8" s="77" customFormat="1" ht="23.25" customHeight="1" x14ac:dyDescent="0.25">
      <c r="A19" s="76">
        <v>207347</v>
      </c>
      <c r="B19" s="76">
        <v>800</v>
      </c>
      <c r="C19" s="76"/>
      <c r="D19" s="76"/>
      <c r="E19" s="76"/>
      <c r="F19" s="76"/>
      <c r="G19" s="76"/>
      <c r="H19">
        <f t="shared" si="0"/>
        <v>800</v>
      </c>
    </row>
    <row r="20" spans="1:8" s="77" customFormat="1" ht="23.25" customHeight="1" x14ac:dyDescent="0.25">
      <c r="A20" s="76">
        <v>207462</v>
      </c>
      <c r="B20" s="76">
        <v>1100</v>
      </c>
      <c r="C20" s="76"/>
      <c r="D20" s="76"/>
      <c r="E20" s="76"/>
      <c r="F20" s="76"/>
      <c r="G20" s="76"/>
      <c r="H20">
        <f t="shared" si="0"/>
        <v>1100</v>
      </c>
    </row>
    <row r="21" spans="1:8" s="77" customFormat="1" ht="23.25" customHeight="1" x14ac:dyDescent="0.25">
      <c r="A21" s="76">
        <v>207580</v>
      </c>
      <c r="B21" s="76">
        <v>1450</v>
      </c>
      <c r="C21" s="76"/>
      <c r="D21" s="76"/>
      <c r="E21" s="76"/>
      <c r="F21" s="76"/>
      <c r="G21" s="76"/>
      <c r="H21">
        <f t="shared" si="0"/>
        <v>1450</v>
      </c>
    </row>
    <row r="22" spans="1:8" s="77" customFormat="1" ht="23.25" customHeight="1" x14ac:dyDescent="0.25">
      <c r="A22" s="76">
        <v>215323</v>
      </c>
      <c r="B22" s="76">
        <v>500</v>
      </c>
      <c r="C22" s="76"/>
      <c r="D22" s="76"/>
      <c r="E22" s="76"/>
      <c r="F22" s="76"/>
      <c r="G22" s="76"/>
      <c r="H22">
        <f t="shared" si="0"/>
        <v>500</v>
      </c>
    </row>
    <row r="23" spans="1:8" s="77" customFormat="1" ht="23.25" customHeight="1" x14ac:dyDescent="0.25">
      <c r="A23" s="76">
        <v>242160</v>
      </c>
      <c r="B23" s="76">
        <v>1800</v>
      </c>
      <c r="C23" s="76"/>
      <c r="D23" s="76"/>
      <c r="E23" s="76"/>
      <c r="F23" s="76"/>
      <c r="G23" s="76"/>
      <c r="H23">
        <f t="shared" si="0"/>
        <v>1800</v>
      </c>
    </row>
    <row r="24" spans="1:8" s="77" customFormat="1" ht="23.25" customHeight="1" x14ac:dyDescent="0.25">
      <c r="A24" s="76">
        <v>261800</v>
      </c>
      <c r="B24" s="76">
        <v>506</v>
      </c>
      <c r="C24" s="76"/>
      <c r="D24" s="76"/>
      <c r="E24" s="76"/>
      <c r="F24" s="76"/>
      <c r="G24" s="76"/>
      <c r="H24">
        <f t="shared" si="0"/>
        <v>506</v>
      </c>
    </row>
    <row r="25" spans="1:8" s="77" customFormat="1" ht="23.25" customHeight="1" x14ac:dyDescent="0.25">
      <c r="A25" s="76">
        <v>267623</v>
      </c>
      <c r="B25" s="76">
        <v>2460</v>
      </c>
      <c r="C25" s="76"/>
      <c r="D25" s="76"/>
      <c r="E25" s="76"/>
      <c r="F25" s="76"/>
      <c r="G25" s="76"/>
      <c r="H25">
        <f t="shared" si="0"/>
        <v>2460</v>
      </c>
    </row>
    <row r="26" spans="1:8" s="77" customFormat="1" ht="23.25" customHeight="1" x14ac:dyDescent="0.25">
      <c r="A26" s="76">
        <v>271828</v>
      </c>
      <c r="B26" s="76">
        <v>550</v>
      </c>
      <c r="C26" s="76"/>
      <c r="D26" s="76"/>
      <c r="E26" s="76"/>
      <c r="F26" s="76"/>
      <c r="G26" s="76"/>
      <c r="H26">
        <f t="shared" si="0"/>
        <v>550</v>
      </c>
    </row>
    <row r="27" spans="1:8" s="77" customFormat="1" ht="23.25" customHeight="1" x14ac:dyDescent="0.25">
      <c r="A27" s="76">
        <v>283245</v>
      </c>
      <c r="B27" s="76">
        <v>250</v>
      </c>
      <c r="C27" s="76"/>
      <c r="D27" s="76"/>
      <c r="E27" s="76"/>
      <c r="F27" s="76"/>
      <c r="G27" s="76"/>
      <c r="H27">
        <f t="shared" ref="H27:H90" si="1">IF(ISBLANK(A27),"",SUM(B27:G27))</f>
        <v>250</v>
      </c>
    </row>
    <row r="28" spans="1:8" s="77" customFormat="1" ht="23.25" customHeight="1" x14ac:dyDescent="0.25">
      <c r="A28" s="76">
        <v>283245</v>
      </c>
      <c r="B28" s="76">
        <v>1550</v>
      </c>
      <c r="C28" s="76"/>
      <c r="D28" s="76"/>
      <c r="E28" s="76"/>
      <c r="F28" s="76"/>
      <c r="G28" s="76"/>
      <c r="H28">
        <f t="shared" si="1"/>
        <v>1550</v>
      </c>
    </row>
    <row r="29" spans="1:8" s="77" customFormat="1" ht="23.25" customHeight="1" x14ac:dyDescent="0.25">
      <c r="A29" s="76"/>
      <c r="B29" s="76"/>
      <c r="C29" s="76"/>
      <c r="D29" s="76"/>
      <c r="E29" s="76"/>
      <c r="F29" s="76"/>
      <c r="G29" s="76"/>
      <c r="H29" t="str">
        <f t="shared" si="1"/>
        <v/>
      </c>
    </row>
    <row r="30" spans="1:8" s="77" customFormat="1" ht="23.25" customHeight="1" x14ac:dyDescent="0.25">
      <c r="A30" s="76"/>
      <c r="B30" s="76"/>
      <c r="C30" s="76"/>
      <c r="D30" s="76"/>
      <c r="E30" s="76"/>
      <c r="F30" s="76"/>
      <c r="G30" s="76"/>
      <c r="H30" t="str">
        <f t="shared" si="1"/>
        <v/>
      </c>
    </row>
    <row r="31" spans="1:8" s="77" customFormat="1" ht="23.25" customHeight="1" x14ac:dyDescent="0.25">
      <c r="A31" s="76"/>
      <c r="B31" s="76"/>
      <c r="C31" s="76"/>
      <c r="D31" s="76"/>
      <c r="E31" s="76"/>
      <c r="F31" s="76"/>
      <c r="G31" s="76"/>
      <c r="H31" t="str">
        <f t="shared" si="1"/>
        <v/>
      </c>
    </row>
    <row r="32" spans="1:8" s="77" customFormat="1" ht="23.25" customHeight="1" x14ac:dyDescent="0.25">
      <c r="A32" s="76"/>
      <c r="B32" s="76"/>
      <c r="C32" s="76"/>
      <c r="D32" s="76"/>
      <c r="E32" s="76"/>
      <c r="F32" s="76"/>
      <c r="G32" s="76"/>
      <c r="H32" t="str">
        <f t="shared" si="1"/>
        <v/>
      </c>
    </row>
    <row r="33" spans="1:8" s="77" customFormat="1" ht="23.25" customHeight="1" x14ac:dyDescent="0.25">
      <c r="A33" s="76"/>
      <c r="B33" s="76"/>
      <c r="C33" s="76"/>
      <c r="D33" s="76"/>
      <c r="E33" s="76"/>
      <c r="F33" s="76"/>
      <c r="G33" s="76"/>
      <c r="H33" t="str">
        <f t="shared" si="1"/>
        <v/>
      </c>
    </row>
    <row r="34" spans="1:8" s="77" customFormat="1" ht="23.25" customHeight="1" x14ac:dyDescent="0.25">
      <c r="A34" s="76"/>
      <c r="B34" s="76"/>
      <c r="C34" s="76"/>
      <c r="D34" s="76"/>
      <c r="E34" s="76"/>
      <c r="F34" s="76"/>
      <c r="G34" s="76"/>
      <c r="H34" t="str">
        <f t="shared" si="1"/>
        <v/>
      </c>
    </row>
    <row r="35" spans="1:8" s="77" customFormat="1" ht="23.25" customHeight="1" x14ac:dyDescent="0.25">
      <c r="A35" s="76"/>
      <c r="B35" s="76"/>
      <c r="C35" s="76"/>
      <c r="D35" s="76"/>
      <c r="E35" s="76"/>
      <c r="F35" s="76"/>
      <c r="G35" s="76"/>
      <c r="H35" t="str">
        <f t="shared" si="1"/>
        <v/>
      </c>
    </row>
    <row r="36" spans="1:8" s="77" customFormat="1" ht="23.25" customHeight="1" x14ac:dyDescent="0.25">
      <c r="A36" s="76"/>
      <c r="B36" s="76"/>
      <c r="C36" s="76"/>
      <c r="D36" s="76"/>
      <c r="E36" s="76"/>
      <c r="F36" s="76"/>
      <c r="G36" s="76"/>
      <c r="H36" t="str">
        <f t="shared" si="1"/>
        <v/>
      </c>
    </row>
    <row r="37" spans="1:8" s="77" customFormat="1" ht="23.25" customHeight="1" x14ac:dyDescent="0.25">
      <c r="A37" s="76"/>
      <c r="B37" s="76"/>
      <c r="C37" s="76"/>
      <c r="D37" s="76"/>
      <c r="E37" s="76"/>
      <c r="F37" s="76"/>
      <c r="G37" s="76"/>
      <c r="H37" t="str">
        <f t="shared" si="1"/>
        <v/>
      </c>
    </row>
    <row r="38" spans="1:8" s="77" customFormat="1" ht="23.25" customHeight="1" x14ac:dyDescent="0.25">
      <c r="A38" s="76"/>
      <c r="B38" s="76"/>
      <c r="C38" s="76"/>
      <c r="D38" s="76"/>
      <c r="E38" s="76"/>
      <c r="F38" s="76"/>
      <c r="G38" s="76"/>
      <c r="H38" t="str">
        <f t="shared" si="1"/>
        <v/>
      </c>
    </row>
    <row r="39" spans="1:8" s="77" customFormat="1" ht="23.25" customHeight="1" x14ac:dyDescent="0.25">
      <c r="A39" s="76"/>
      <c r="B39" s="76"/>
      <c r="C39" s="76"/>
      <c r="D39" s="76"/>
      <c r="E39" s="76"/>
      <c r="F39" s="76"/>
      <c r="G39" s="76"/>
      <c r="H39" t="str">
        <f t="shared" si="1"/>
        <v/>
      </c>
    </row>
    <row r="40" spans="1:8" s="77" customFormat="1" ht="23.25" customHeight="1" x14ac:dyDescent="0.25">
      <c r="A40" s="76"/>
      <c r="B40" s="76"/>
      <c r="C40" s="76"/>
      <c r="D40" s="76"/>
      <c r="E40" s="76"/>
      <c r="F40" s="76"/>
      <c r="G40" s="76"/>
      <c r="H40" t="str">
        <f t="shared" si="1"/>
        <v/>
      </c>
    </row>
    <row r="41" spans="1:8" s="77" customFormat="1" ht="23.25" customHeight="1" x14ac:dyDescent="0.25">
      <c r="A41" s="76"/>
      <c r="B41" s="76"/>
      <c r="C41" s="76"/>
      <c r="D41" s="76"/>
      <c r="E41" s="76"/>
      <c r="F41" s="76"/>
      <c r="G41" s="76"/>
      <c r="H41" t="str">
        <f t="shared" si="1"/>
        <v/>
      </c>
    </row>
    <row r="42" spans="1:8" s="77" customFormat="1" ht="23.25" customHeight="1" x14ac:dyDescent="0.25">
      <c r="A42" s="76"/>
      <c r="B42" s="76"/>
      <c r="C42" s="76"/>
      <c r="D42" s="76"/>
      <c r="E42" s="76"/>
      <c r="F42" s="76"/>
      <c r="G42" s="76"/>
      <c r="H42" t="str">
        <f t="shared" si="1"/>
        <v/>
      </c>
    </row>
    <row r="43" spans="1:8" s="77" customFormat="1" ht="23.25" customHeight="1" x14ac:dyDescent="0.25">
      <c r="A43" s="76"/>
      <c r="B43" s="76"/>
      <c r="C43" s="76"/>
      <c r="D43" s="76"/>
      <c r="E43" s="76"/>
      <c r="F43" s="76"/>
      <c r="G43" s="76"/>
      <c r="H43" t="str">
        <f t="shared" si="1"/>
        <v/>
      </c>
    </row>
    <row r="44" spans="1:8" s="77" customFormat="1" ht="23.25" customHeight="1" x14ac:dyDescent="0.25">
      <c r="A44" s="76"/>
      <c r="B44" s="76"/>
      <c r="C44" s="76"/>
      <c r="D44" s="76"/>
      <c r="E44" s="76"/>
      <c r="F44" s="76"/>
      <c r="G44" s="76"/>
      <c r="H44" t="str">
        <f t="shared" si="1"/>
        <v/>
      </c>
    </row>
    <row r="45" spans="1:8" s="77" customFormat="1" ht="23.25" customHeight="1" x14ac:dyDescent="0.25">
      <c r="A45" s="76"/>
      <c r="B45" s="76"/>
      <c r="C45" s="76"/>
      <c r="D45" s="76"/>
      <c r="E45" s="76"/>
      <c r="F45" s="76"/>
      <c r="G45" s="76"/>
      <c r="H45" t="str">
        <f t="shared" si="1"/>
        <v/>
      </c>
    </row>
    <row r="46" spans="1:8" s="77" customFormat="1" ht="23.25" customHeight="1" x14ac:dyDescent="0.25">
      <c r="A46" s="76"/>
      <c r="B46" s="76"/>
      <c r="C46" s="76"/>
      <c r="D46" s="76"/>
      <c r="E46" s="76"/>
      <c r="F46" s="76"/>
      <c r="G46" s="76"/>
      <c r="H46" t="str">
        <f t="shared" si="1"/>
        <v/>
      </c>
    </row>
    <row r="47" spans="1:8" s="77" customFormat="1" ht="23.25" customHeight="1" x14ac:dyDescent="0.25">
      <c r="A47" s="76"/>
      <c r="B47" s="76"/>
      <c r="C47" s="76"/>
      <c r="D47" s="76"/>
      <c r="E47" s="76"/>
      <c r="F47" s="76"/>
      <c r="G47" s="76"/>
      <c r="H47" t="str">
        <f t="shared" si="1"/>
        <v/>
      </c>
    </row>
    <row r="48" spans="1:8" s="77" customFormat="1" ht="23.25" customHeight="1" x14ac:dyDescent="0.25">
      <c r="A48" s="76"/>
      <c r="B48" s="76"/>
      <c r="C48" s="76"/>
      <c r="D48" s="76"/>
      <c r="E48" s="76"/>
      <c r="F48" s="76"/>
      <c r="G48" s="76"/>
      <c r="H48" t="str">
        <f t="shared" si="1"/>
        <v/>
      </c>
    </row>
    <row r="49" spans="1:8" s="77" customFormat="1" ht="23.25" customHeight="1" x14ac:dyDescent="0.25">
      <c r="A49" s="76"/>
      <c r="B49" s="76"/>
      <c r="C49" s="76"/>
      <c r="D49" s="76"/>
      <c r="E49" s="76"/>
      <c r="F49" s="76"/>
      <c r="G49" s="76"/>
      <c r="H49" t="str">
        <f t="shared" si="1"/>
        <v/>
      </c>
    </row>
    <row r="50" spans="1:8" s="77" customFormat="1" ht="23.25" customHeight="1" x14ac:dyDescent="0.25">
      <c r="A50" s="76"/>
      <c r="B50" s="76"/>
      <c r="C50" s="76"/>
      <c r="D50" s="76"/>
      <c r="E50" s="76"/>
      <c r="F50" s="76"/>
      <c r="G50" s="76"/>
      <c r="H50" t="str">
        <f t="shared" si="1"/>
        <v/>
      </c>
    </row>
    <row r="51" spans="1:8" s="77" customFormat="1" ht="23.25" customHeight="1" x14ac:dyDescent="0.25">
      <c r="A51" s="76"/>
      <c r="B51" s="76"/>
      <c r="C51" s="76"/>
      <c r="D51" s="76"/>
      <c r="E51" s="76"/>
      <c r="F51" s="76"/>
      <c r="G51" s="76"/>
      <c r="H51" t="str">
        <f t="shared" si="1"/>
        <v/>
      </c>
    </row>
    <row r="52" spans="1:8" s="77" customFormat="1" ht="23.25" customHeight="1" x14ac:dyDescent="0.25">
      <c r="A52" s="76"/>
      <c r="B52" s="76"/>
      <c r="C52" s="76"/>
      <c r="D52" s="76"/>
      <c r="E52" s="76"/>
      <c r="F52" s="76"/>
      <c r="G52" s="76"/>
      <c r="H52" t="str">
        <f t="shared" si="1"/>
        <v/>
      </c>
    </row>
    <row r="53" spans="1:8" s="77" customFormat="1" ht="23.25" customHeight="1" x14ac:dyDescent="0.25">
      <c r="A53" s="76"/>
      <c r="B53" s="76"/>
      <c r="C53" s="76"/>
      <c r="D53" s="76"/>
      <c r="E53" s="76"/>
      <c r="F53" s="76"/>
      <c r="G53" s="76"/>
      <c r="H53" t="str">
        <f t="shared" si="1"/>
        <v/>
      </c>
    </row>
    <row r="54" spans="1:8" s="77" customFormat="1" ht="23.25" customHeight="1" x14ac:dyDescent="0.25">
      <c r="A54" s="76"/>
      <c r="B54" s="76"/>
      <c r="C54" s="76"/>
      <c r="D54" s="76"/>
      <c r="E54" s="76"/>
      <c r="F54" s="76"/>
      <c r="G54" s="76"/>
      <c r="H54" t="str">
        <f t="shared" si="1"/>
        <v/>
      </c>
    </row>
    <row r="55" spans="1:8" s="77" customFormat="1" ht="23.25" customHeight="1" x14ac:dyDescent="0.25">
      <c r="A55" s="76"/>
      <c r="B55" s="76"/>
      <c r="C55" s="76"/>
      <c r="D55" s="76"/>
      <c r="E55" s="76"/>
      <c r="F55" s="76"/>
      <c r="G55" s="76"/>
      <c r="H55" t="str">
        <f t="shared" si="1"/>
        <v/>
      </c>
    </row>
    <row r="56" spans="1:8" s="77" customFormat="1" ht="23.25" customHeight="1" x14ac:dyDescent="0.25">
      <c r="A56" s="76"/>
      <c r="B56" s="76"/>
      <c r="C56" s="76"/>
      <c r="D56" s="76"/>
      <c r="E56" s="76"/>
      <c r="F56" s="76"/>
      <c r="G56" s="76"/>
      <c r="H56" t="str">
        <f t="shared" si="1"/>
        <v/>
      </c>
    </row>
    <row r="57" spans="1:8" s="77" customFormat="1" ht="23.25" customHeight="1" x14ac:dyDescent="0.25">
      <c r="A57" s="76"/>
      <c r="B57" s="76"/>
      <c r="C57" s="76"/>
      <c r="D57" s="76"/>
      <c r="E57" s="76"/>
      <c r="F57" s="76"/>
      <c r="G57" s="76"/>
      <c r="H57" t="str">
        <f t="shared" si="1"/>
        <v/>
      </c>
    </row>
    <row r="58" spans="1:8" s="77" customFormat="1" ht="23.25" customHeight="1" x14ac:dyDescent="0.25">
      <c r="A58" s="76"/>
      <c r="B58" s="76"/>
      <c r="C58" s="76"/>
      <c r="D58" s="76"/>
      <c r="E58" s="76"/>
      <c r="F58" s="76"/>
      <c r="G58" s="76"/>
      <c r="H58" t="str">
        <f t="shared" si="1"/>
        <v/>
      </c>
    </row>
    <row r="59" spans="1:8" s="77" customFormat="1" ht="23.25" customHeight="1" x14ac:dyDescent="0.25">
      <c r="A59" s="76"/>
      <c r="B59" s="76"/>
      <c r="C59" s="76"/>
      <c r="D59" s="76"/>
      <c r="E59" s="76"/>
      <c r="F59" s="76"/>
      <c r="G59" s="76"/>
      <c r="H59" t="str">
        <f t="shared" si="1"/>
        <v/>
      </c>
    </row>
    <row r="60" spans="1:8" s="77" customFormat="1" ht="23.25" customHeight="1" x14ac:dyDescent="0.25">
      <c r="A60" s="76"/>
      <c r="B60" s="76"/>
      <c r="C60" s="76"/>
      <c r="D60" s="76"/>
      <c r="E60" s="76"/>
      <c r="F60" s="76"/>
      <c r="G60" s="76"/>
      <c r="H60" t="str">
        <f t="shared" si="1"/>
        <v/>
      </c>
    </row>
    <row r="61" spans="1:8" s="77" customFormat="1" ht="23.25" customHeight="1" x14ac:dyDescent="0.25">
      <c r="A61" s="76"/>
      <c r="B61" s="76"/>
      <c r="C61" s="76"/>
      <c r="D61" s="76"/>
      <c r="E61" s="76"/>
      <c r="F61" s="76"/>
      <c r="G61" s="76"/>
      <c r="H61" t="str">
        <f t="shared" si="1"/>
        <v/>
      </c>
    </row>
    <row r="62" spans="1:8" s="77" customFormat="1" ht="23.25" customHeight="1" x14ac:dyDescent="0.25">
      <c r="A62" s="76"/>
      <c r="B62" s="76"/>
      <c r="C62" s="76"/>
      <c r="D62" s="76"/>
      <c r="E62" s="76"/>
      <c r="F62" s="76"/>
      <c r="G62" s="76"/>
      <c r="H62" t="str">
        <f t="shared" si="1"/>
        <v/>
      </c>
    </row>
    <row r="63" spans="1:8" s="77" customFormat="1" ht="23.25" customHeight="1" x14ac:dyDescent="0.25">
      <c r="A63" s="76"/>
      <c r="B63" s="76"/>
      <c r="C63" s="76"/>
      <c r="D63" s="76"/>
      <c r="E63" s="76"/>
      <c r="F63" s="76"/>
      <c r="G63" s="76"/>
      <c r="H63" t="str">
        <f t="shared" si="1"/>
        <v/>
      </c>
    </row>
    <row r="64" spans="1:8" s="77" customFormat="1" ht="23.25" customHeight="1" x14ac:dyDescent="0.25">
      <c r="A64" s="76"/>
      <c r="B64" s="76"/>
      <c r="C64" s="76"/>
      <c r="D64" s="76"/>
      <c r="E64" s="76"/>
      <c r="F64" s="76"/>
      <c r="G64" s="76"/>
      <c r="H64" t="str">
        <f t="shared" si="1"/>
        <v/>
      </c>
    </row>
    <row r="65" spans="1:8" s="77" customFormat="1" ht="23.25" customHeight="1" x14ac:dyDescent="0.25">
      <c r="A65" s="76"/>
      <c r="B65" s="76"/>
      <c r="C65" s="76"/>
      <c r="D65" s="76"/>
      <c r="E65" s="76"/>
      <c r="F65" s="76"/>
      <c r="G65" s="76"/>
      <c r="H65" t="str">
        <f t="shared" si="1"/>
        <v/>
      </c>
    </row>
    <row r="66" spans="1:8" s="77" customFormat="1" ht="23.25" customHeight="1" x14ac:dyDescent="0.25">
      <c r="A66" s="76"/>
      <c r="B66" s="76"/>
      <c r="C66" s="76"/>
      <c r="D66" s="76"/>
      <c r="E66" s="76"/>
      <c r="F66" s="76"/>
      <c r="G66" s="76"/>
      <c r="H66" t="str">
        <f t="shared" si="1"/>
        <v/>
      </c>
    </row>
    <row r="67" spans="1:8" s="77" customFormat="1" ht="23.25" customHeight="1" x14ac:dyDescent="0.25">
      <c r="A67" s="76"/>
      <c r="B67" s="76"/>
      <c r="C67" s="76"/>
      <c r="D67" s="76"/>
      <c r="E67" s="76"/>
      <c r="F67" s="76"/>
      <c r="G67" s="76"/>
      <c r="H67" t="str">
        <f t="shared" si="1"/>
        <v/>
      </c>
    </row>
    <row r="68" spans="1:8" s="77" customFormat="1" ht="23.25" customHeight="1" x14ac:dyDescent="0.25">
      <c r="A68" s="76"/>
      <c r="B68" s="76"/>
      <c r="C68" s="76"/>
      <c r="D68" s="76"/>
      <c r="E68" s="76"/>
      <c r="F68" s="76"/>
      <c r="G68" s="76"/>
      <c r="H68" t="str">
        <f t="shared" si="1"/>
        <v/>
      </c>
    </row>
    <row r="69" spans="1:8" s="77" customFormat="1" ht="23.25" customHeight="1" x14ac:dyDescent="0.25">
      <c r="A69" s="76"/>
      <c r="B69" s="76"/>
      <c r="C69" s="76"/>
      <c r="D69" s="76"/>
      <c r="E69" s="76"/>
      <c r="F69" s="76"/>
      <c r="G69" s="76"/>
      <c r="H69" t="str">
        <f t="shared" si="1"/>
        <v/>
      </c>
    </row>
    <row r="70" spans="1:8" s="77" customFormat="1" ht="23.25" customHeight="1" x14ac:dyDescent="0.25">
      <c r="A70" s="76"/>
      <c r="B70" s="76"/>
      <c r="C70" s="76"/>
      <c r="D70" s="76"/>
      <c r="E70" s="76"/>
      <c r="F70" s="76"/>
      <c r="G70" s="76"/>
      <c r="H70" t="str">
        <f t="shared" si="1"/>
        <v/>
      </c>
    </row>
    <row r="71" spans="1:8" s="77" customFormat="1" ht="23.25" customHeight="1" x14ac:dyDescent="0.25">
      <c r="A71" s="76"/>
      <c r="B71" s="76"/>
      <c r="C71" s="76"/>
      <c r="D71" s="76"/>
      <c r="E71" s="76"/>
      <c r="F71" s="76"/>
      <c r="G71" s="76"/>
      <c r="H71" t="str">
        <f t="shared" si="1"/>
        <v/>
      </c>
    </row>
    <row r="72" spans="1:8" s="77" customFormat="1" ht="23.25" customHeight="1" x14ac:dyDescent="0.25">
      <c r="A72" s="76"/>
      <c r="B72" s="76"/>
      <c r="C72" s="76"/>
      <c r="D72" s="76"/>
      <c r="E72" s="76"/>
      <c r="F72" s="76"/>
      <c r="G72" s="76"/>
      <c r="H72" t="str">
        <f t="shared" si="1"/>
        <v/>
      </c>
    </row>
    <row r="73" spans="1:8" s="77" customFormat="1" ht="23.25" customHeight="1" x14ac:dyDescent="0.25">
      <c r="A73" s="76"/>
      <c r="B73" s="76"/>
      <c r="C73" s="76"/>
      <c r="D73" s="76"/>
      <c r="E73" s="76"/>
      <c r="F73" s="76"/>
      <c r="G73" s="76"/>
      <c r="H73" t="str">
        <f t="shared" si="1"/>
        <v/>
      </c>
    </row>
    <row r="74" spans="1:8" s="77" customFormat="1" ht="23.25" customHeight="1" x14ac:dyDescent="0.25">
      <c r="A74" s="76"/>
      <c r="B74" s="76"/>
      <c r="C74" s="76"/>
      <c r="D74" s="76"/>
      <c r="E74" s="76"/>
      <c r="F74" s="76"/>
      <c r="G74" s="76"/>
      <c r="H74" t="str">
        <f t="shared" si="1"/>
        <v/>
      </c>
    </row>
    <row r="75" spans="1:8" s="77" customFormat="1" ht="23.25" customHeight="1" x14ac:dyDescent="0.25">
      <c r="A75" s="76"/>
      <c r="B75" s="76"/>
      <c r="C75" s="76"/>
      <c r="D75" s="76"/>
      <c r="E75" s="76"/>
      <c r="F75" s="76"/>
      <c r="G75" s="76"/>
      <c r="H75" t="str">
        <f t="shared" si="1"/>
        <v/>
      </c>
    </row>
    <row r="76" spans="1:8" s="77" customFormat="1" ht="23.25" customHeight="1" x14ac:dyDescent="0.25">
      <c r="A76" s="76"/>
      <c r="B76" s="76"/>
      <c r="C76" s="76"/>
      <c r="D76" s="76"/>
      <c r="E76" s="76"/>
      <c r="F76" s="76"/>
      <c r="G76" s="76"/>
      <c r="H76" t="str">
        <f t="shared" si="1"/>
        <v/>
      </c>
    </row>
    <row r="77" spans="1:8" s="77" customFormat="1" ht="23.25" customHeight="1" x14ac:dyDescent="0.25">
      <c r="A77" s="76"/>
      <c r="B77" s="76"/>
      <c r="C77" s="76"/>
      <c r="D77" s="76"/>
      <c r="E77" s="76"/>
      <c r="F77" s="76"/>
      <c r="G77" s="76"/>
      <c r="H77" t="str">
        <f t="shared" si="1"/>
        <v/>
      </c>
    </row>
    <row r="78" spans="1:8" s="77" customFormat="1" ht="23.25" customHeight="1" x14ac:dyDescent="0.25">
      <c r="A78" s="76"/>
      <c r="B78" s="76"/>
      <c r="C78" s="76"/>
      <c r="D78" s="76"/>
      <c r="E78" s="76"/>
      <c r="F78" s="76"/>
      <c r="G78" s="76"/>
      <c r="H78" t="str">
        <f t="shared" si="1"/>
        <v/>
      </c>
    </row>
    <row r="79" spans="1:8" s="77" customFormat="1" ht="23.25" customHeight="1" x14ac:dyDescent="0.25">
      <c r="A79" s="76"/>
      <c r="B79" s="76"/>
      <c r="C79" s="76"/>
      <c r="D79" s="76"/>
      <c r="E79" s="76"/>
      <c r="F79" s="76"/>
      <c r="G79" s="76"/>
      <c r="H79" t="str">
        <f t="shared" si="1"/>
        <v/>
      </c>
    </row>
    <row r="80" spans="1:8" s="77" customFormat="1" ht="23.25" customHeight="1" x14ac:dyDescent="0.25">
      <c r="A80" s="76"/>
      <c r="B80" s="76"/>
      <c r="C80" s="76"/>
      <c r="D80" s="76"/>
      <c r="E80" s="76"/>
      <c r="F80" s="76"/>
      <c r="G80" s="76"/>
      <c r="H80" t="str">
        <f t="shared" si="1"/>
        <v/>
      </c>
    </row>
    <row r="81" spans="1:8" s="77" customFormat="1" ht="23.25" customHeight="1" x14ac:dyDescent="0.25">
      <c r="A81" s="76"/>
      <c r="B81" s="76"/>
      <c r="C81" s="76"/>
      <c r="D81" s="76"/>
      <c r="E81" s="76"/>
      <c r="F81" s="76"/>
      <c r="G81" s="76"/>
      <c r="H81" t="str">
        <f t="shared" si="1"/>
        <v/>
      </c>
    </row>
    <row r="82" spans="1:8" s="77" customFormat="1" ht="23.25" customHeight="1" x14ac:dyDescent="0.25">
      <c r="A82" s="76"/>
      <c r="B82" s="76"/>
      <c r="C82" s="76"/>
      <c r="D82" s="76"/>
      <c r="E82" s="76"/>
      <c r="F82" s="76"/>
      <c r="G82" s="76"/>
      <c r="H82" t="str">
        <f t="shared" si="1"/>
        <v/>
      </c>
    </row>
    <row r="83" spans="1:8" s="77" customFormat="1" ht="23.25" customHeight="1" x14ac:dyDescent="0.25">
      <c r="A83" s="76"/>
      <c r="B83" s="76"/>
      <c r="C83" s="76"/>
      <c r="D83" s="76"/>
      <c r="E83" s="76"/>
      <c r="F83" s="76"/>
      <c r="G83" s="76"/>
      <c r="H83" t="str">
        <f t="shared" si="1"/>
        <v/>
      </c>
    </row>
    <row r="84" spans="1:8" s="77" customFormat="1" ht="23.25" customHeight="1" x14ac:dyDescent="0.25">
      <c r="A84" s="76"/>
      <c r="B84" s="76"/>
      <c r="C84" s="76"/>
      <c r="D84" s="76"/>
      <c r="E84" s="76"/>
      <c r="F84" s="76"/>
      <c r="G84" s="76"/>
      <c r="H84" t="str">
        <f t="shared" si="1"/>
        <v/>
      </c>
    </row>
    <row r="85" spans="1:8" s="77" customFormat="1" ht="23.25" customHeight="1" x14ac:dyDescent="0.25">
      <c r="A85" s="76"/>
      <c r="B85" s="76"/>
      <c r="C85" s="76"/>
      <c r="D85" s="76"/>
      <c r="E85" s="76"/>
      <c r="F85" s="76"/>
      <c r="G85" s="76"/>
      <c r="H85" t="str">
        <f t="shared" si="1"/>
        <v/>
      </c>
    </row>
    <row r="86" spans="1:8" s="77" customFormat="1" ht="23.25" customHeight="1" x14ac:dyDescent="0.25">
      <c r="A86" s="76"/>
      <c r="B86" s="76"/>
      <c r="C86" s="76"/>
      <c r="D86" s="76"/>
      <c r="E86" s="76"/>
      <c r="F86" s="76"/>
      <c r="G86" s="76"/>
      <c r="H86" t="str">
        <f t="shared" si="1"/>
        <v/>
      </c>
    </row>
    <row r="87" spans="1:8" s="77" customFormat="1" ht="23.25" customHeight="1" x14ac:dyDescent="0.25">
      <c r="A87" s="76"/>
      <c r="B87" s="76"/>
      <c r="C87" s="76"/>
      <c r="D87" s="76"/>
      <c r="E87" s="76"/>
      <c r="F87" s="76"/>
      <c r="G87" s="76"/>
      <c r="H87" t="str">
        <f t="shared" si="1"/>
        <v/>
      </c>
    </row>
    <row r="88" spans="1:8" s="77" customFormat="1" ht="23.25" customHeight="1" x14ac:dyDescent="0.25">
      <c r="A88" s="76"/>
      <c r="B88" s="76"/>
      <c r="C88" s="76"/>
      <c r="D88" s="76"/>
      <c r="E88" s="76"/>
      <c r="F88" s="76"/>
      <c r="G88" s="76"/>
      <c r="H88" t="str">
        <f t="shared" si="1"/>
        <v/>
      </c>
    </row>
    <row r="89" spans="1:8" s="77" customFormat="1" ht="23.25" customHeight="1" x14ac:dyDescent="0.25">
      <c r="A89" s="76"/>
      <c r="B89" s="76"/>
      <c r="C89" s="76"/>
      <c r="D89" s="76"/>
      <c r="E89" s="76"/>
      <c r="F89" s="76"/>
      <c r="G89" s="76"/>
      <c r="H89" t="str">
        <f t="shared" si="1"/>
        <v/>
      </c>
    </row>
    <row r="90" spans="1:8" s="77" customFormat="1" ht="23.25" customHeight="1" x14ac:dyDescent="0.25">
      <c r="A90" s="76"/>
      <c r="B90" s="76"/>
      <c r="C90" s="76"/>
      <c r="D90" s="76"/>
      <c r="E90" s="76"/>
      <c r="F90" s="76"/>
      <c r="G90" s="76"/>
      <c r="H90" t="str">
        <f t="shared" si="1"/>
        <v/>
      </c>
    </row>
    <row r="91" spans="1:8" s="77" customFormat="1" ht="23.25" customHeight="1" x14ac:dyDescent="0.25">
      <c r="A91" s="76"/>
      <c r="B91" s="76"/>
      <c r="C91" s="76"/>
      <c r="D91" s="76"/>
      <c r="E91" s="76"/>
      <c r="F91" s="76"/>
      <c r="G91" s="76"/>
      <c r="H91" t="str">
        <f t="shared" ref="H91:H154" si="2">IF(ISBLANK(A91),"",SUM(B91:G91))</f>
        <v/>
      </c>
    </row>
    <row r="92" spans="1:8" s="77" customFormat="1" ht="23.25" customHeight="1" x14ac:dyDescent="0.25">
      <c r="A92" s="76"/>
      <c r="B92" s="76"/>
      <c r="C92" s="76"/>
      <c r="D92" s="76"/>
      <c r="E92" s="76"/>
      <c r="F92" s="76"/>
      <c r="G92" s="76"/>
      <c r="H92" t="str">
        <f t="shared" si="2"/>
        <v/>
      </c>
    </row>
    <row r="93" spans="1:8" s="77" customFormat="1" ht="23.25" customHeight="1" x14ac:dyDescent="0.25">
      <c r="A93" s="76"/>
      <c r="B93" s="76"/>
      <c r="C93" s="76"/>
      <c r="D93" s="76"/>
      <c r="E93" s="76"/>
      <c r="F93" s="76"/>
      <c r="G93" s="76"/>
      <c r="H93" t="str">
        <f t="shared" si="2"/>
        <v/>
      </c>
    </row>
    <row r="94" spans="1:8" s="77" customFormat="1" ht="23.25" customHeight="1" x14ac:dyDescent="0.25">
      <c r="A94" s="76"/>
      <c r="B94" s="76"/>
      <c r="C94" s="76"/>
      <c r="D94" s="76"/>
      <c r="E94" s="76"/>
      <c r="F94" s="76"/>
      <c r="G94" s="76"/>
      <c r="H94" t="str">
        <f t="shared" si="2"/>
        <v/>
      </c>
    </row>
    <row r="95" spans="1:8" s="77" customFormat="1" ht="23.25" customHeight="1" x14ac:dyDescent="0.25">
      <c r="A95" s="76"/>
      <c r="B95" s="76"/>
      <c r="C95" s="76"/>
      <c r="D95" s="76"/>
      <c r="E95" s="76"/>
      <c r="F95" s="76"/>
      <c r="G95" s="76"/>
      <c r="H95" t="str">
        <f t="shared" si="2"/>
        <v/>
      </c>
    </row>
    <row r="96" spans="1:8" s="77" customFormat="1" ht="23.25" customHeight="1" x14ac:dyDescent="0.25">
      <c r="A96" s="76"/>
      <c r="B96" s="76"/>
      <c r="C96" s="76"/>
      <c r="D96" s="76"/>
      <c r="E96" s="76"/>
      <c r="F96" s="76"/>
      <c r="G96" s="76"/>
      <c r="H96" t="str">
        <f t="shared" si="2"/>
        <v/>
      </c>
    </row>
    <row r="97" spans="1:8" s="77" customFormat="1" ht="23.25" customHeight="1" x14ac:dyDescent="0.25">
      <c r="A97" s="76"/>
      <c r="B97" s="76"/>
      <c r="C97" s="76"/>
      <c r="D97" s="76"/>
      <c r="E97" s="76"/>
      <c r="F97" s="76"/>
      <c r="G97" s="76"/>
      <c r="H97" t="str">
        <f t="shared" si="2"/>
        <v/>
      </c>
    </row>
    <row r="98" spans="1:8" s="77" customFormat="1" ht="23.25" customHeight="1" x14ac:dyDescent="0.25">
      <c r="A98" s="76"/>
      <c r="B98" s="76"/>
      <c r="C98" s="76"/>
      <c r="D98" s="76"/>
      <c r="E98" s="76"/>
      <c r="F98" s="76"/>
      <c r="G98" s="76"/>
      <c r="H98" t="str">
        <f t="shared" si="2"/>
        <v/>
      </c>
    </row>
    <row r="99" spans="1:8" s="77" customFormat="1" ht="23.25" customHeight="1" x14ac:dyDescent="0.25">
      <c r="A99" s="76"/>
      <c r="B99" s="76"/>
      <c r="C99" s="76"/>
      <c r="D99" s="76"/>
      <c r="E99" s="76"/>
      <c r="F99" s="76"/>
      <c r="G99" s="76"/>
      <c r="H99" t="str">
        <f t="shared" si="2"/>
        <v/>
      </c>
    </row>
    <row r="100" spans="1:8" s="77" customFormat="1" ht="23.25" customHeight="1" x14ac:dyDescent="0.25">
      <c r="A100" s="76"/>
      <c r="B100" s="76"/>
      <c r="C100" s="76"/>
      <c r="D100" s="76"/>
      <c r="E100" s="76"/>
      <c r="F100" s="76"/>
      <c r="G100" s="76"/>
      <c r="H100" t="str">
        <f t="shared" si="2"/>
        <v/>
      </c>
    </row>
    <row r="101" spans="1:8" s="77" customFormat="1" ht="23.25" customHeight="1" x14ac:dyDescent="0.25">
      <c r="A101" s="76"/>
      <c r="B101" s="76"/>
      <c r="C101" s="76"/>
      <c r="D101" s="76"/>
      <c r="E101" s="76"/>
      <c r="F101" s="76"/>
      <c r="G101" s="76"/>
      <c r="H101" t="str">
        <f t="shared" si="2"/>
        <v/>
      </c>
    </row>
    <row r="102" spans="1:8" s="77" customFormat="1" ht="23.25" customHeight="1" x14ac:dyDescent="0.25">
      <c r="A102" s="76"/>
      <c r="B102" s="76"/>
      <c r="C102" s="76"/>
      <c r="D102" s="76"/>
      <c r="E102" s="76"/>
      <c r="F102" s="76"/>
      <c r="G102" s="76"/>
      <c r="H102" t="str">
        <f t="shared" si="2"/>
        <v/>
      </c>
    </row>
    <row r="103" spans="1:8" s="77" customFormat="1" ht="23.25" customHeight="1" x14ac:dyDescent="0.25">
      <c r="A103" s="76"/>
      <c r="B103" s="76"/>
      <c r="C103" s="76"/>
      <c r="D103" s="76"/>
      <c r="E103" s="76"/>
      <c r="F103" s="76"/>
      <c r="G103" s="76"/>
      <c r="H103" t="str">
        <f t="shared" si="2"/>
        <v/>
      </c>
    </row>
    <row r="104" spans="1:8" s="77" customFormat="1" ht="23.25" customHeight="1" x14ac:dyDescent="0.25">
      <c r="A104" s="76"/>
      <c r="B104" s="76"/>
      <c r="C104" s="76"/>
      <c r="D104" s="76"/>
      <c r="E104" s="76"/>
      <c r="F104" s="76"/>
      <c r="G104" s="76"/>
      <c r="H104" t="str">
        <f t="shared" si="2"/>
        <v/>
      </c>
    </row>
    <row r="105" spans="1:8" s="77" customFormat="1" ht="23.25" customHeight="1" x14ac:dyDescent="0.25">
      <c r="A105" s="76"/>
      <c r="B105" s="76"/>
      <c r="C105" s="76"/>
      <c r="D105" s="76"/>
      <c r="E105" s="76"/>
      <c r="F105" s="76"/>
      <c r="G105" s="76"/>
      <c r="H105" t="str">
        <f t="shared" si="2"/>
        <v/>
      </c>
    </row>
    <row r="106" spans="1:8" s="77" customFormat="1" ht="23.25" customHeight="1" x14ac:dyDescent="0.25">
      <c r="A106" s="76"/>
      <c r="B106" s="76"/>
      <c r="C106" s="76"/>
      <c r="D106" s="76"/>
      <c r="E106" s="76"/>
      <c r="F106" s="76"/>
      <c r="G106" s="76"/>
      <c r="H106" t="str">
        <f t="shared" si="2"/>
        <v/>
      </c>
    </row>
    <row r="107" spans="1:8" s="77" customFormat="1" ht="23.25" customHeight="1" x14ac:dyDescent="0.25">
      <c r="A107" s="76"/>
      <c r="B107" s="76"/>
      <c r="C107" s="76"/>
      <c r="D107" s="76"/>
      <c r="E107" s="76"/>
      <c r="F107" s="76"/>
      <c r="G107" s="76"/>
      <c r="H107" t="str">
        <f t="shared" si="2"/>
        <v/>
      </c>
    </row>
    <row r="108" spans="1:8" s="77" customFormat="1" ht="23.25" customHeight="1" x14ac:dyDescent="0.25">
      <c r="A108" s="76"/>
      <c r="B108" s="76"/>
      <c r="C108" s="76"/>
      <c r="D108" s="76"/>
      <c r="E108" s="76"/>
      <c r="F108" s="76"/>
      <c r="G108" s="76"/>
      <c r="H108" t="str">
        <f t="shared" si="2"/>
        <v/>
      </c>
    </row>
    <row r="109" spans="1:8" s="77" customFormat="1" ht="23.25" customHeight="1" x14ac:dyDescent="0.25">
      <c r="A109" s="76"/>
      <c r="B109" s="76"/>
      <c r="C109" s="76"/>
      <c r="D109" s="76"/>
      <c r="E109" s="76"/>
      <c r="F109" s="76"/>
      <c r="G109" s="76"/>
      <c r="H109" t="str">
        <f t="shared" si="2"/>
        <v/>
      </c>
    </row>
    <row r="110" spans="1:8" s="77" customFormat="1" ht="23.25" customHeight="1" x14ac:dyDescent="0.25">
      <c r="A110" s="76"/>
      <c r="B110" s="76"/>
      <c r="C110" s="76"/>
      <c r="D110" s="76"/>
      <c r="E110" s="76"/>
      <c r="F110" s="76"/>
      <c r="G110" s="76"/>
      <c r="H110" t="str">
        <f t="shared" si="2"/>
        <v/>
      </c>
    </row>
    <row r="111" spans="1:8" s="77" customFormat="1" ht="23.25" customHeight="1" x14ac:dyDescent="0.25">
      <c r="A111" s="76"/>
      <c r="B111" s="76"/>
      <c r="C111" s="76"/>
      <c r="D111" s="76"/>
      <c r="E111" s="76"/>
      <c r="F111" s="76"/>
      <c r="G111" s="76"/>
      <c r="H111" t="str">
        <f t="shared" si="2"/>
        <v/>
      </c>
    </row>
    <row r="112" spans="1:8" s="77" customFormat="1" ht="23.25" customHeight="1" x14ac:dyDescent="0.25">
      <c r="A112" s="76"/>
      <c r="B112" s="76"/>
      <c r="C112" s="76"/>
      <c r="D112" s="76"/>
      <c r="E112" s="76"/>
      <c r="F112" s="76"/>
      <c r="G112" s="76"/>
      <c r="H112" t="str">
        <f t="shared" si="2"/>
        <v/>
      </c>
    </row>
    <row r="113" spans="1:8" s="77" customFormat="1" ht="23.25" customHeight="1" x14ac:dyDescent="0.25">
      <c r="A113" s="76"/>
      <c r="B113" s="76"/>
      <c r="C113" s="76"/>
      <c r="D113" s="76"/>
      <c r="E113" s="76"/>
      <c r="F113" s="76"/>
      <c r="G113" s="76"/>
      <c r="H113" t="str">
        <f t="shared" si="2"/>
        <v/>
      </c>
    </row>
    <row r="114" spans="1:8" s="77" customFormat="1" ht="23.25" customHeight="1" x14ac:dyDescent="0.25">
      <c r="A114" s="76"/>
      <c r="B114" s="76"/>
      <c r="C114" s="76"/>
      <c r="D114" s="76"/>
      <c r="E114" s="76"/>
      <c r="F114" s="76"/>
      <c r="G114" s="76"/>
      <c r="H114" t="str">
        <f t="shared" si="2"/>
        <v/>
      </c>
    </row>
    <row r="115" spans="1:8" s="77" customFormat="1" ht="23.25" customHeight="1" x14ac:dyDescent="0.25">
      <c r="A115" s="76"/>
      <c r="B115" s="76"/>
      <c r="C115" s="76"/>
      <c r="D115" s="76"/>
      <c r="E115" s="76"/>
      <c r="F115" s="76"/>
      <c r="G115" s="76"/>
      <c r="H115" t="str">
        <f t="shared" si="2"/>
        <v/>
      </c>
    </row>
    <row r="116" spans="1:8" s="77" customFormat="1" ht="23.25" customHeight="1" x14ac:dyDescent="0.25">
      <c r="A116" s="76"/>
      <c r="B116" s="76"/>
      <c r="C116" s="76"/>
      <c r="D116" s="76"/>
      <c r="E116" s="76"/>
      <c r="F116" s="76"/>
      <c r="G116" s="76"/>
      <c r="H116" t="str">
        <f t="shared" si="2"/>
        <v/>
      </c>
    </row>
    <row r="117" spans="1:8" s="77" customFormat="1" ht="23.25" customHeight="1" x14ac:dyDescent="0.25">
      <c r="A117" s="76"/>
      <c r="B117" s="76"/>
      <c r="C117" s="76"/>
      <c r="D117" s="76"/>
      <c r="E117" s="76"/>
      <c r="F117" s="76"/>
      <c r="G117" s="76"/>
      <c r="H117" t="str">
        <f t="shared" si="2"/>
        <v/>
      </c>
    </row>
    <row r="118" spans="1:8" s="77" customFormat="1" ht="23.25" customHeight="1" x14ac:dyDescent="0.25">
      <c r="A118" s="76"/>
      <c r="B118" s="76"/>
      <c r="C118" s="76"/>
      <c r="D118" s="76"/>
      <c r="E118" s="76"/>
      <c r="F118" s="76"/>
      <c r="G118" s="76"/>
      <c r="H118" t="str">
        <f t="shared" si="2"/>
        <v/>
      </c>
    </row>
    <row r="119" spans="1:8" s="77" customFormat="1" ht="23.25" customHeight="1" x14ac:dyDescent="0.25">
      <c r="A119" s="76"/>
      <c r="B119" s="76"/>
      <c r="C119" s="76"/>
      <c r="D119" s="76"/>
      <c r="E119" s="76"/>
      <c r="F119" s="76"/>
      <c r="G119" s="76"/>
      <c r="H119" t="str">
        <f t="shared" si="2"/>
        <v/>
      </c>
    </row>
    <row r="120" spans="1:8" s="77" customFormat="1" ht="23.25" customHeight="1" x14ac:dyDescent="0.25">
      <c r="A120" s="76"/>
      <c r="B120" s="76"/>
      <c r="C120" s="76"/>
      <c r="D120" s="76"/>
      <c r="E120" s="76"/>
      <c r="F120" s="76"/>
      <c r="G120" s="76"/>
      <c r="H120" t="str">
        <f t="shared" si="2"/>
        <v/>
      </c>
    </row>
    <row r="121" spans="1:8" s="77" customFormat="1" ht="23.25" customHeight="1" x14ac:dyDescent="0.25">
      <c r="A121" s="76"/>
      <c r="B121" s="76"/>
      <c r="C121" s="76"/>
      <c r="D121" s="76"/>
      <c r="E121" s="76"/>
      <c r="F121" s="76"/>
      <c r="G121" s="76"/>
      <c r="H121" t="str">
        <f t="shared" si="2"/>
        <v/>
      </c>
    </row>
    <row r="122" spans="1:8" s="77" customFormat="1" ht="23.25" customHeight="1" x14ac:dyDescent="0.25">
      <c r="A122" s="76"/>
      <c r="B122" s="76"/>
      <c r="C122" s="76"/>
      <c r="D122" s="76"/>
      <c r="E122" s="76"/>
      <c r="F122" s="76"/>
      <c r="G122" s="76"/>
      <c r="H122" t="str">
        <f t="shared" si="2"/>
        <v/>
      </c>
    </row>
    <row r="123" spans="1:8" s="77" customFormat="1" ht="23.25" customHeight="1" x14ac:dyDescent="0.25">
      <c r="A123" s="76"/>
      <c r="B123" s="76"/>
      <c r="C123" s="76"/>
      <c r="D123" s="76"/>
      <c r="E123" s="76"/>
      <c r="F123" s="76"/>
      <c r="G123" s="76"/>
      <c r="H123" t="str">
        <f t="shared" si="2"/>
        <v/>
      </c>
    </row>
    <row r="124" spans="1:8" s="77" customFormat="1" ht="23.25" customHeight="1" x14ac:dyDescent="0.25">
      <c r="A124" s="76"/>
      <c r="B124" s="76"/>
      <c r="C124" s="76"/>
      <c r="D124" s="76"/>
      <c r="E124" s="76"/>
      <c r="F124" s="76"/>
      <c r="G124" s="76"/>
      <c r="H124" t="str">
        <f t="shared" si="2"/>
        <v/>
      </c>
    </row>
    <row r="125" spans="1:8" s="77" customFormat="1" ht="23.25" customHeight="1" x14ac:dyDescent="0.25">
      <c r="A125" s="76"/>
      <c r="B125" s="76"/>
      <c r="C125" s="76"/>
      <c r="D125" s="76"/>
      <c r="E125" s="76"/>
      <c r="F125" s="76"/>
      <c r="G125" s="76"/>
      <c r="H125" t="str">
        <f t="shared" si="2"/>
        <v/>
      </c>
    </row>
    <row r="126" spans="1:8" s="77" customFormat="1" ht="23.25" customHeight="1" x14ac:dyDescent="0.25">
      <c r="A126" s="76"/>
      <c r="B126" s="76"/>
      <c r="C126" s="76"/>
      <c r="D126" s="76"/>
      <c r="E126" s="76"/>
      <c r="F126" s="76"/>
      <c r="G126" s="76"/>
      <c r="H126" t="str">
        <f t="shared" si="2"/>
        <v/>
      </c>
    </row>
    <row r="127" spans="1:8" s="77" customFormat="1" ht="23.25" customHeight="1" x14ac:dyDescent="0.25">
      <c r="A127" s="76"/>
      <c r="B127" s="76"/>
      <c r="C127" s="76"/>
      <c r="D127" s="76"/>
      <c r="E127" s="76"/>
      <c r="F127" s="76"/>
      <c r="G127" s="76"/>
      <c r="H127" t="str">
        <f t="shared" si="2"/>
        <v/>
      </c>
    </row>
    <row r="128" spans="1:8" s="77" customFormat="1" ht="23.25" customHeight="1" x14ac:dyDescent="0.25">
      <c r="A128" s="76"/>
      <c r="B128" s="76"/>
      <c r="C128" s="76"/>
      <c r="D128" s="76"/>
      <c r="E128" s="76"/>
      <c r="F128" s="76"/>
      <c r="G128" s="76"/>
      <c r="H128" t="str">
        <f t="shared" si="2"/>
        <v/>
      </c>
    </row>
    <row r="129" spans="1:8" s="77" customFormat="1" ht="23.25" customHeight="1" x14ac:dyDescent="0.25">
      <c r="A129" s="76"/>
      <c r="B129" s="76"/>
      <c r="C129" s="76"/>
      <c r="D129" s="76"/>
      <c r="E129" s="76"/>
      <c r="F129" s="76"/>
      <c r="G129" s="76"/>
      <c r="H129" t="str">
        <f t="shared" si="2"/>
        <v/>
      </c>
    </row>
    <row r="130" spans="1:8" s="77" customFormat="1" ht="23.25" customHeight="1" x14ac:dyDescent="0.25">
      <c r="A130" s="76"/>
      <c r="B130" s="76"/>
      <c r="C130" s="76"/>
      <c r="D130" s="76"/>
      <c r="E130" s="76"/>
      <c r="F130" s="76"/>
      <c r="G130" s="76"/>
      <c r="H130" t="str">
        <f t="shared" si="2"/>
        <v/>
      </c>
    </row>
    <row r="131" spans="1:8" s="77" customFormat="1" ht="23.25" customHeight="1" x14ac:dyDescent="0.25">
      <c r="A131" s="76"/>
      <c r="B131" s="76"/>
      <c r="C131" s="76"/>
      <c r="D131" s="76"/>
      <c r="E131" s="76"/>
      <c r="F131" s="76"/>
      <c r="G131" s="76"/>
      <c r="H131" t="str">
        <f t="shared" si="2"/>
        <v/>
      </c>
    </row>
    <row r="132" spans="1:8" s="77" customFormat="1" ht="23.25" customHeight="1" x14ac:dyDescent="0.25">
      <c r="A132" s="76"/>
      <c r="B132" s="76"/>
      <c r="C132" s="76"/>
      <c r="D132" s="76"/>
      <c r="E132" s="76"/>
      <c r="F132" s="76"/>
      <c r="G132" s="76"/>
      <c r="H132" t="str">
        <f t="shared" si="2"/>
        <v/>
      </c>
    </row>
    <row r="133" spans="1:8" s="77" customFormat="1" ht="23.25" customHeight="1" x14ac:dyDescent="0.25">
      <c r="A133" s="76"/>
      <c r="B133" s="76"/>
      <c r="C133" s="76"/>
      <c r="D133" s="76"/>
      <c r="E133" s="76"/>
      <c r="F133" s="76"/>
      <c r="G133" s="76"/>
      <c r="H133" t="str">
        <f t="shared" si="2"/>
        <v/>
      </c>
    </row>
    <row r="134" spans="1:8" s="77" customFormat="1" ht="23.25" customHeight="1" x14ac:dyDescent="0.25">
      <c r="A134" s="76"/>
      <c r="B134" s="76"/>
      <c r="C134" s="76"/>
      <c r="D134" s="76"/>
      <c r="E134" s="76"/>
      <c r="F134" s="76"/>
      <c r="G134" s="76"/>
      <c r="H134" t="str">
        <f t="shared" si="2"/>
        <v/>
      </c>
    </row>
    <row r="135" spans="1:8" s="77" customFormat="1" ht="23.25" customHeight="1" x14ac:dyDescent="0.25">
      <c r="A135" s="76"/>
      <c r="B135" s="76"/>
      <c r="C135" s="76"/>
      <c r="D135" s="76"/>
      <c r="E135" s="76"/>
      <c r="F135" s="76"/>
      <c r="G135" s="76"/>
      <c r="H135" t="str">
        <f t="shared" si="2"/>
        <v/>
      </c>
    </row>
    <row r="136" spans="1:8" s="77" customFormat="1" ht="23.25" customHeight="1" x14ac:dyDescent="0.25">
      <c r="A136" s="76"/>
      <c r="B136" s="76"/>
      <c r="C136" s="76"/>
      <c r="D136" s="76"/>
      <c r="E136" s="76"/>
      <c r="F136" s="76"/>
      <c r="G136" s="76"/>
      <c r="H136" t="str">
        <f t="shared" si="2"/>
        <v/>
      </c>
    </row>
    <row r="137" spans="1:8" s="77" customFormat="1" ht="23.25" customHeight="1" x14ac:dyDescent="0.25">
      <c r="A137" s="76"/>
      <c r="B137" s="76"/>
      <c r="C137" s="76"/>
      <c r="D137" s="76"/>
      <c r="E137" s="76"/>
      <c r="F137" s="76"/>
      <c r="G137" s="76"/>
      <c r="H137" t="str">
        <f t="shared" si="2"/>
        <v/>
      </c>
    </row>
    <row r="138" spans="1:8" s="77" customFormat="1" ht="23.25" customHeight="1" x14ac:dyDescent="0.25">
      <c r="A138" s="76"/>
      <c r="B138" s="76"/>
      <c r="C138" s="76"/>
      <c r="D138" s="76"/>
      <c r="E138" s="76"/>
      <c r="F138" s="76"/>
      <c r="G138" s="76"/>
      <c r="H138" t="str">
        <f t="shared" si="2"/>
        <v/>
      </c>
    </row>
    <row r="139" spans="1:8" s="77" customFormat="1" ht="23.25" customHeight="1" x14ac:dyDescent="0.25">
      <c r="A139" s="76"/>
      <c r="B139" s="76"/>
      <c r="C139" s="76"/>
      <c r="D139" s="76"/>
      <c r="E139" s="76"/>
      <c r="F139" s="76"/>
      <c r="G139" s="76"/>
      <c r="H139" t="str">
        <f t="shared" si="2"/>
        <v/>
      </c>
    </row>
    <row r="140" spans="1:8" s="77" customFormat="1" ht="23.25" customHeight="1" x14ac:dyDescent="0.25">
      <c r="A140" s="76"/>
      <c r="B140" s="76"/>
      <c r="C140" s="76"/>
      <c r="D140" s="76"/>
      <c r="E140" s="76"/>
      <c r="F140" s="76"/>
      <c r="G140" s="76"/>
      <c r="H140" t="str">
        <f t="shared" si="2"/>
        <v/>
      </c>
    </row>
    <row r="141" spans="1:8" s="77" customFormat="1" ht="23.25" customHeight="1" x14ac:dyDescent="0.25">
      <c r="A141" s="76"/>
      <c r="B141" s="76"/>
      <c r="C141" s="76"/>
      <c r="D141" s="76"/>
      <c r="E141" s="76"/>
      <c r="F141" s="76"/>
      <c r="G141" s="76"/>
      <c r="H141" t="str">
        <f t="shared" si="2"/>
        <v/>
      </c>
    </row>
    <row r="142" spans="1:8" s="77" customFormat="1" ht="23.25" customHeight="1" x14ac:dyDescent="0.25">
      <c r="A142" s="76"/>
      <c r="B142" s="76"/>
      <c r="C142" s="76"/>
      <c r="D142" s="76"/>
      <c r="E142" s="76"/>
      <c r="F142" s="76"/>
      <c r="G142" s="76"/>
      <c r="H142" t="str">
        <f t="shared" si="2"/>
        <v/>
      </c>
    </row>
    <row r="143" spans="1:8" s="77" customFormat="1" ht="23.25" customHeight="1" x14ac:dyDescent="0.25">
      <c r="A143" s="76"/>
      <c r="B143" s="76"/>
      <c r="C143" s="76"/>
      <c r="D143" s="76"/>
      <c r="E143" s="76"/>
      <c r="F143" s="76"/>
      <c r="G143" s="76"/>
      <c r="H143" t="str">
        <f t="shared" si="2"/>
        <v/>
      </c>
    </row>
    <row r="144" spans="1:8" s="77" customFormat="1" ht="23.25" customHeight="1" x14ac:dyDescent="0.25">
      <c r="A144" s="76"/>
      <c r="B144" s="76"/>
      <c r="C144" s="76"/>
      <c r="D144" s="76"/>
      <c r="E144" s="76"/>
      <c r="F144" s="76"/>
      <c r="G144" s="76"/>
      <c r="H144" t="str">
        <f t="shared" si="2"/>
        <v/>
      </c>
    </row>
    <row r="145" spans="1:8" s="77" customFormat="1" ht="23.25" customHeight="1" x14ac:dyDescent="0.25">
      <c r="A145" s="76"/>
      <c r="B145" s="76"/>
      <c r="C145" s="76"/>
      <c r="D145" s="76"/>
      <c r="E145" s="76"/>
      <c r="F145" s="76"/>
      <c r="G145" s="76"/>
      <c r="H145" t="str">
        <f t="shared" si="2"/>
        <v/>
      </c>
    </row>
    <row r="146" spans="1:8" s="77" customFormat="1" ht="23.25" customHeight="1" x14ac:dyDescent="0.25">
      <c r="A146" s="76"/>
      <c r="B146" s="76"/>
      <c r="C146" s="76"/>
      <c r="D146" s="76"/>
      <c r="E146" s="76"/>
      <c r="F146" s="76"/>
      <c r="G146" s="76"/>
      <c r="H146" t="str">
        <f t="shared" si="2"/>
        <v/>
      </c>
    </row>
    <row r="147" spans="1:8" s="77" customFormat="1" ht="23.25" customHeight="1" x14ac:dyDescent="0.25">
      <c r="A147" s="76"/>
      <c r="B147" s="76"/>
      <c r="C147" s="76"/>
      <c r="D147" s="76"/>
      <c r="E147" s="76"/>
      <c r="F147" s="76"/>
      <c r="G147" s="76"/>
      <c r="H147" t="str">
        <f t="shared" si="2"/>
        <v/>
      </c>
    </row>
    <row r="148" spans="1:8" s="77" customFormat="1" ht="23.25" customHeight="1" x14ac:dyDescent="0.25">
      <c r="A148" s="76"/>
      <c r="B148" s="76"/>
      <c r="C148" s="76"/>
      <c r="D148" s="76"/>
      <c r="E148" s="76"/>
      <c r="F148" s="76"/>
      <c r="G148" s="76"/>
      <c r="H148" t="str">
        <f t="shared" si="2"/>
        <v/>
      </c>
    </row>
    <row r="149" spans="1:8" s="77" customFormat="1" ht="23.25" customHeight="1" x14ac:dyDescent="0.25">
      <c r="A149" s="76"/>
      <c r="B149" s="76"/>
      <c r="C149" s="76"/>
      <c r="D149" s="76"/>
      <c r="E149" s="76"/>
      <c r="F149" s="76"/>
      <c r="G149" s="76"/>
      <c r="H149" t="str">
        <f t="shared" si="2"/>
        <v/>
      </c>
    </row>
    <row r="150" spans="1:8" s="77" customFormat="1" ht="23.25" customHeight="1" x14ac:dyDescent="0.25">
      <c r="A150" s="76"/>
      <c r="B150" s="76"/>
      <c r="C150" s="76"/>
      <c r="D150" s="76"/>
      <c r="E150" s="76"/>
      <c r="F150" s="76"/>
      <c r="G150" s="76"/>
      <c r="H150" t="str">
        <f t="shared" si="2"/>
        <v/>
      </c>
    </row>
    <row r="151" spans="1:8" s="77" customFormat="1" ht="23.25" customHeight="1" x14ac:dyDescent="0.25">
      <c r="A151" s="76"/>
      <c r="B151" s="76"/>
      <c r="C151" s="76"/>
      <c r="D151" s="76"/>
      <c r="E151" s="76"/>
      <c r="F151" s="76"/>
      <c r="G151" s="76"/>
      <c r="H151" t="str">
        <f t="shared" si="2"/>
        <v/>
      </c>
    </row>
    <row r="152" spans="1:8" s="77" customFormat="1" ht="23.25" customHeight="1" x14ac:dyDescent="0.25">
      <c r="A152" s="76"/>
      <c r="B152" s="76"/>
      <c r="C152" s="76"/>
      <c r="D152" s="76"/>
      <c r="E152" s="76"/>
      <c r="F152" s="76"/>
      <c r="G152" s="76"/>
      <c r="H152" t="str">
        <f t="shared" si="2"/>
        <v/>
      </c>
    </row>
    <row r="153" spans="1:8" s="77" customFormat="1" ht="23.25" customHeight="1" x14ac:dyDescent="0.25">
      <c r="A153" s="76"/>
      <c r="B153" s="76"/>
      <c r="C153" s="76"/>
      <c r="D153" s="76"/>
      <c r="E153" s="76"/>
      <c r="F153" s="76"/>
      <c r="G153" s="76"/>
      <c r="H153" t="str">
        <f t="shared" si="2"/>
        <v/>
      </c>
    </row>
    <row r="154" spans="1:8" s="77" customFormat="1" ht="23.25" customHeight="1" x14ac:dyDescent="0.25">
      <c r="A154" s="76"/>
      <c r="B154" s="76"/>
      <c r="C154" s="76"/>
      <c r="D154" s="76"/>
      <c r="E154" s="76"/>
      <c r="F154" s="76"/>
      <c r="G154" s="76"/>
      <c r="H154" t="str">
        <f t="shared" si="2"/>
        <v/>
      </c>
    </row>
    <row r="155" spans="1:8" s="77" customFormat="1" ht="23.25" customHeight="1" x14ac:dyDescent="0.25">
      <c r="A155" s="76"/>
      <c r="B155" s="76"/>
      <c r="C155" s="76"/>
      <c r="D155" s="76"/>
      <c r="E155" s="76"/>
      <c r="F155" s="76"/>
      <c r="G155" s="76"/>
      <c r="H155" t="str">
        <f t="shared" ref="H155:H218" si="3">IF(ISBLANK(A155),"",SUM(B155:G155))</f>
        <v/>
      </c>
    </row>
    <row r="156" spans="1:8" s="77" customFormat="1" ht="23.25" customHeight="1" x14ac:dyDescent="0.25">
      <c r="A156" s="76"/>
      <c r="B156" s="76"/>
      <c r="C156" s="76"/>
      <c r="D156" s="76"/>
      <c r="E156" s="76"/>
      <c r="F156" s="76"/>
      <c r="G156" s="76"/>
      <c r="H156" t="str">
        <f t="shared" si="3"/>
        <v/>
      </c>
    </row>
    <row r="157" spans="1:8" s="77" customFormat="1" ht="23.25" customHeight="1" x14ac:dyDescent="0.25">
      <c r="A157" s="76"/>
      <c r="B157" s="76"/>
      <c r="C157" s="76"/>
      <c r="D157" s="76"/>
      <c r="E157" s="76"/>
      <c r="F157" s="76"/>
      <c r="G157" s="76"/>
      <c r="H157" t="str">
        <f t="shared" si="3"/>
        <v/>
      </c>
    </row>
    <row r="158" spans="1:8" s="77" customFormat="1" ht="23.25" customHeight="1" x14ac:dyDescent="0.25">
      <c r="A158" s="76"/>
      <c r="B158" s="76"/>
      <c r="C158" s="76"/>
      <c r="D158" s="76"/>
      <c r="E158" s="76"/>
      <c r="F158" s="76"/>
      <c r="G158" s="76"/>
      <c r="H158" t="str">
        <f t="shared" si="3"/>
        <v/>
      </c>
    </row>
    <row r="159" spans="1:8" s="77" customFormat="1" ht="23.25" customHeight="1" x14ac:dyDescent="0.25">
      <c r="A159" s="76"/>
      <c r="B159" s="76"/>
      <c r="C159" s="76"/>
      <c r="D159" s="76"/>
      <c r="E159" s="76"/>
      <c r="F159" s="76"/>
      <c r="G159" s="76"/>
      <c r="H159" t="str">
        <f t="shared" si="3"/>
        <v/>
      </c>
    </row>
    <row r="160" spans="1:8" s="77" customFormat="1" ht="23.25" customHeight="1" x14ac:dyDescent="0.25">
      <c r="A160" s="76"/>
      <c r="B160" s="76"/>
      <c r="C160" s="76"/>
      <c r="D160" s="76"/>
      <c r="E160" s="76"/>
      <c r="F160" s="76"/>
      <c r="G160" s="76"/>
      <c r="H160" t="str">
        <f t="shared" si="3"/>
        <v/>
      </c>
    </row>
    <row r="161" spans="1:8" s="77" customFormat="1" ht="23.25" customHeight="1" x14ac:dyDescent="0.25">
      <c r="A161" s="76"/>
      <c r="B161" s="76"/>
      <c r="C161" s="76"/>
      <c r="D161" s="76"/>
      <c r="E161" s="76"/>
      <c r="F161" s="76"/>
      <c r="G161" s="76"/>
      <c r="H161" t="str">
        <f t="shared" si="3"/>
        <v/>
      </c>
    </row>
    <row r="162" spans="1:8" s="77" customFormat="1" ht="23.25" customHeight="1" x14ac:dyDescent="0.25">
      <c r="A162" s="76"/>
      <c r="B162" s="76"/>
      <c r="C162" s="76"/>
      <c r="D162" s="76"/>
      <c r="E162" s="76"/>
      <c r="F162" s="76"/>
      <c r="G162" s="76"/>
      <c r="H162" t="str">
        <f t="shared" si="3"/>
        <v/>
      </c>
    </row>
    <row r="163" spans="1:8" s="77" customFormat="1" ht="23.25" customHeight="1" x14ac:dyDescent="0.25">
      <c r="A163" s="76"/>
      <c r="B163" s="76"/>
      <c r="C163" s="76"/>
      <c r="D163" s="76"/>
      <c r="E163" s="76"/>
      <c r="F163" s="76"/>
      <c r="G163" s="76"/>
      <c r="H163" t="str">
        <f t="shared" si="3"/>
        <v/>
      </c>
    </row>
    <row r="164" spans="1:8" s="77" customFormat="1" ht="23.25" customHeight="1" x14ac:dyDescent="0.25">
      <c r="A164" s="76"/>
      <c r="B164" s="76"/>
      <c r="C164" s="76"/>
      <c r="D164" s="76"/>
      <c r="E164" s="76"/>
      <c r="F164" s="76"/>
      <c r="G164" s="76"/>
      <c r="H164" t="str">
        <f t="shared" si="3"/>
        <v/>
      </c>
    </row>
    <row r="165" spans="1:8" s="77" customFormat="1" ht="23.25" customHeight="1" x14ac:dyDescent="0.25">
      <c r="A165" s="76"/>
      <c r="B165" s="76"/>
      <c r="C165" s="76"/>
      <c r="D165" s="76"/>
      <c r="E165" s="76"/>
      <c r="F165" s="76"/>
      <c r="G165" s="76"/>
      <c r="H165" t="str">
        <f t="shared" si="3"/>
        <v/>
      </c>
    </row>
    <row r="166" spans="1:8" s="77" customFormat="1" ht="23.25" customHeight="1" x14ac:dyDescent="0.25">
      <c r="A166" s="76"/>
      <c r="B166" s="76"/>
      <c r="C166" s="76"/>
      <c r="D166" s="76"/>
      <c r="E166" s="76"/>
      <c r="F166" s="76"/>
      <c r="G166" s="76"/>
      <c r="H166" t="str">
        <f t="shared" si="3"/>
        <v/>
      </c>
    </row>
    <row r="167" spans="1:8" s="77" customFormat="1" ht="23.25" customHeight="1" x14ac:dyDescent="0.25">
      <c r="A167" s="76"/>
      <c r="B167" s="76"/>
      <c r="C167" s="76"/>
      <c r="D167" s="76"/>
      <c r="E167" s="76"/>
      <c r="F167" s="76"/>
      <c r="G167" s="76"/>
      <c r="H167" t="str">
        <f t="shared" si="3"/>
        <v/>
      </c>
    </row>
    <row r="168" spans="1:8" s="77" customFormat="1" ht="23.25" customHeight="1" x14ac:dyDescent="0.25">
      <c r="A168" s="76"/>
      <c r="B168" s="76"/>
      <c r="C168" s="76"/>
      <c r="D168" s="76"/>
      <c r="E168" s="76"/>
      <c r="F168" s="76"/>
      <c r="G168" s="76"/>
      <c r="H168" t="str">
        <f t="shared" si="3"/>
        <v/>
      </c>
    </row>
    <row r="169" spans="1:8" s="77" customFormat="1" ht="23.25" customHeight="1" x14ac:dyDescent="0.25">
      <c r="A169" s="76"/>
      <c r="B169" s="76"/>
      <c r="C169" s="76"/>
      <c r="D169" s="76"/>
      <c r="E169" s="76"/>
      <c r="F169" s="76"/>
      <c r="G169" s="76"/>
      <c r="H169" t="str">
        <f t="shared" si="3"/>
        <v/>
      </c>
    </row>
    <row r="170" spans="1:8" s="77" customFormat="1" ht="23.25" customHeight="1" x14ac:dyDescent="0.25">
      <c r="A170" s="76"/>
      <c r="B170" s="76"/>
      <c r="C170" s="76"/>
      <c r="D170" s="76"/>
      <c r="E170" s="76"/>
      <c r="F170" s="76"/>
      <c r="G170" s="76"/>
      <c r="H170" t="str">
        <f t="shared" si="3"/>
        <v/>
      </c>
    </row>
    <row r="171" spans="1:8" s="77" customFormat="1" ht="23.25" customHeight="1" x14ac:dyDescent="0.25">
      <c r="A171" s="76"/>
      <c r="B171" s="76"/>
      <c r="C171" s="76"/>
      <c r="D171" s="76"/>
      <c r="E171" s="76"/>
      <c r="F171" s="76"/>
      <c r="G171" s="76"/>
      <c r="H171" t="str">
        <f t="shared" si="3"/>
        <v/>
      </c>
    </row>
    <row r="172" spans="1:8" s="77" customFormat="1" ht="23.25" customHeight="1" x14ac:dyDescent="0.25">
      <c r="A172" s="76"/>
      <c r="B172" s="76"/>
      <c r="C172" s="76"/>
      <c r="D172" s="76"/>
      <c r="E172" s="76"/>
      <c r="F172" s="76"/>
      <c r="G172" s="76"/>
      <c r="H172" t="str">
        <f t="shared" si="3"/>
        <v/>
      </c>
    </row>
    <row r="173" spans="1:8" s="77" customFormat="1" ht="23.25" customHeight="1" x14ac:dyDescent="0.25">
      <c r="A173" s="76"/>
      <c r="B173" s="76"/>
      <c r="C173" s="76"/>
      <c r="D173" s="76"/>
      <c r="E173" s="76"/>
      <c r="F173" s="76"/>
      <c r="G173" s="76"/>
      <c r="H173" t="str">
        <f t="shared" si="3"/>
        <v/>
      </c>
    </row>
    <row r="174" spans="1:8" s="77" customFormat="1" ht="23.25" customHeight="1" x14ac:dyDescent="0.25">
      <c r="A174" s="76"/>
      <c r="B174" s="76"/>
      <c r="C174" s="76"/>
      <c r="D174" s="76"/>
      <c r="E174" s="76"/>
      <c r="F174" s="76"/>
      <c r="G174" s="76"/>
      <c r="H174" t="str">
        <f t="shared" si="3"/>
        <v/>
      </c>
    </row>
    <row r="175" spans="1:8" s="77" customFormat="1" ht="23.25" customHeight="1" x14ac:dyDescent="0.25">
      <c r="A175" s="76"/>
      <c r="B175" s="76"/>
      <c r="C175" s="76"/>
      <c r="D175" s="76"/>
      <c r="E175" s="76"/>
      <c r="F175" s="76"/>
      <c r="G175" s="76"/>
      <c r="H175" t="str">
        <f t="shared" si="3"/>
        <v/>
      </c>
    </row>
    <row r="176" spans="1:8" s="77" customFormat="1" ht="23.25" customHeight="1" x14ac:dyDescent="0.25">
      <c r="A176" s="76"/>
      <c r="B176" s="76"/>
      <c r="C176" s="76"/>
      <c r="D176" s="76"/>
      <c r="E176" s="76"/>
      <c r="F176" s="76"/>
      <c r="G176" s="76"/>
      <c r="H176" t="str">
        <f t="shared" si="3"/>
        <v/>
      </c>
    </row>
    <row r="177" spans="1:8" s="77" customFormat="1" ht="23.25" customHeight="1" x14ac:dyDescent="0.25">
      <c r="A177" s="76"/>
      <c r="B177" s="76"/>
      <c r="C177" s="76"/>
      <c r="D177" s="76"/>
      <c r="E177" s="76"/>
      <c r="F177" s="76"/>
      <c r="G177" s="76"/>
      <c r="H177" t="str">
        <f t="shared" si="3"/>
        <v/>
      </c>
    </row>
    <row r="178" spans="1:8" s="77" customFormat="1" ht="23.25" customHeight="1" x14ac:dyDescent="0.25">
      <c r="A178" s="76"/>
      <c r="B178" s="76"/>
      <c r="C178" s="76"/>
      <c r="D178" s="76"/>
      <c r="E178" s="76"/>
      <c r="F178" s="76"/>
      <c r="G178" s="76"/>
      <c r="H178" t="str">
        <f t="shared" si="3"/>
        <v/>
      </c>
    </row>
    <row r="179" spans="1:8" s="77" customFormat="1" ht="23.25" customHeight="1" x14ac:dyDescent="0.25">
      <c r="A179" s="76"/>
      <c r="B179" s="76"/>
      <c r="C179" s="76"/>
      <c r="D179" s="76"/>
      <c r="E179" s="76"/>
      <c r="F179" s="76"/>
      <c r="G179" s="76"/>
      <c r="H179" t="str">
        <f t="shared" si="3"/>
        <v/>
      </c>
    </row>
    <row r="180" spans="1:8" s="77" customFormat="1" ht="23.25" customHeight="1" x14ac:dyDescent="0.25">
      <c r="A180" s="76"/>
      <c r="B180" s="76"/>
      <c r="C180" s="76"/>
      <c r="D180" s="76"/>
      <c r="E180" s="76"/>
      <c r="F180" s="76"/>
      <c r="G180" s="76"/>
      <c r="H180" t="str">
        <f t="shared" si="3"/>
        <v/>
      </c>
    </row>
    <row r="181" spans="1:8" s="77" customFormat="1" ht="23.25" customHeight="1" x14ac:dyDescent="0.25">
      <c r="A181" s="76"/>
      <c r="B181" s="76"/>
      <c r="C181" s="76"/>
      <c r="D181" s="76"/>
      <c r="E181" s="76"/>
      <c r="F181" s="76"/>
      <c r="G181" s="76"/>
      <c r="H181" t="str">
        <f t="shared" si="3"/>
        <v/>
      </c>
    </row>
    <row r="182" spans="1:8" s="77" customFormat="1" ht="23.25" customHeight="1" x14ac:dyDescent="0.25">
      <c r="A182" s="76"/>
      <c r="B182" s="76"/>
      <c r="C182" s="76"/>
      <c r="D182" s="76"/>
      <c r="E182" s="76"/>
      <c r="F182" s="76"/>
      <c r="G182" s="76"/>
      <c r="H182" t="str">
        <f t="shared" si="3"/>
        <v/>
      </c>
    </row>
    <row r="183" spans="1:8" s="77" customFormat="1" ht="23.25" customHeight="1" x14ac:dyDescent="0.25">
      <c r="A183" s="76"/>
      <c r="B183" s="76"/>
      <c r="C183" s="76"/>
      <c r="D183" s="76"/>
      <c r="E183" s="76"/>
      <c r="F183" s="76"/>
      <c r="G183" s="76"/>
      <c r="H183" t="str">
        <f t="shared" si="3"/>
        <v/>
      </c>
    </row>
    <row r="184" spans="1:8" s="77" customFormat="1" ht="23.25" customHeight="1" x14ac:dyDescent="0.25">
      <c r="A184" s="76"/>
      <c r="B184" s="76"/>
      <c r="C184" s="76"/>
      <c r="D184" s="76"/>
      <c r="E184" s="76"/>
      <c r="F184" s="76"/>
      <c r="G184" s="76"/>
      <c r="H184" t="str">
        <f t="shared" si="3"/>
        <v/>
      </c>
    </row>
    <row r="185" spans="1:8" s="77" customFormat="1" ht="23.25" customHeight="1" x14ac:dyDescent="0.25">
      <c r="A185" s="76"/>
      <c r="B185" s="76"/>
      <c r="C185" s="76"/>
      <c r="D185" s="76"/>
      <c r="E185" s="76"/>
      <c r="F185" s="76"/>
      <c r="G185" s="76"/>
      <c r="H185" t="str">
        <f t="shared" si="3"/>
        <v/>
      </c>
    </row>
    <row r="186" spans="1:8" s="77" customFormat="1" ht="23.25" customHeight="1" x14ac:dyDescent="0.25">
      <c r="A186" s="76"/>
      <c r="B186" s="76"/>
      <c r="C186" s="76"/>
      <c r="D186" s="76"/>
      <c r="E186" s="76"/>
      <c r="F186" s="76"/>
      <c r="G186" s="76"/>
      <c r="H186" t="str">
        <f t="shared" si="3"/>
        <v/>
      </c>
    </row>
    <row r="187" spans="1:8" s="77" customFormat="1" ht="23.25" customHeight="1" x14ac:dyDescent="0.25">
      <c r="A187" s="76"/>
      <c r="B187" s="76"/>
      <c r="C187" s="76"/>
      <c r="D187" s="76"/>
      <c r="E187" s="76"/>
      <c r="F187" s="76"/>
      <c r="G187" s="76"/>
      <c r="H187" t="str">
        <f t="shared" si="3"/>
        <v/>
      </c>
    </row>
    <row r="188" spans="1:8" s="77" customFormat="1" ht="23.25" customHeight="1" x14ac:dyDescent="0.25">
      <c r="A188" s="76"/>
      <c r="B188" s="76"/>
      <c r="C188" s="76"/>
      <c r="D188" s="76"/>
      <c r="E188" s="76"/>
      <c r="F188" s="76"/>
      <c r="G188" s="76"/>
      <c r="H188" t="str">
        <f t="shared" si="3"/>
        <v/>
      </c>
    </row>
    <row r="189" spans="1:8" s="77" customFormat="1" ht="23.25" customHeight="1" x14ac:dyDescent="0.25">
      <c r="A189" s="76"/>
      <c r="B189" s="76"/>
      <c r="C189" s="76"/>
      <c r="D189" s="76"/>
      <c r="E189" s="76"/>
      <c r="F189" s="76"/>
      <c r="G189" s="76"/>
      <c r="H189" t="str">
        <f t="shared" si="3"/>
        <v/>
      </c>
    </row>
    <row r="190" spans="1:8" s="77" customFormat="1" ht="23.25" customHeight="1" x14ac:dyDescent="0.25">
      <c r="A190" s="76"/>
      <c r="B190" s="76"/>
      <c r="C190" s="76"/>
      <c r="D190" s="76"/>
      <c r="E190" s="76"/>
      <c r="F190" s="76"/>
      <c r="G190" s="76"/>
      <c r="H190" t="str">
        <f t="shared" si="3"/>
        <v/>
      </c>
    </row>
    <row r="191" spans="1:8" s="77" customFormat="1" ht="23.25" customHeight="1" x14ac:dyDescent="0.25">
      <c r="A191" s="76"/>
      <c r="B191" s="76"/>
      <c r="C191" s="76"/>
      <c r="D191" s="76"/>
      <c r="E191" s="76"/>
      <c r="F191" s="76"/>
      <c r="G191" s="76"/>
      <c r="H191" t="str">
        <f t="shared" si="3"/>
        <v/>
      </c>
    </row>
    <row r="192" spans="1:8" s="77" customFormat="1" ht="23.25" customHeight="1" x14ac:dyDescent="0.25">
      <c r="A192" s="76"/>
      <c r="B192" s="76"/>
      <c r="C192" s="76"/>
      <c r="D192" s="76"/>
      <c r="E192" s="76"/>
      <c r="F192" s="76"/>
      <c r="G192" s="76"/>
      <c r="H192" t="str">
        <f t="shared" si="3"/>
        <v/>
      </c>
    </row>
    <row r="193" spans="1:8" s="77" customFormat="1" ht="23.25" customHeight="1" x14ac:dyDescent="0.25">
      <c r="A193" s="76"/>
      <c r="B193" s="76"/>
      <c r="C193" s="76"/>
      <c r="D193" s="76"/>
      <c r="E193" s="76"/>
      <c r="F193" s="76"/>
      <c r="G193" s="76"/>
      <c r="H193" t="str">
        <f t="shared" si="3"/>
        <v/>
      </c>
    </row>
    <row r="194" spans="1:8" s="77" customFormat="1" ht="23.25" customHeight="1" x14ac:dyDescent="0.25">
      <c r="A194" s="76"/>
      <c r="B194" s="76"/>
      <c r="C194" s="76"/>
      <c r="D194" s="76"/>
      <c r="E194" s="76"/>
      <c r="F194" s="76"/>
      <c r="G194" s="76"/>
      <c r="H194" t="str">
        <f t="shared" si="3"/>
        <v/>
      </c>
    </row>
    <row r="195" spans="1:8" s="77" customFormat="1" ht="23.25" customHeight="1" x14ac:dyDescent="0.25">
      <c r="A195" s="76"/>
      <c r="B195" s="76"/>
      <c r="C195" s="76"/>
      <c r="D195" s="76"/>
      <c r="E195" s="76"/>
      <c r="F195" s="76"/>
      <c r="G195" s="76"/>
      <c r="H195" t="str">
        <f t="shared" si="3"/>
        <v/>
      </c>
    </row>
    <row r="196" spans="1:8" s="77" customFormat="1" ht="23.25" customHeight="1" x14ac:dyDescent="0.25">
      <c r="A196" s="76"/>
      <c r="B196" s="76"/>
      <c r="C196" s="76"/>
      <c r="D196" s="76"/>
      <c r="E196" s="76"/>
      <c r="F196" s="76"/>
      <c r="G196" s="76"/>
      <c r="H196" t="str">
        <f t="shared" si="3"/>
        <v/>
      </c>
    </row>
    <row r="197" spans="1:8" s="77" customFormat="1" ht="23.25" customHeight="1" x14ac:dyDescent="0.25">
      <c r="A197" s="76"/>
      <c r="B197" s="76"/>
      <c r="C197" s="76"/>
      <c r="D197" s="76"/>
      <c r="E197" s="76"/>
      <c r="F197" s="76"/>
      <c r="G197" s="76"/>
      <c r="H197" t="str">
        <f t="shared" si="3"/>
        <v/>
      </c>
    </row>
    <row r="198" spans="1:8" s="77" customFormat="1" ht="23.25" customHeight="1" x14ac:dyDescent="0.25">
      <c r="A198" s="76"/>
      <c r="B198" s="76"/>
      <c r="C198" s="76"/>
      <c r="D198" s="76"/>
      <c r="E198" s="76"/>
      <c r="F198" s="76"/>
      <c r="G198" s="76"/>
      <c r="H198" t="str">
        <f t="shared" si="3"/>
        <v/>
      </c>
    </row>
    <row r="199" spans="1:8" s="77" customFormat="1" ht="23.25" customHeight="1" x14ac:dyDescent="0.25">
      <c r="A199" s="76"/>
      <c r="B199" s="76"/>
      <c r="C199" s="76"/>
      <c r="D199" s="76"/>
      <c r="E199" s="76"/>
      <c r="F199" s="76"/>
      <c r="G199" s="76"/>
      <c r="H199" t="str">
        <f t="shared" si="3"/>
        <v/>
      </c>
    </row>
    <row r="200" spans="1:8" s="77" customFormat="1" ht="23.25" customHeight="1" x14ac:dyDescent="0.25">
      <c r="A200" s="76"/>
      <c r="B200" s="76"/>
      <c r="C200" s="76"/>
      <c r="D200" s="76"/>
      <c r="E200" s="76"/>
      <c r="F200" s="76"/>
      <c r="G200" s="76"/>
      <c r="H200" t="str">
        <f t="shared" si="3"/>
        <v/>
      </c>
    </row>
    <row r="201" spans="1:8" s="77" customFormat="1" ht="23.25" customHeight="1" x14ac:dyDescent="0.25">
      <c r="A201" s="76"/>
      <c r="B201" s="76"/>
      <c r="C201" s="76"/>
      <c r="D201" s="76"/>
      <c r="E201" s="76"/>
      <c r="F201" s="76"/>
      <c r="G201" s="76"/>
      <c r="H201" t="str">
        <f t="shared" si="3"/>
        <v/>
      </c>
    </row>
    <row r="202" spans="1:8" s="77" customFormat="1" ht="23.25" customHeight="1" x14ac:dyDescent="0.25">
      <c r="A202" s="76"/>
      <c r="B202" s="76"/>
      <c r="C202" s="76"/>
      <c r="D202" s="76"/>
      <c r="E202" s="76"/>
      <c r="F202" s="76"/>
      <c r="G202" s="76"/>
      <c r="H202" t="str">
        <f t="shared" si="3"/>
        <v/>
      </c>
    </row>
    <row r="203" spans="1:8" s="77" customFormat="1" ht="23.25" customHeight="1" x14ac:dyDescent="0.25">
      <c r="A203" s="76"/>
      <c r="B203" s="76"/>
      <c r="C203" s="76"/>
      <c r="D203" s="76"/>
      <c r="E203" s="76"/>
      <c r="F203" s="76"/>
      <c r="G203" s="76"/>
      <c r="H203" t="str">
        <f t="shared" si="3"/>
        <v/>
      </c>
    </row>
    <row r="204" spans="1:8" s="77" customFormat="1" ht="23.25" customHeight="1" x14ac:dyDescent="0.25">
      <c r="A204" s="76"/>
      <c r="B204" s="76"/>
      <c r="C204" s="76"/>
      <c r="D204" s="76"/>
      <c r="E204" s="76"/>
      <c r="F204" s="76"/>
      <c r="G204" s="76"/>
      <c r="H204" t="str">
        <f t="shared" si="3"/>
        <v/>
      </c>
    </row>
    <row r="205" spans="1:8" s="77" customFormat="1" ht="23.25" customHeight="1" x14ac:dyDescent="0.25">
      <c r="A205" s="76"/>
      <c r="B205" s="76"/>
      <c r="C205" s="76"/>
      <c r="D205" s="76"/>
      <c r="E205" s="76"/>
      <c r="F205" s="76"/>
      <c r="G205" s="76"/>
      <c r="H205" t="str">
        <f t="shared" si="3"/>
        <v/>
      </c>
    </row>
    <row r="206" spans="1:8" s="77" customFormat="1" ht="23.25" customHeight="1" x14ac:dyDescent="0.25">
      <c r="A206" s="76"/>
      <c r="B206" s="76"/>
      <c r="C206" s="76"/>
      <c r="D206" s="76"/>
      <c r="E206" s="76"/>
      <c r="F206" s="76"/>
      <c r="G206" s="76"/>
      <c r="H206" t="str">
        <f t="shared" si="3"/>
        <v/>
      </c>
    </row>
    <row r="207" spans="1:8" s="77" customFormat="1" ht="23.25" customHeight="1" x14ac:dyDescent="0.25">
      <c r="A207" s="76"/>
      <c r="B207" s="76"/>
      <c r="C207" s="76"/>
      <c r="D207" s="76"/>
      <c r="E207" s="76"/>
      <c r="F207" s="76"/>
      <c r="G207" s="76"/>
      <c r="H207" t="str">
        <f t="shared" si="3"/>
        <v/>
      </c>
    </row>
    <row r="208" spans="1:8" s="77" customFormat="1" ht="23.25" customHeight="1" x14ac:dyDescent="0.25">
      <c r="A208" s="76"/>
      <c r="B208" s="76"/>
      <c r="C208" s="76"/>
      <c r="D208" s="76"/>
      <c r="E208" s="76"/>
      <c r="F208" s="76"/>
      <c r="G208" s="76"/>
      <c r="H208" t="str">
        <f t="shared" si="3"/>
        <v/>
      </c>
    </row>
    <row r="209" spans="1:8" s="77" customFormat="1" ht="23.25" customHeight="1" x14ac:dyDescent="0.25">
      <c r="A209" s="76"/>
      <c r="B209" s="76"/>
      <c r="C209" s="76"/>
      <c r="D209" s="76"/>
      <c r="E209" s="76"/>
      <c r="F209" s="76"/>
      <c r="G209" s="76"/>
      <c r="H209" t="str">
        <f t="shared" si="3"/>
        <v/>
      </c>
    </row>
    <row r="210" spans="1:8" s="77" customFormat="1" ht="23.25" customHeight="1" x14ac:dyDescent="0.25">
      <c r="A210" s="76"/>
      <c r="B210" s="76"/>
      <c r="C210" s="76"/>
      <c r="D210" s="76"/>
      <c r="E210" s="76"/>
      <c r="F210" s="76"/>
      <c r="G210" s="76"/>
      <c r="H210" t="str">
        <f t="shared" si="3"/>
        <v/>
      </c>
    </row>
    <row r="211" spans="1:8" s="77" customFormat="1" ht="23.25" customHeight="1" x14ac:dyDescent="0.25">
      <c r="A211" s="76"/>
      <c r="B211" s="76"/>
      <c r="C211" s="76"/>
      <c r="D211" s="76"/>
      <c r="E211" s="76"/>
      <c r="F211" s="76"/>
      <c r="G211" s="76"/>
      <c r="H211" t="str">
        <f t="shared" si="3"/>
        <v/>
      </c>
    </row>
    <row r="212" spans="1:8" s="77" customFormat="1" ht="23.25" customHeight="1" x14ac:dyDescent="0.25">
      <c r="A212" s="76"/>
      <c r="B212" s="76"/>
      <c r="C212" s="76"/>
      <c r="D212" s="76"/>
      <c r="E212" s="76"/>
      <c r="F212" s="76"/>
      <c r="G212" s="76"/>
      <c r="H212" t="str">
        <f t="shared" si="3"/>
        <v/>
      </c>
    </row>
    <row r="213" spans="1:8" s="77" customFormat="1" ht="23.25" customHeight="1" x14ac:dyDescent="0.25">
      <c r="A213" s="76"/>
      <c r="B213" s="76"/>
      <c r="C213" s="76"/>
      <c r="D213" s="76"/>
      <c r="E213" s="76"/>
      <c r="F213" s="76"/>
      <c r="G213" s="76"/>
      <c r="H213" t="str">
        <f t="shared" si="3"/>
        <v/>
      </c>
    </row>
    <row r="214" spans="1:8" s="77" customFormat="1" ht="23.25" customHeight="1" x14ac:dyDescent="0.25">
      <c r="A214" s="76"/>
      <c r="B214" s="76"/>
      <c r="C214" s="76"/>
      <c r="D214" s="76"/>
      <c r="E214" s="76"/>
      <c r="F214" s="76"/>
      <c r="G214" s="76"/>
      <c r="H214" t="str">
        <f t="shared" si="3"/>
        <v/>
      </c>
    </row>
    <row r="215" spans="1:8" s="77" customFormat="1" ht="23.25" customHeight="1" x14ac:dyDescent="0.25">
      <c r="A215" s="76"/>
      <c r="B215" s="76"/>
      <c r="C215" s="76"/>
      <c r="D215" s="76"/>
      <c r="E215" s="76"/>
      <c r="F215" s="76"/>
      <c r="G215" s="76"/>
      <c r="H215" t="str">
        <f t="shared" si="3"/>
        <v/>
      </c>
    </row>
    <row r="216" spans="1:8" s="77" customFormat="1" ht="23.25" customHeight="1" x14ac:dyDescent="0.25">
      <c r="A216" s="76"/>
      <c r="B216" s="76"/>
      <c r="C216" s="76"/>
      <c r="D216" s="76"/>
      <c r="E216" s="76"/>
      <c r="F216" s="76"/>
      <c r="G216" s="76"/>
      <c r="H216" t="str">
        <f t="shared" si="3"/>
        <v/>
      </c>
    </row>
    <row r="217" spans="1:8" s="77" customFormat="1" ht="23.25" customHeight="1" x14ac:dyDescent="0.25">
      <c r="A217" s="76"/>
      <c r="B217" s="76"/>
      <c r="C217" s="76"/>
      <c r="D217" s="76"/>
      <c r="E217" s="76"/>
      <c r="F217" s="76"/>
      <c r="G217" s="76"/>
      <c r="H217" t="str">
        <f t="shared" si="3"/>
        <v/>
      </c>
    </row>
    <row r="218" spans="1:8" s="77" customFormat="1" ht="23.25" customHeight="1" x14ac:dyDescent="0.25">
      <c r="A218" s="76"/>
      <c r="B218" s="76"/>
      <c r="C218" s="76"/>
      <c r="D218" s="76"/>
      <c r="E218" s="76"/>
      <c r="F218" s="76"/>
      <c r="G218" s="76"/>
      <c r="H218" t="str">
        <f t="shared" si="3"/>
        <v/>
      </c>
    </row>
    <row r="219" spans="1:8" s="77" customFormat="1" ht="23.25" customHeight="1" x14ac:dyDescent="0.25">
      <c r="A219" s="76"/>
      <c r="B219" s="76"/>
      <c r="C219" s="76"/>
      <c r="D219" s="76"/>
      <c r="E219" s="76"/>
      <c r="F219" s="76"/>
      <c r="G219" s="76"/>
      <c r="H219" t="str">
        <f t="shared" ref="H219:H282" si="4">IF(ISBLANK(A219),"",SUM(B219:G219))</f>
        <v/>
      </c>
    </row>
    <row r="220" spans="1:8" s="77" customFormat="1" ht="23.25" customHeight="1" x14ac:dyDescent="0.25">
      <c r="A220" s="76"/>
      <c r="B220" s="76"/>
      <c r="C220" s="76"/>
      <c r="D220" s="76"/>
      <c r="E220" s="76"/>
      <c r="F220" s="76"/>
      <c r="G220" s="76"/>
      <c r="H220" t="str">
        <f t="shared" si="4"/>
        <v/>
      </c>
    </row>
    <row r="221" spans="1:8" s="77" customFormat="1" ht="23.25" customHeight="1" x14ac:dyDescent="0.25">
      <c r="A221" s="76"/>
      <c r="B221" s="76"/>
      <c r="C221" s="76"/>
      <c r="D221" s="76"/>
      <c r="E221" s="76"/>
      <c r="F221" s="76"/>
      <c r="G221" s="76"/>
      <c r="H221" t="str">
        <f t="shared" si="4"/>
        <v/>
      </c>
    </row>
    <row r="222" spans="1:8" s="77" customFormat="1" ht="23.25" customHeight="1" x14ac:dyDescent="0.25">
      <c r="A222" s="76"/>
      <c r="B222" s="76"/>
      <c r="C222" s="76"/>
      <c r="D222" s="76"/>
      <c r="E222" s="76"/>
      <c r="F222" s="76"/>
      <c r="G222" s="76"/>
      <c r="H222" t="str">
        <f t="shared" si="4"/>
        <v/>
      </c>
    </row>
    <row r="223" spans="1:8" s="77" customFormat="1" ht="23.25" customHeight="1" x14ac:dyDescent="0.25">
      <c r="A223" s="76"/>
      <c r="B223" s="76"/>
      <c r="C223" s="76"/>
      <c r="D223" s="76"/>
      <c r="E223" s="76"/>
      <c r="F223" s="76"/>
      <c r="G223" s="76"/>
      <c r="H223" t="str">
        <f t="shared" si="4"/>
        <v/>
      </c>
    </row>
    <row r="224" spans="1:8" s="77" customFormat="1" ht="23.25" customHeight="1" x14ac:dyDescent="0.25">
      <c r="A224" s="76"/>
      <c r="B224" s="76"/>
      <c r="C224" s="76"/>
      <c r="D224" s="76"/>
      <c r="E224" s="76"/>
      <c r="F224" s="76"/>
      <c r="G224" s="76"/>
      <c r="H224" t="str">
        <f t="shared" si="4"/>
        <v/>
      </c>
    </row>
    <row r="225" spans="1:8" s="77" customFormat="1" ht="23.25" customHeight="1" x14ac:dyDescent="0.25">
      <c r="A225" s="76"/>
      <c r="B225" s="76"/>
      <c r="C225" s="76"/>
      <c r="D225" s="76"/>
      <c r="E225" s="76"/>
      <c r="F225" s="76"/>
      <c r="G225" s="76"/>
      <c r="H225" t="str">
        <f t="shared" si="4"/>
        <v/>
      </c>
    </row>
    <row r="226" spans="1:8" s="77" customFormat="1" ht="23.25" customHeight="1" x14ac:dyDescent="0.25">
      <c r="A226" s="76"/>
      <c r="B226" s="76"/>
      <c r="C226" s="76"/>
      <c r="D226" s="76"/>
      <c r="E226" s="76"/>
      <c r="F226" s="76"/>
      <c r="G226" s="76"/>
      <c r="H226" t="str">
        <f t="shared" si="4"/>
        <v/>
      </c>
    </row>
    <row r="227" spans="1:8" s="77" customFormat="1" ht="23.25" customHeight="1" x14ac:dyDescent="0.25">
      <c r="A227" s="76"/>
      <c r="B227" s="76"/>
      <c r="C227" s="76"/>
      <c r="D227" s="76"/>
      <c r="E227" s="76"/>
      <c r="F227" s="76"/>
      <c r="G227" s="76"/>
      <c r="H227" t="str">
        <f t="shared" si="4"/>
        <v/>
      </c>
    </row>
    <row r="228" spans="1:8" s="77" customFormat="1" ht="23.25" customHeight="1" x14ac:dyDescent="0.25">
      <c r="A228" s="76"/>
      <c r="B228" s="76"/>
      <c r="C228" s="76"/>
      <c r="D228" s="76"/>
      <c r="E228" s="76"/>
      <c r="F228" s="76"/>
      <c r="G228" s="76"/>
      <c r="H228" t="str">
        <f t="shared" si="4"/>
        <v/>
      </c>
    </row>
    <row r="229" spans="1:8" s="77" customFormat="1" ht="23.25" customHeight="1" x14ac:dyDescent="0.25">
      <c r="A229" s="76"/>
      <c r="B229" s="76"/>
      <c r="C229" s="76"/>
      <c r="D229" s="76"/>
      <c r="E229" s="76"/>
      <c r="F229" s="76"/>
      <c r="G229" s="76"/>
      <c r="H229" t="str">
        <f t="shared" si="4"/>
        <v/>
      </c>
    </row>
    <row r="230" spans="1:8" s="77" customFormat="1" ht="23.25" customHeight="1" x14ac:dyDescent="0.25">
      <c r="A230" s="76"/>
      <c r="B230" s="76"/>
      <c r="C230" s="76"/>
      <c r="D230" s="76"/>
      <c r="E230" s="76"/>
      <c r="F230" s="76"/>
      <c r="G230" s="76"/>
      <c r="H230" t="str">
        <f t="shared" si="4"/>
        <v/>
      </c>
    </row>
    <row r="231" spans="1:8" s="77" customFormat="1" ht="23.25" customHeight="1" x14ac:dyDescent="0.25">
      <c r="A231" s="76"/>
      <c r="B231" s="76"/>
      <c r="C231" s="76"/>
      <c r="D231" s="76"/>
      <c r="E231" s="76"/>
      <c r="F231" s="76"/>
      <c r="G231" s="76"/>
      <c r="H231" t="str">
        <f t="shared" si="4"/>
        <v/>
      </c>
    </row>
    <row r="232" spans="1:8" s="77" customFormat="1" ht="23.25" customHeight="1" x14ac:dyDescent="0.25">
      <c r="A232" s="76"/>
      <c r="B232" s="76"/>
      <c r="C232" s="76"/>
      <c r="D232" s="76"/>
      <c r="E232" s="76"/>
      <c r="F232" s="76"/>
      <c r="G232" s="76"/>
      <c r="H232" t="str">
        <f t="shared" si="4"/>
        <v/>
      </c>
    </row>
    <row r="233" spans="1:8" s="77" customFormat="1" ht="23.25" customHeight="1" x14ac:dyDescent="0.25">
      <c r="A233" s="76"/>
      <c r="B233" s="76"/>
      <c r="C233" s="76"/>
      <c r="D233" s="76"/>
      <c r="E233" s="76"/>
      <c r="F233" s="76"/>
      <c r="G233" s="76"/>
      <c r="H233" t="str">
        <f t="shared" si="4"/>
        <v/>
      </c>
    </row>
    <row r="234" spans="1:8" s="77" customFormat="1" ht="23.25" customHeight="1" x14ac:dyDescent="0.25">
      <c r="A234" s="76"/>
      <c r="B234" s="76"/>
      <c r="C234" s="76"/>
      <c r="D234" s="76"/>
      <c r="E234" s="76"/>
      <c r="F234" s="76"/>
      <c r="G234" s="76"/>
      <c r="H234" t="str">
        <f t="shared" si="4"/>
        <v/>
      </c>
    </row>
    <row r="235" spans="1:8" s="77" customFormat="1" ht="23.25" customHeight="1" x14ac:dyDescent="0.25">
      <c r="A235" s="76"/>
      <c r="B235" s="76"/>
      <c r="C235" s="76"/>
      <c r="D235" s="76"/>
      <c r="E235" s="76"/>
      <c r="F235" s="76"/>
      <c r="G235" s="76"/>
      <c r="H235" t="str">
        <f t="shared" si="4"/>
        <v/>
      </c>
    </row>
    <row r="236" spans="1:8" s="77" customFormat="1" ht="23.25" customHeight="1" x14ac:dyDescent="0.25">
      <c r="A236" s="76"/>
      <c r="B236" s="76"/>
      <c r="C236" s="76"/>
      <c r="D236" s="76"/>
      <c r="E236" s="76"/>
      <c r="F236" s="76"/>
      <c r="G236" s="76"/>
      <c r="H236" t="str">
        <f t="shared" si="4"/>
        <v/>
      </c>
    </row>
    <row r="237" spans="1:8" s="77" customFormat="1" ht="23.25" customHeight="1" x14ac:dyDescent="0.25">
      <c r="A237" s="76"/>
      <c r="B237" s="76"/>
      <c r="C237" s="76"/>
      <c r="D237" s="76"/>
      <c r="E237" s="76"/>
      <c r="F237" s="76"/>
      <c r="G237" s="76"/>
      <c r="H237" t="str">
        <f t="shared" si="4"/>
        <v/>
      </c>
    </row>
    <row r="238" spans="1:8" s="77" customFormat="1" ht="23.25" customHeight="1" x14ac:dyDescent="0.25">
      <c r="A238" s="76"/>
      <c r="B238" s="76"/>
      <c r="C238" s="76"/>
      <c r="D238" s="76"/>
      <c r="E238" s="76"/>
      <c r="F238" s="76"/>
      <c r="G238" s="76"/>
      <c r="H238" t="str">
        <f t="shared" si="4"/>
        <v/>
      </c>
    </row>
    <row r="239" spans="1:8" s="77" customFormat="1" ht="23.25" customHeight="1" x14ac:dyDescent="0.25">
      <c r="A239" s="76"/>
      <c r="B239" s="76"/>
      <c r="C239" s="76"/>
      <c r="D239" s="76"/>
      <c r="E239" s="76"/>
      <c r="F239" s="76"/>
      <c r="G239" s="76"/>
      <c r="H239" t="str">
        <f t="shared" si="4"/>
        <v/>
      </c>
    </row>
    <row r="240" spans="1:8" s="77" customFormat="1" ht="23.25" customHeight="1" x14ac:dyDescent="0.25">
      <c r="A240" s="76"/>
      <c r="B240" s="76"/>
      <c r="C240" s="76"/>
      <c r="D240" s="76"/>
      <c r="E240" s="76"/>
      <c r="F240" s="76"/>
      <c r="G240" s="76"/>
      <c r="H240" t="str">
        <f t="shared" si="4"/>
        <v/>
      </c>
    </row>
    <row r="241" spans="1:8" s="77" customFormat="1" ht="23.25" customHeight="1" x14ac:dyDescent="0.25">
      <c r="A241" s="76"/>
      <c r="B241" s="76"/>
      <c r="C241" s="76"/>
      <c r="D241" s="76"/>
      <c r="E241" s="76"/>
      <c r="F241" s="76"/>
      <c r="G241" s="76"/>
      <c r="H241" t="str">
        <f t="shared" si="4"/>
        <v/>
      </c>
    </row>
    <row r="242" spans="1:8" s="77" customFormat="1" ht="23.25" customHeight="1" x14ac:dyDescent="0.25">
      <c r="A242" s="76"/>
      <c r="B242" s="76"/>
      <c r="C242" s="76"/>
      <c r="D242" s="76"/>
      <c r="E242" s="76"/>
      <c r="F242" s="76"/>
      <c r="G242" s="76"/>
      <c r="H242" t="str">
        <f t="shared" si="4"/>
        <v/>
      </c>
    </row>
    <row r="243" spans="1:8" s="77" customFormat="1" ht="23.25" customHeight="1" x14ac:dyDescent="0.25">
      <c r="A243" s="76"/>
      <c r="B243" s="76"/>
      <c r="C243" s="76"/>
      <c r="D243" s="76"/>
      <c r="E243" s="76"/>
      <c r="F243" s="76"/>
      <c r="G243" s="76"/>
      <c r="H243" t="str">
        <f t="shared" si="4"/>
        <v/>
      </c>
    </row>
    <row r="244" spans="1:8" s="77" customFormat="1" ht="23.25" customHeight="1" x14ac:dyDescent="0.25">
      <c r="A244" s="76"/>
      <c r="B244" s="76"/>
      <c r="C244" s="76"/>
      <c r="D244" s="76"/>
      <c r="E244" s="76"/>
      <c r="F244" s="76"/>
      <c r="G244" s="76"/>
      <c r="H244" t="str">
        <f t="shared" si="4"/>
        <v/>
      </c>
    </row>
    <row r="245" spans="1:8" s="77" customFormat="1" ht="23.25" customHeight="1" x14ac:dyDescent="0.25">
      <c r="A245" s="76"/>
      <c r="B245" s="76"/>
      <c r="C245" s="76"/>
      <c r="D245" s="76"/>
      <c r="E245" s="76"/>
      <c r="F245" s="76"/>
      <c r="G245" s="76"/>
      <c r="H245" t="str">
        <f t="shared" si="4"/>
        <v/>
      </c>
    </row>
    <row r="246" spans="1:8" s="77" customFormat="1" ht="23.25" customHeight="1" x14ac:dyDescent="0.25">
      <c r="A246" s="76"/>
      <c r="B246" s="76"/>
      <c r="C246" s="76"/>
      <c r="D246" s="76"/>
      <c r="E246" s="76"/>
      <c r="F246" s="76"/>
      <c r="G246" s="76"/>
      <c r="H246" t="str">
        <f t="shared" si="4"/>
        <v/>
      </c>
    </row>
    <row r="247" spans="1:8" s="77" customFormat="1" ht="23.25" customHeight="1" x14ac:dyDescent="0.25">
      <c r="A247" s="76"/>
      <c r="B247" s="76"/>
      <c r="C247" s="76"/>
      <c r="D247" s="76"/>
      <c r="E247" s="76"/>
      <c r="F247" s="76"/>
      <c r="G247" s="76"/>
      <c r="H247" t="str">
        <f t="shared" si="4"/>
        <v/>
      </c>
    </row>
    <row r="248" spans="1:8" s="77" customFormat="1" ht="23.25" customHeight="1" x14ac:dyDescent="0.25">
      <c r="A248" s="76"/>
      <c r="B248" s="76"/>
      <c r="C248" s="76"/>
      <c r="D248" s="76"/>
      <c r="E248" s="76"/>
      <c r="F248" s="76"/>
      <c r="G248" s="76"/>
      <c r="H248" t="str">
        <f t="shared" si="4"/>
        <v/>
      </c>
    </row>
    <row r="249" spans="1:8" s="77" customFormat="1" ht="23.25" customHeight="1" x14ac:dyDescent="0.25">
      <c r="A249" s="76"/>
      <c r="B249" s="76"/>
      <c r="C249" s="76"/>
      <c r="D249" s="76"/>
      <c r="E249" s="76"/>
      <c r="F249" s="76"/>
      <c r="G249" s="76"/>
      <c r="H249" t="str">
        <f t="shared" si="4"/>
        <v/>
      </c>
    </row>
    <row r="250" spans="1:8" s="77" customFormat="1" ht="23.25" customHeight="1" x14ac:dyDescent="0.25">
      <c r="A250" s="76"/>
      <c r="B250" s="76"/>
      <c r="C250" s="76"/>
      <c r="D250" s="76"/>
      <c r="E250" s="76"/>
      <c r="F250" s="76"/>
      <c r="G250" s="76"/>
      <c r="H250" t="str">
        <f t="shared" si="4"/>
        <v/>
      </c>
    </row>
    <row r="251" spans="1:8" s="77" customFormat="1" ht="23.25" customHeight="1" x14ac:dyDescent="0.25">
      <c r="A251" s="76"/>
      <c r="B251" s="76"/>
      <c r="C251" s="76"/>
      <c r="D251" s="76"/>
      <c r="E251" s="76"/>
      <c r="F251" s="76"/>
      <c r="G251" s="76"/>
      <c r="H251" t="str">
        <f t="shared" si="4"/>
        <v/>
      </c>
    </row>
    <row r="252" spans="1:8" s="77" customFormat="1" ht="23.25" customHeight="1" x14ac:dyDescent="0.25">
      <c r="A252" s="76"/>
      <c r="B252" s="76"/>
      <c r="C252" s="76"/>
      <c r="D252" s="76"/>
      <c r="E252" s="76"/>
      <c r="F252" s="76"/>
      <c r="G252" s="76"/>
      <c r="H252" t="str">
        <f t="shared" si="4"/>
        <v/>
      </c>
    </row>
    <row r="253" spans="1:8" s="77" customFormat="1" ht="23.25" customHeight="1" x14ac:dyDescent="0.25">
      <c r="A253" s="76"/>
      <c r="B253" s="76"/>
      <c r="C253" s="76"/>
      <c r="D253" s="76"/>
      <c r="E253" s="76"/>
      <c r="F253" s="76"/>
      <c r="G253" s="76"/>
      <c r="H253" t="str">
        <f t="shared" si="4"/>
        <v/>
      </c>
    </row>
    <row r="254" spans="1:8" s="77" customFormat="1" ht="23.25" customHeight="1" x14ac:dyDescent="0.25">
      <c r="A254" s="76"/>
      <c r="B254" s="76"/>
      <c r="C254" s="76"/>
      <c r="D254" s="76"/>
      <c r="E254" s="76"/>
      <c r="F254" s="76"/>
      <c r="G254" s="76"/>
      <c r="H254" t="str">
        <f t="shared" si="4"/>
        <v/>
      </c>
    </row>
    <row r="255" spans="1:8" s="77" customFormat="1" ht="23.25" customHeight="1" x14ac:dyDescent="0.25">
      <c r="A255" s="76"/>
      <c r="B255" s="76"/>
      <c r="C255" s="76"/>
      <c r="D255" s="76"/>
      <c r="E255" s="76"/>
      <c r="F255" s="76"/>
      <c r="G255" s="76"/>
      <c r="H255" t="str">
        <f t="shared" si="4"/>
        <v/>
      </c>
    </row>
    <row r="256" spans="1:8" s="77" customFormat="1" ht="23.25" customHeight="1" x14ac:dyDescent="0.25">
      <c r="A256" s="76"/>
      <c r="B256" s="76"/>
      <c r="C256" s="76"/>
      <c r="D256" s="76"/>
      <c r="E256" s="76"/>
      <c r="F256" s="76"/>
      <c r="G256" s="76"/>
      <c r="H256" t="str">
        <f t="shared" si="4"/>
        <v/>
      </c>
    </row>
    <row r="257" spans="1:8" s="77" customFormat="1" ht="23.25" customHeight="1" x14ac:dyDescent="0.25">
      <c r="A257" s="76"/>
      <c r="B257" s="76"/>
      <c r="C257" s="76"/>
      <c r="D257" s="76"/>
      <c r="E257" s="76"/>
      <c r="F257" s="76"/>
      <c r="G257" s="76"/>
      <c r="H257" t="str">
        <f t="shared" si="4"/>
        <v/>
      </c>
    </row>
    <row r="258" spans="1:8" s="77" customFormat="1" ht="23.25" customHeight="1" x14ac:dyDescent="0.25">
      <c r="A258" s="76"/>
      <c r="B258" s="76"/>
      <c r="C258" s="76"/>
      <c r="D258" s="76"/>
      <c r="E258" s="76"/>
      <c r="F258" s="76"/>
      <c r="G258" s="76"/>
      <c r="H258" t="str">
        <f t="shared" si="4"/>
        <v/>
      </c>
    </row>
    <row r="259" spans="1:8" s="77" customFormat="1" ht="23.25" customHeight="1" x14ac:dyDescent="0.25">
      <c r="A259" s="76"/>
      <c r="B259" s="76"/>
      <c r="C259" s="76"/>
      <c r="D259" s="76"/>
      <c r="E259" s="76"/>
      <c r="F259" s="76"/>
      <c r="G259" s="76"/>
      <c r="H259" t="str">
        <f t="shared" si="4"/>
        <v/>
      </c>
    </row>
    <row r="260" spans="1:8" s="77" customFormat="1" ht="23.25" customHeight="1" x14ac:dyDescent="0.25">
      <c r="A260" s="76"/>
      <c r="B260" s="76"/>
      <c r="C260" s="76"/>
      <c r="D260" s="76"/>
      <c r="E260" s="76"/>
      <c r="F260" s="76"/>
      <c r="G260" s="76"/>
      <c r="H260" t="str">
        <f t="shared" si="4"/>
        <v/>
      </c>
    </row>
    <row r="261" spans="1:8" s="77" customFormat="1" ht="23.25" customHeight="1" x14ac:dyDescent="0.25">
      <c r="A261" s="76"/>
      <c r="B261" s="76"/>
      <c r="C261" s="76"/>
      <c r="D261" s="76"/>
      <c r="E261" s="76"/>
      <c r="F261" s="76"/>
      <c r="G261" s="76"/>
      <c r="H261" t="str">
        <f t="shared" si="4"/>
        <v/>
      </c>
    </row>
    <row r="262" spans="1:8" s="77" customFormat="1" ht="23.25" customHeight="1" x14ac:dyDescent="0.25">
      <c r="A262" s="76"/>
      <c r="B262" s="76"/>
      <c r="C262" s="76"/>
      <c r="D262" s="76"/>
      <c r="E262" s="76"/>
      <c r="F262" s="76"/>
      <c r="G262" s="76"/>
      <c r="H262" t="str">
        <f t="shared" si="4"/>
        <v/>
      </c>
    </row>
    <row r="263" spans="1:8" s="77" customFormat="1" ht="23.25" customHeight="1" x14ac:dyDescent="0.25">
      <c r="A263" s="76"/>
      <c r="B263" s="76"/>
      <c r="C263" s="76"/>
      <c r="D263" s="76"/>
      <c r="E263" s="76"/>
      <c r="F263" s="76"/>
      <c r="G263" s="76"/>
      <c r="H263" t="str">
        <f t="shared" si="4"/>
        <v/>
      </c>
    </row>
    <row r="264" spans="1:8" s="77" customFormat="1" ht="23.25" customHeight="1" x14ac:dyDescent="0.25">
      <c r="A264" s="76"/>
      <c r="B264" s="76"/>
      <c r="C264" s="76"/>
      <c r="D264" s="76"/>
      <c r="E264" s="76"/>
      <c r="F264" s="76"/>
      <c r="G264" s="76"/>
      <c r="H264" t="str">
        <f t="shared" si="4"/>
        <v/>
      </c>
    </row>
    <row r="265" spans="1:8" s="77" customFormat="1" ht="23.25" customHeight="1" x14ac:dyDescent="0.25">
      <c r="A265" s="76"/>
      <c r="B265" s="76"/>
      <c r="C265" s="76"/>
      <c r="D265" s="76"/>
      <c r="E265" s="76"/>
      <c r="F265" s="76"/>
      <c r="G265" s="76"/>
      <c r="H265" t="str">
        <f t="shared" si="4"/>
        <v/>
      </c>
    </row>
    <row r="266" spans="1:8" s="77" customFormat="1" ht="23.25" customHeight="1" x14ac:dyDescent="0.25">
      <c r="A266" s="76"/>
      <c r="B266" s="76"/>
      <c r="C266" s="76"/>
      <c r="D266" s="76"/>
      <c r="E266" s="76"/>
      <c r="F266" s="76"/>
      <c r="G266" s="76"/>
      <c r="H266" t="str">
        <f t="shared" si="4"/>
        <v/>
      </c>
    </row>
    <row r="267" spans="1:8" s="77" customFormat="1" ht="23.25" customHeight="1" x14ac:dyDescent="0.25">
      <c r="A267" s="76"/>
      <c r="B267" s="76"/>
      <c r="C267" s="76"/>
      <c r="D267" s="76"/>
      <c r="E267" s="76"/>
      <c r="F267" s="76"/>
      <c r="G267" s="76"/>
      <c r="H267" t="str">
        <f t="shared" si="4"/>
        <v/>
      </c>
    </row>
    <row r="268" spans="1:8" s="77" customFormat="1" ht="23.25" customHeight="1" x14ac:dyDescent="0.25">
      <c r="A268" s="76"/>
      <c r="B268" s="76"/>
      <c r="C268" s="76"/>
      <c r="D268" s="76"/>
      <c r="E268" s="76"/>
      <c r="F268" s="76"/>
      <c r="G268" s="76"/>
      <c r="H268" t="str">
        <f t="shared" si="4"/>
        <v/>
      </c>
    </row>
    <row r="269" spans="1:8" s="77" customFormat="1" ht="23.25" customHeight="1" x14ac:dyDescent="0.25">
      <c r="A269" s="76"/>
      <c r="B269" s="76"/>
      <c r="C269" s="76"/>
      <c r="D269" s="76"/>
      <c r="E269" s="76"/>
      <c r="F269" s="76"/>
      <c r="G269" s="76"/>
      <c r="H269" t="str">
        <f t="shared" si="4"/>
        <v/>
      </c>
    </row>
    <row r="270" spans="1:8" s="77" customFormat="1" ht="23.25" customHeight="1" x14ac:dyDescent="0.25">
      <c r="A270" s="76"/>
      <c r="B270" s="76"/>
      <c r="C270" s="76"/>
      <c r="D270" s="76"/>
      <c r="E270" s="76"/>
      <c r="F270" s="76"/>
      <c r="G270" s="76"/>
      <c r="H270" t="str">
        <f t="shared" si="4"/>
        <v/>
      </c>
    </row>
    <row r="271" spans="1:8" s="77" customFormat="1" ht="23.25" customHeight="1" x14ac:dyDescent="0.25">
      <c r="A271" s="76"/>
      <c r="B271" s="76"/>
      <c r="C271" s="76"/>
      <c r="D271" s="76"/>
      <c r="E271" s="76"/>
      <c r="F271" s="76"/>
      <c r="G271" s="76"/>
      <c r="H271" t="str">
        <f t="shared" si="4"/>
        <v/>
      </c>
    </row>
    <row r="272" spans="1:8" s="77" customFormat="1" ht="23.25" customHeight="1" x14ac:dyDescent="0.25">
      <c r="A272" s="76"/>
      <c r="B272" s="76"/>
      <c r="C272" s="76"/>
      <c r="D272" s="76"/>
      <c r="E272" s="76"/>
      <c r="F272" s="76"/>
      <c r="G272" s="76"/>
      <c r="H272" t="str">
        <f t="shared" si="4"/>
        <v/>
      </c>
    </row>
    <row r="273" spans="1:8" s="77" customFormat="1" ht="23.25" customHeight="1" x14ac:dyDescent="0.25">
      <c r="A273" s="76"/>
      <c r="B273" s="76"/>
      <c r="C273" s="76"/>
      <c r="D273" s="76"/>
      <c r="E273" s="76"/>
      <c r="F273" s="76"/>
      <c r="G273" s="76"/>
      <c r="H273" t="str">
        <f t="shared" si="4"/>
        <v/>
      </c>
    </row>
    <row r="274" spans="1:8" s="77" customFormat="1" ht="23.25" customHeight="1" x14ac:dyDescent="0.25">
      <c r="A274" s="76"/>
      <c r="B274" s="76"/>
      <c r="C274" s="76"/>
      <c r="D274" s="76"/>
      <c r="E274" s="76"/>
      <c r="F274" s="76"/>
      <c r="G274" s="76"/>
      <c r="H274" t="str">
        <f t="shared" si="4"/>
        <v/>
      </c>
    </row>
    <row r="275" spans="1:8" s="77" customFormat="1" ht="23.25" customHeight="1" x14ac:dyDescent="0.25">
      <c r="A275" s="76"/>
      <c r="B275" s="76"/>
      <c r="C275" s="76"/>
      <c r="D275" s="76"/>
      <c r="E275" s="76"/>
      <c r="F275" s="76"/>
      <c r="G275" s="76"/>
      <c r="H275" t="str">
        <f t="shared" si="4"/>
        <v/>
      </c>
    </row>
    <row r="276" spans="1:8" s="77" customFormat="1" ht="23.25" customHeight="1" x14ac:dyDescent="0.25">
      <c r="A276" s="76"/>
      <c r="B276" s="76"/>
      <c r="C276" s="76"/>
      <c r="D276" s="76"/>
      <c r="E276" s="76"/>
      <c r="F276" s="76"/>
      <c r="G276" s="76"/>
      <c r="H276" t="str">
        <f t="shared" si="4"/>
        <v/>
      </c>
    </row>
    <row r="277" spans="1:8" s="77" customFormat="1" ht="23.25" customHeight="1" x14ac:dyDescent="0.25">
      <c r="A277" s="76"/>
      <c r="B277" s="76"/>
      <c r="C277" s="76"/>
      <c r="D277" s="76"/>
      <c r="E277" s="76"/>
      <c r="F277" s="76"/>
      <c r="G277" s="76"/>
      <c r="H277" t="str">
        <f t="shared" si="4"/>
        <v/>
      </c>
    </row>
    <row r="278" spans="1:8" s="77" customFormat="1" ht="23.25" customHeight="1" x14ac:dyDescent="0.25">
      <c r="A278" s="76"/>
      <c r="B278" s="76"/>
      <c r="C278" s="76"/>
      <c r="D278" s="76"/>
      <c r="E278" s="76"/>
      <c r="F278" s="76"/>
      <c r="G278" s="76"/>
      <c r="H278" t="str">
        <f t="shared" si="4"/>
        <v/>
      </c>
    </row>
    <row r="279" spans="1:8" s="77" customFormat="1" ht="23.25" customHeight="1" x14ac:dyDescent="0.25">
      <c r="A279" s="76"/>
      <c r="B279" s="76"/>
      <c r="C279" s="76"/>
      <c r="D279" s="76"/>
      <c r="E279" s="76"/>
      <c r="F279" s="76"/>
      <c r="G279" s="76"/>
      <c r="H279" t="str">
        <f t="shared" si="4"/>
        <v/>
      </c>
    </row>
    <row r="280" spans="1:8" s="77" customFormat="1" ht="23.25" customHeight="1" x14ac:dyDescent="0.25">
      <c r="A280" s="76"/>
      <c r="B280" s="76"/>
      <c r="C280" s="76"/>
      <c r="D280" s="76"/>
      <c r="E280" s="76"/>
      <c r="F280" s="76"/>
      <c r="G280" s="76"/>
      <c r="H280" t="str">
        <f t="shared" si="4"/>
        <v/>
      </c>
    </row>
    <row r="281" spans="1:8" s="77" customFormat="1" ht="23.25" customHeight="1" x14ac:dyDescent="0.25">
      <c r="A281" s="76"/>
      <c r="B281" s="76"/>
      <c r="C281" s="76"/>
      <c r="D281" s="76"/>
      <c r="E281" s="76"/>
      <c r="F281" s="76"/>
      <c r="G281" s="76"/>
      <c r="H281" t="str">
        <f t="shared" si="4"/>
        <v/>
      </c>
    </row>
    <row r="282" spans="1:8" s="77" customFormat="1" ht="23.25" customHeight="1" x14ac:dyDescent="0.25">
      <c r="A282" s="76"/>
      <c r="B282" s="76"/>
      <c r="C282" s="76"/>
      <c r="D282" s="76"/>
      <c r="E282" s="76"/>
      <c r="F282" s="76"/>
      <c r="G282" s="76"/>
      <c r="H282" t="str">
        <f t="shared" si="4"/>
        <v/>
      </c>
    </row>
    <row r="283" spans="1:8" s="77" customFormat="1" ht="23.25" customHeight="1" x14ac:dyDescent="0.25">
      <c r="A283" s="76"/>
      <c r="B283" s="76"/>
      <c r="C283" s="76"/>
      <c r="D283" s="76"/>
      <c r="E283" s="76"/>
      <c r="F283" s="76"/>
      <c r="G283" s="76"/>
      <c r="H283" t="str">
        <f t="shared" ref="H283:H346" si="5">IF(ISBLANK(A283),"",SUM(B283:G283))</f>
        <v/>
      </c>
    </row>
    <row r="284" spans="1:8" s="77" customFormat="1" ht="23.25" customHeight="1" x14ac:dyDescent="0.25">
      <c r="A284" s="76"/>
      <c r="B284" s="76"/>
      <c r="C284" s="76"/>
      <c r="D284" s="76"/>
      <c r="E284" s="76"/>
      <c r="F284" s="76"/>
      <c r="G284" s="76"/>
      <c r="H284" t="str">
        <f t="shared" si="5"/>
        <v/>
      </c>
    </row>
    <row r="285" spans="1:8" s="77" customFormat="1" ht="23.25" customHeight="1" x14ac:dyDescent="0.25">
      <c r="A285" s="76"/>
      <c r="B285" s="76"/>
      <c r="C285" s="76"/>
      <c r="D285" s="76"/>
      <c r="E285" s="76"/>
      <c r="F285" s="76"/>
      <c r="G285" s="76"/>
      <c r="H285" t="str">
        <f t="shared" si="5"/>
        <v/>
      </c>
    </row>
    <row r="286" spans="1:8" s="77" customFormat="1" ht="23.25" customHeight="1" x14ac:dyDescent="0.25">
      <c r="A286" s="76"/>
      <c r="B286" s="76"/>
      <c r="C286" s="76"/>
      <c r="D286" s="76"/>
      <c r="E286" s="76"/>
      <c r="F286" s="76"/>
      <c r="G286" s="76"/>
      <c r="H286" t="str">
        <f t="shared" si="5"/>
        <v/>
      </c>
    </row>
    <row r="287" spans="1:8" s="77" customFormat="1" ht="23.25" customHeight="1" x14ac:dyDescent="0.25">
      <c r="A287" s="76"/>
      <c r="B287" s="76"/>
      <c r="C287" s="76"/>
      <c r="D287" s="76"/>
      <c r="E287" s="76"/>
      <c r="F287" s="76"/>
      <c r="G287" s="76"/>
      <c r="H287" t="str">
        <f t="shared" si="5"/>
        <v/>
      </c>
    </row>
    <row r="288" spans="1:8" s="77" customFormat="1" ht="23.25" customHeight="1" x14ac:dyDescent="0.25">
      <c r="A288" s="76"/>
      <c r="B288" s="76"/>
      <c r="C288" s="76"/>
      <c r="D288" s="76"/>
      <c r="E288" s="76"/>
      <c r="F288" s="76"/>
      <c r="G288" s="76"/>
      <c r="H288" t="str">
        <f t="shared" si="5"/>
        <v/>
      </c>
    </row>
    <row r="289" spans="1:8" s="77" customFormat="1" ht="23.25" customHeight="1" x14ac:dyDescent="0.25">
      <c r="A289" s="76"/>
      <c r="B289" s="76"/>
      <c r="C289" s="76"/>
      <c r="D289" s="76"/>
      <c r="E289" s="76"/>
      <c r="F289" s="76"/>
      <c r="G289" s="76"/>
      <c r="H289" t="str">
        <f t="shared" si="5"/>
        <v/>
      </c>
    </row>
    <row r="290" spans="1:8" s="77" customFormat="1" ht="23.25" customHeight="1" x14ac:dyDescent="0.25">
      <c r="A290" s="76"/>
      <c r="B290" s="76"/>
      <c r="C290" s="76"/>
      <c r="D290" s="76"/>
      <c r="E290" s="76"/>
      <c r="F290" s="76"/>
      <c r="G290" s="76"/>
      <c r="H290" t="str">
        <f t="shared" si="5"/>
        <v/>
      </c>
    </row>
    <row r="291" spans="1:8" s="77" customFormat="1" ht="23.25" customHeight="1" x14ac:dyDescent="0.25">
      <c r="A291" s="76"/>
      <c r="B291" s="76"/>
      <c r="C291" s="76"/>
      <c r="D291" s="76"/>
      <c r="E291" s="76"/>
      <c r="F291" s="76"/>
      <c r="G291" s="76"/>
      <c r="H291" t="str">
        <f t="shared" si="5"/>
        <v/>
      </c>
    </row>
    <row r="292" spans="1:8" s="77" customFormat="1" ht="23.25" customHeight="1" x14ac:dyDescent="0.25">
      <c r="A292" s="76"/>
      <c r="B292" s="76"/>
      <c r="C292" s="76"/>
      <c r="D292" s="76"/>
      <c r="E292" s="76"/>
      <c r="F292" s="76"/>
      <c r="G292" s="76"/>
      <c r="H292" t="str">
        <f t="shared" si="5"/>
        <v/>
      </c>
    </row>
    <row r="293" spans="1:8" s="77" customFormat="1" ht="23.25" customHeight="1" x14ac:dyDescent="0.25">
      <c r="A293" s="76"/>
      <c r="B293" s="76"/>
      <c r="C293" s="76"/>
      <c r="D293" s="76"/>
      <c r="E293" s="76"/>
      <c r="F293" s="76"/>
      <c r="G293" s="76"/>
      <c r="H293" t="str">
        <f t="shared" si="5"/>
        <v/>
      </c>
    </row>
    <row r="294" spans="1:8" s="77" customFormat="1" ht="23.25" customHeight="1" x14ac:dyDescent="0.25">
      <c r="A294" s="76"/>
      <c r="B294" s="76"/>
      <c r="C294" s="76"/>
      <c r="D294" s="76"/>
      <c r="E294" s="76"/>
      <c r="F294" s="76"/>
      <c r="G294" s="76"/>
      <c r="H294" t="str">
        <f t="shared" si="5"/>
        <v/>
      </c>
    </row>
    <row r="295" spans="1:8" s="77" customFormat="1" ht="23.25" customHeight="1" x14ac:dyDescent="0.25">
      <c r="A295" s="76"/>
      <c r="B295" s="76"/>
      <c r="C295" s="76"/>
      <c r="D295" s="76"/>
      <c r="E295" s="76"/>
      <c r="F295" s="76"/>
      <c r="G295" s="76"/>
      <c r="H295" t="str">
        <f t="shared" si="5"/>
        <v/>
      </c>
    </row>
    <row r="296" spans="1:8" s="77" customFormat="1" ht="23.25" customHeight="1" x14ac:dyDescent="0.25">
      <c r="A296" s="76"/>
      <c r="B296" s="76"/>
      <c r="C296" s="76"/>
      <c r="D296" s="76"/>
      <c r="E296" s="76"/>
      <c r="F296" s="76"/>
      <c r="G296" s="76"/>
      <c r="H296" t="str">
        <f t="shared" si="5"/>
        <v/>
      </c>
    </row>
    <row r="297" spans="1:8" s="77" customFormat="1" ht="23.25" customHeight="1" x14ac:dyDescent="0.25">
      <c r="A297" s="76"/>
      <c r="B297" s="76"/>
      <c r="C297" s="76"/>
      <c r="D297" s="76"/>
      <c r="E297" s="76"/>
      <c r="F297" s="76"/>
      <c r="G297" s="76"/>
      <c r="H297" t="str">
        <f t="shared" si="5"/>
        <v/>
      </c>
    </row>
    <row r="298" spans="1:8" s="77" customFormat="1" ht="23.25" customHeight="1" x14ac:dyDescent="0.25">
      <c r="A298" s="76"/>
      <c r="B298" s="76"/>
      <c r="C298" s="76"/>
      <c r="D298" s="76"/>
      <c r="E298" s="76"/>
      <c r="F298" s="76"/>
      <c r="G298" s="76"/>
      <c r="H298" t="str">
        <f t="shared" si="5"/>
        <v/>
      </c>
    </row>
    <row r="299" spans="1:8" s="77" customFormat="1" ht="23.25" customHeight="1" x14ac:dyDescent="0.25">
      <c r="A299" s="76"/>
      <c r="B299" s="76"/>
      <c r="C299" s="76"/>
      <c r="D299" s="76"/>
      <c r="E299" s="76"/>
      <c r="F299" s="76"/>
      <c r="G299" s="76"/>
      <c r="H299" t="str">
        <f t="shared" si="5"/>
        <v/>
      </c>
    </row>
    <row r="300" spans="1:8" s="77" customFormat="1" ht="23.25" customHeight="1" x14ac:dyDescent="0.25">
      <c r="A300" s="76"/>
      <c r="B300" s="76"/>
      <c r="C300" s="76"/>
      <c r="D300" s="76"/>
      <c r="E300" s="76"/>
      <c r="F300" s="76"/>
      <c r="G300" s="76"/>
      <c r="H300" t="str">
        <f t="shared" si="5"/>
        <v/>
      </c>
    </row>
    <row r="301" spans="1:8" s="77" customFormat="1" ht="23.25" customHeight="1" x14ac:dyDescent="0.25">
      <c r="A301" s="76"/>
      <c r="B301" s="76"/>
      <c r="C301" s="76"/>
      <c r="D301" s="76"/>
      <c r="E301" s="76"/>
      <c r="F301" s="76"/>
      <c r="G301" s="76"/>
      <c r="H301" t="str">
        <f t="shared" si="5"/>
        <v/>
      </c>
    </row>
    <row r="302" spans="1:8" s="77" customFormat="1" ht="23.25" customHeight="1" x14ac:dyDescent="0.25">
      <c r="A302" s="76"/>
      <c r="B302" s="76"/>
      <c r="C302" s="76"/>
      <c r="D302" s="76"/>
      <c r="E302" s="76"/>
      <c r="F302" s="76"/>
      <c r="G302" s="76"/>
      <c r="H302" t="str">
        <f t="shared" si="5"/>
        <v/>
      </c>
    </row>
    <row r="303" spans="1:8" s="77" customFormat="1" ht="23.25" customHeight="1" x14ac:dyDescent="0.25">
      <c r="A303" s="76"/>
      <c r="B303" s="76"/>
      <c r="C303" s="76"/>
      <c r="D303" s="76"/>
      <c r="E303" s="76"/>
      <c r="F303" s="76"/>
      <c r="G303" s="76"/>
      <c r="H303" t="str">
        <f t="shared" si="5"/>
        <v/>
      </c>
    </row>
    <row r="304" spans="1:8" s="77" customFormat="1" ht="23.25" customHeight="1" x14ac:dyDescent="0.25">
      <c r="A304" s="76"/>
      <c r="B304" s="76"/>
      <c r="C304" s="76"/>
      <c r="D304" s="76"/>
      <c r="E304" s="76"/>
      <c r="F304" s="76"/>
      <c r="G304" s="76"/>
      <c r="H304" t="str">
        <f t="shared" si="5"/>
        <v/>
      </c>
    </row>
    <row r="305" spans="1:8" s="77" customFormat="1" ht="23.25" customHeight="1" x14ac:dyDescent="0.25">
      <c r="A305" s="76"/>
      <c r="B305" s="76"/>
      <c r="C305" s="76"/>
      <c r="D305" s="76"/>
      <c r="E305" s="76"/>
      <c r="F305" s="76"/>
      <c r="G305" s="76"/>
      <c r="H305" t="str">
        <f t="shared" si="5"/>
        <v/>
      </c>
    </row>
    <row r="306" spans="1:8" s="77" customFormat="1" ht="23.25" customHeight="1" x14ac:dyDescent="0.25">
      <c r="A306" s="76"/>
      <c r="B306" s="76"/>
      <c r="C306" s="76"/>
      <c r="D306" s="76"/>
      <c r="E306" s="76"/>
      <c r="F306" s="76"/>
      <c r="G306" s="76"/>
      <c r="H306" t="str">
        <f t="shared" si="5"/>
        <v/>
      </c>
    </row>
    <row r="307" spans="1:8" s="77" customFormat="1" ht="23.25" customHeight="1" x14ac:dyDescent="0.25">
      <c r="A307" s="76"/>
      <c r="B307" s="76"/>
      <c r="C307" s="76"/>
      <c r="D307" s="76"/>
      <c r="E307" s="76"/>
      <c r="F307" s="76"/>
      <c r="G307" s="76"/>
      <c r="H307" t="str">
        <f t="shared" si="5"/>
        <v/>
      </c>
    </row>
    <row r="308" spans="1:8" s="77" customFormat="1" ht="23.25" customHeight="1" x14ac:dyDescent="0.25">
      <c r="A308" s="76"/>
      <c r="B308" s="76"/>
      <c r="C308" s="76"/>
      <c r="D308" s="76"/>
      <c r="E308" s="76"/>
      <c r="F308" s="76"/>
      <c r="G308" s="76"/>
      <c r="H308" t="str">
        <f t="shared" si="5"/>
        <v/>
      </c>
    </row>
    <row r="309" spans="1:8" s="77" customFormat="1" ht="23.25" customHeight="1" x14ac:dyDescent="0.25">
      <c r="A309" s="76"/>
      <c r="B309" s="76"/>
      <c r="C309" s="76"/>
      <c r="D309" s="76"/>
      <c r="E309" s="76"/>
      <c r="F309" s="76"/>
      <c r="G309" s="76"/>
      <c r="H309" t="str">
        <f t="shared" si="5"/>
        <v/>
      </c>
    </row>
    <row r="310" spans="1:8" s="77" customFormat="1" ht="23.25" customHeight="1" x14ac:dyDescent="0.25">
      <c r="A310" s="76"/>
      <c r="B310" s="76"/>
      <c r="C310" s="76"/>
      <c r="D310" s="76"/>
      <c r="E310" s="76"/>
      <c r="F310" s="76"/>
      <c r="G310" s="76"/>
      <c r="H310" t="str">
        <f t="shared" si="5"/>
        <v/>
      </c>
    </row>
    <row r="311" spans="1:8" s="77" customFormat="1" ht="23.25" customHeight="1" x14ac:dyDescent="0.25">
      <c r="A311" s="76"/>
      <c r="B311" s="76"/>
      <c r="C311" s="76"/>
      <c r="D311" s="76"/>
      <c r="E311" s="76"/>
      <c r="F311" s="76"/>
      <c r="G311" s="76"/>
      <c r="H311" t="str">
        <f t="shared" si="5"/>
        <v/>
      </c>
    </row>
    <row r="312" spans="1:8" s="77" customFormat="1" ht="23.25" customHeight="1" x14ac:dyDescent="0.25">
      <c r="A312" s="76"/>
      <c r="B312" s="76"/>
      <c r="C312" s="76"/>
      <c r="D312" s="76"/>
      <c r="E312" s="76"/>
      <c r="F312" s="76"/>
      <c r="G312" s="76"/>
      <c r="H312" t="str">
        <f t="shared" si="5"/>
        <v/>
      </c>
    </row>
    <row r="313" spans="1:8" s="77" customFormat="1" ht="23.25" customHeight="1" x14ac:dyDescent="0.25">
      <c r="A313" s="76"/>
      <c r="B313" s="76"/>
      <c r="C313" s="76"/>
      <c r="D313" s="76"/>
      <c r="E313" s="76"/>
      <c r="F313" s="76"/>
      <c r="G313" s="76"/>
      <c r="H313" t="str">
        <f t="shared" si="5"/>
        <v/>
      </c>
    </row>
    <row r="314" spans="1:8" s="77" customFormat="1" ht="23.25" customHeight="1" x14ac:dyDescent="0.25">
      <c r="A314" s="76"/>
      <c r="B314" s="76"/>
      <c r="C314" s="76"/>
      <c r="D314" s="76"/>
      <c r="E314" s="76"/>
      <c r="F314" s="76"/>
      <c r="G314" s="76"/>
      <c r="H314" t="str">
        <f t="shared" si="5"/>
        <v/>
      </c>
    </row>
    <row r="315" spans="1:8" s="77" customFormat="1" ht="23.25" customHeight="1" x14ac:dyDescent="0.25">
      <c r="A315" s="76"/>
      <c r="B315" s="76"/>
      <c r="C315" s="76"/>
      <c r="D315" s="76"/>
      <c r="E315" s="76"/>
      <c r="F315" s="76"/>
      <c r="G315" s="76"/>
      <c r="H315" t="str">
        <f t="shared" si="5"/>
        <v/>
      </c>
    </row>
    <row r="316" spans="1:8" s="77" customFormat="1" ht="23.25" customHeight="1" x14ac:dyDescent="0.25">
      <c r="A316" s="76"/>
      <c r="B316" s="76"/>
      <c r="C316" s="76"/>
      <c r="D316" s="76"/>
      <c r="E316" s="76"/>
      <c r="F316" s="76"/>
      <c r="G316" s="76"/>
      <c r="H316" t="str">
        <f t="shared" si="5"/>
        <v/>
      </c>
    </row>
    <row r="317" spans="1:8" s="77" customFormat="1" ht="23.25" customHeight="1" x14ac:dyDescent="0.25">
      <c r="A317" s="76"/>
      <c r="B317" s="76"/>
      <c r="C317" s="76"/>
      <c r="D317" s="76"/>
      <c r="E317" s="76"/>
      <c r="F317" s="76"/>
      <c r="G317" s="76"/>
      <c r="H317" t="str">
        <f t="shared" si="5"/>
        <v/>
      </c>
    </row>
    <row r="318" spans="1:8" s="77" customFormat="1" ht="23.25" customHeight="1" x14ac:dyDescent="0.25">
      <c r="A318" s="76"/>
      <c r="B318" s="76"/>
      <c r="C318" s="76"/>
      <c r="D318" s="76"/>
      <c r="E318" s="76"/>
      <c r="F318" s="76"/>
      <c r="G318" s="76"/>
      <c r="H318" t="str">
        <f t="shared" si="5"/>
        <v/>
      </c>
    </row>
    <row r="319" spans="1:8" s="77" customFormat="1" ht="23.25" customHeight="1" x14ac:dyDescent="0.25">
      <c r="A319" s="76"/>
      <c r="B319" s="76"/>
      <c r="C319" s="76"/>
      <c r="D319" s="76"/>
      <c r="E319" s="76"/>
      <c r="F319" s="76"/>
      <c r="G319" s="76"/>
      <c r="H319" t="str">
        <f t="shared" si="5"/>
        <v/>
      </c>
    </row>
    <row r="320" spans="1:8" s="77" customFormat="1" ht="23.25" customHeight="1" x14ac:dyDescent="0.25">
      <c r="A320" s="76"/>
      <c r="B320" s="76"/>
      <c r="C320" s="76"/>
      <c r="D320" s="76"/>
      <c r="E320" s="76"/>
      <c r="F320" s="76"/>
      <c r="G320" s="76"/>
      <c r="H320" t="str">
        <f t="shared" si="5"/>
        <v/>
      </c>
    </row>
    <row r="321" spans="1:8" s="77" customFormat="1" ht="23.25" customHeight="1" x14ac:dyDescent="0.25">
      <c r="A321" s="76"/>
      <c r="B321" s="76"/>
      <c r="C321" s="76"/>
      <c r="D321" s="76"/>
      <c r="E321" s="76"/>
      <c r="F321" s="76"/>
      <c r="G321" s="76"/>
      <c r="H321" t="str">
        <f t="shared" si="5"/>
        <v/>
      </c>
    </row>
    <row r="322" spans="1:8" s="77" customFormat="1" ht="23.25" customHeight="1" x14ac:dyDescent="0.25">
      <c r="A322" s="76"/>
      <c r="B322" s="76"/>
      <c r="C322" s="76"/>
      <c r="D322" s="76"/>
      <c r="E322" s="76"/>
      <c r="F322" s="76"/>
      <c r="G322" s="76"/>
      <c r="H322" t="str">
        <f t="shared" si="5"/>
        <v/>
      </c>
    </row>
    <row r="323" spans="1:8" s="77" customFormat="1" ht="23.25" customHeight="1" x14ac:dyDescent="0.25">
      <c r="A323" s="76"/>
      <c r="B323" s="76"/>
      <c r="C323" s="76"/>
      <c r="D323" s="76"/>
      <c r="E323" s="76"/>
      <c r="F323" s="76"/>
      <c r="G323" s="76"/>
      <c r="H323" t="str">
        <f t="shared" si="5"/>
        <v/>
      </c>
    </row>
    <row r="324" spans="1:8" s="77" customFormat="1" ht="23.25" customHeight="1" x14ac:dyDescent="0.25">
      <c r="A324" s="76"/>
      <c r="B324" s="76"/>
      <c r="C324" s="76"/>
      <c r="D324" s="76"/>
      <c r="E324" s="76"/>
      <c r="F324" s="76"/>
      <c r="G324" s="76"/>
      <c r="H324" t="str">
        <f t="shared" si="5"/>
        <v/>
      </c>
    </row>
    <row r="325" spans="1:8" s="77" customFormat="1" ht="23.25" customHeight="1" x14ac:dyDescent="0.25">
      <c r="A325" s="76"/>
      <c r="B325" s="76"/>
      <c r="C325" s="76"/>
      <c r="D325" s="76"/>
      <c r="E325" s="76"/>
      <c r="F325" s="76"/>
      <c r="G325" s="76"/>
      <c r="H325" t="str">
        <f t="shared" si="5"/>
        <v/>
      </c>
    </row>
    <row r="326" spans="1:8" s="77" customFormat="1" ht="23.25" customHeight="1" x14ac:dyDescent="0.25">
      <c r="A326" s="76"/>
      <c r="B326" s="76"/>
      <c r="C326" s="76"/>
      <c r="D326" s="76"/>
      <c r="E326" s="76"/>
      <c r="F326" s="76"/>
      <c r="G326" s="76"/>
      <c r="H326" t="str">
        <f t="shared" si="5"/>
        <v/>
      </c>
    </row>
    <row r="327" spans="1:8" s="77" customFormat="1" ht="23.25" customHeight="1" x14ac:dyDescent="0.25">
      <c r="A327" s="76"/>
      <c r="B327" s="76"/>
      <c r="C327" s="76"/>
      <c r="D327" s="76"/>
      <c r="E327" s="76"/>
      <c r="F327" s="76"/>
      <c r="G327" s="76"/>
      <c r="H327" t="str">
        <f t="shared" si="5"/>
        <v/>
      </c>
    </row>
    <row r="328" spans="1:8" s="77" customFormat="1" ht="23.25" customHeight="1" x14ac:dyDescent="0.25">
      <c r="A328" s="76"/>
      <c r="B328" s="76"/>
      <c r="C328" s="76"/>
      <c r="D328" s="76"/>
      <c r="E328" s="76"/>
      <c r="F328" s="76"/>
      <c r="G328" s="76"/>
      <c r="H328" t="str">
        <f t="shared" si="5"/>
        <v/>
      </c>
    </row>
    <row r="329" spans="1:8" s="77" customFormat="1" ht="23.25" customHeight="1" x14ac:dyDescent="0.25">
      <c r="A329" s="76"/>
      <c r="B329" s="76"/>
      <c r="C329" s="76"/>
      <c r="D329" s="76"/>
      <c r="E329" s="76"/>
      <c r="F329" s="76"/>
      <c r="G329" s="76"/>
      <c r="H329" t="str">
        <f t="shared" si="5"/>
        <v/>
      </c>
    </row>
    <row r="330" spans="1:8" s="77" customFormat="1" ht="23.25" customHeight="1" x14ac:dyDescent="0.25">
      <c r="A330" s="76"/>
      <c r="B330" s="76"/>
      <c r="C330" s="76"/>
      <c r="D330" s="76"/>
      <c r="E330" s="76"/>
      <c r="F330" s="76"/>
      <c r="G330" s="76"/>
      <c r="H330" t="str">
        <f t="shared" si="5"/>
        <v/>
      </c>
    </row>
    <row r="331" spans="1:8" s="77" customFormat="1" ht="23.25" customHeight="1" x14ac:dyDescent="0.25">
      <c r="A331" s="76"/>
      <c r="B331" s="76"/>
      <c r="C331" s="76"/>
      <c r="D331" s="76"/>
      <c r="E331" s="76"/>
      <c r="F331" s="76"/>
      <c r="G331" s="76"/>
      <c r="H331" t="str">
        <f t="shared" si="5"/>
        <v/>
      </c>
    </row>
    <row r="332" spans="1:8" s="77" customFormat="1" ht="23.25" customHeight="1" x14ac:dyDescent="0.25">
      <c r="A332" s="76"/>
      <c r="B332" s="76"/>
      <c r="C332" s="76"/>
      <c r="D332" s="76"/>
      <c r="E332" s="76"/>
      <c r="F332" s="76"/>
      <c r="G332" s="76"/>
      <c r="H332" t="str">
        <f t="shared" si="5"/>
        <v/>
      </c>
    </row>
    <row r="333" spans="1:8" s="77" customFormat="1" ht="23.25" customHeight="1" x14ac:dyDescent="0.25">
      <c r="A333" s="76"/>
      <c r="B333" s="76"/>
      <c r="C333" s="76"/>
      <c r="D333" s="76"/>
      <c r="E333" s="76"/>
      <c r="F333" s="76"/>
      <c r="G333" s="76"/>
      <c r="H333" t="str">
        <f t="shared" si="5"/>
        <v/>
      </c>
    </row>
    <row r="334" spans="1:8" s="77" customFormat="1" ht="23.25" customHeight="1" x14ac:dyDescent="0.25">
      <c r="A334" s="76"/>
      <c r="B334" s="76"/>
      <c r="C334" s="76"/>
      <c r="D334" s="76"/>
      <c r="E334" s="76"/>
      <c r="F334" s="76"/>
      <c r="G334" s="76"/>
      <c r="H334" t="str">
        <f t="shared" si="5"/>
        <v/>
      </c>
    </row>
    <row r="335" spans="1:8" s="77" customFormat="1" ht="23.25" customHeight="1" x14ac:dyDescent="0.25">
      <c r="A335" s="76"/>
      <c r="B335" s="76"/>
      <c r="C335" s="76"/>
      <c r="D335" s="76"/>
      <c r="E335" s="76"/>
      <c r="F335" s="76"/>
      <c r="G335" s="76"/>
      <c r="H335" t="str">
        <f t="shared" si="5"/>
        <v/>
      </c>
    </row>
    <row r="336" spans="1:8" s="77" customFormat="1" ht="23.25" customHeight="1" x14ac:dyDescent="0.25">
      <c r="A336" s="76"/>
      <c r="B336" s="76"/>
      <c r="C336" s="76"/>
      <c r="D336" s="76"/>
      <c r="E336" s="76"/>
      <c r="F336" s="76"/>
      <c r="G336" s="76"/>
      <c r="H336" t="str">
        <f t="shared" si="5"/>
        <v/>
      </c>
    </row>
    <row r="337" spans="1:8" s="77" customFormat="1" ht="23.25" customHeight="1" x14ac:dyDescent="0.25">
      <c r="A337" s="76"/>
      <c r="B337" s="76"/>
      <c r="C337" s="76"/>
      <c r="D337" s="76"/>
      <c r="E337" s="76"/>
      <c r="F337" s="76"/>
      <c r="G337" s="76"/>
      <c r="H337" t="str">
        <f t="shared" si="5"/>
        <v/>
      </c>
    </row>
    <row r="338" spans="1:8" s="77" customFormat="1" ht="23.25" customHeight="1" x14ac:dyDescent="0.25">
      <c r="A338" s="76"/>
      <c r="B338" s="76"/>
      <c r="C338" s="76"/>
      <c r="D338" s="76"/>
      <c r="E338" s="76"/>
      <c r="F338" s="76"/>
      <c r="G338" s="76"/>
      <c r="H338" t="str">
        <f t="shared" si="5"/>
        <v/>
      </c>
    </row>
    <row r="339" spans="1:8" s="77" customFormat="1" ht="23.25" customHeight="1" x14ac:dyDescent="0.25">
      <c r="A339" s="76"/>
      <c r="B339" s="76"/>
      <c r="C339" s="76"/>
      <c r="D339" s="76"/>
      <c r="E339" s="76"/>
      <c r="F339" s="76"/>
      <c r="G339" s="76"/>
      <c r="H339" t="str">
        <f t="shared" si="5"/>
        <v/>
      </c>
    </row>
    <row r="340" spans="1:8" s="77" customFormat="1" ht="23.25" customHeight="1" x14ac:dyDescent="0.25">
      <c r="A340" s="76"/>
      <c r="B340" s="76"/>
      <c r="C340" s="76"/>
      <c r="D340" s="76"/>
      <c r="E340" s="76"/>
      <c r="F340" s="76"/>
      <c r="G340" s="76"/>
      <c r="H340" t="str">
        <f t="shared" si="5"/>
        <v/>
      </c>
    </row>
    <row r="341" spans="1:8" s="77" customFormat="1" ht="23.25" customHeight="1" x14ac:dyDescent="0.25">
      <c r="A341" s="76"/>
      <c r="B341" s="76"/>
      <c r="C341" s="76"/>
      <c r="D341" s="76"/>
      <c r="E341" s="76"/>
      <c r="F341" s="76"/>
      <c r="G341" s="76"/>
      <c r="H341" t="str">
        <f t="shared" si="5"/>
        <v/>
      </c>
    </row>
    <row r="342" spans="1:8" s="77" customFormat="1" ht="23.25" customHeight="1" x14ac:dyDescent="0.25">
      <c r="A342" s="76"/>
      <c r="B342" s="76"/>
      <c r="C342" s="76"/>
      <c r="D342" s="76"/>
      <c r="E342" s="76"/>
      <c r="F342" s="76"/>
      <c r="G342" s="76"/>
      <c r="H342" t="str">
        <f t="shared" si="5"/>
        <v/>
      </c>
    </row>
    <row r="343" spans="1:8" s="77" customFormat="1" ht="23.25" customHeight="1" x14ac:dyDescent="0.25">
      <c r="A343" s="76"/>
      <c r="B343" s="76"/>
      <c r="C343" s="76"/>
      <c r="D343" s="76"/>
      <c r="E343" s="76"/>
      <c r="F343" s="76"/>
      <c r="G343" s="76"/>
      <c r="H343" t="str">
        <f t="shared" si="5"/>
        <v/>
      </c>
    </row>
    <row r="344" spans="1:8" s="77" customFormat="1" ht="23.25" customHeight="1" x14ac:dyDescent="0.25">
      <c r="A344" s="76"/>
      <c r="B344" s="76"/>
      <c r="C344" s="76"/>
      <c r="D344" s="76"/>
      <c r="E344" s="76"/>
      <c r="F344" s="76"/>
      <c r="G344" s="76"/>
      <c r="H344" t="str">
        <f t="shared" si="5"/>
        <v/>
      </c>
    </row>
    <row r="345" spans="1:8" s="77" customFormat="1" ht="23.25" customHeight="1" x14ac:dyDescent="0.25">
      <c r="A345" s="76"/>
      <c r="B345" s="76"/>
      <c r="C345" s="76"/>
      <c r="D345" s="76"/>
      <c r="E345" s="76"/>
      <c r="F345" s="76"/>
      <c r="G345" s="76"/>
      <c r="H345" t="str">
        <f t="shared" si="5"/>
        <v/>
      </c>
    </row>
    <row r="346" spans="1:8" s="77" customFormat="1" ht="23.25" customHeight="1" x14ac:dyDescent="0.25">
      <c r="A346" s="76"/>
      <c r="B346" s="76"/>
      <c r="C346" s="76"/>
      <c r="D346" s="76"/>
      <c r="E346" s="76"/>
      <c r="F346" s="76"/>
      <c r="G346" s="76"/>
      <c r="H346" t="str">
        <f t="shared" si="5"/>
        <v/>
      </c>
    </row>
    <row r="347" spans="1:8" s="77" customFormat="1" ht="23.25" customHeight="1" x14ac:dyDescent="0.25">
      <c r="A347" s="76"/>
      <c r="B347" s="76"/>
      <c r="C347" s="76"/>
      <c r="D347" s="76"/>
      <c r="E347" s="76"/>
      <c r="F347" s="76"/>
      <c r="G347" s="76"/>
      <c r="H347" t="str">
        <f t="shared" ref="H347:H410" si="6">IF(ISBLANK(A347),"",SUM(B347:G347))</f>
        <v/>
      </c>
    </row>
    <row r="348" spans="1:8" s="77" customFormat="1" ht="23.25" customHeight="1" x14ac:dyDescent="0.25">
      <c r="A348" s="76"/>
      <c r="B348" s="76"/>
      <c r="C348" s="76"/>
      <c r="D348" s="76"/>
      <c r="E348" s="76"/>
      <c r="F348" s="76"/>
      <c r="G348" s="76"/>
      <c r="H348" t="str">
        <f t="shared" si="6"/>
        <v/>
      </c>
    </row>
    <row r="349" spans="1:8" s="77" customFormat="1" ht="23.25" customHeight="1" x14ac:dyDescent="0.25">
      <c r="A349" s="76"/>
      <c r="B349" s="76"/>
      <c r="C349" s="76"/>
      <c r="D349" s="76"/>
      <c r="E349" s="76"/>
      <c r="F349" s="76"/>
      <c r="G349" s="76"/>
      <c r="H349" t="str">
        <f t="shared" si="6"/>
        <v/>
      </c>
    </row>
    <row r="350" spans="1:8" s="77" customFormat="1" ht="23.25" customHeight="1" x14ac:dyDescent="0.25">
      <c r="A350" s="76"/>
      <c r="B350" s="76"/>
      <c r="C350" s="76"/>
      <c r="D350" s="76"/>
      <c r="E350" s="76"/>
      <c r="F350" s="76"/>
      <c r="G350" s="76"/>
      <c r="H350" t="str">
        <f t="shared" si="6"/>
        <v/>
      </c>
    </row>
    <row r="351" spans="1:8" s="77" customFormat="1" ht="23.25" customHeight="1" x14ac:dyDescent="0.25">
      <c r="A351" s="76"/>
      <c r="B351" s="76"/>
      <c r="C351" s="76"/>
      <c r="D351" s="76"/>
      <c r="E351" s="76"/>
      <c r="F351" s="76"/>
      <c r="G351" s="76"/>
      <c r="H351" t="str">
        <f t="shared" si="6"/>
        <v/>
      </c>
    </row>
    <row r="352" spans="1:8" s="77" customFormat="1" ht="23.25" customHeight="1" x14ac:dyDescent="0.25">
      <c r="A352" s="76"/>
      <c r="B352" s="76"/>
      <c r="C352" s="76"/>
      <c r="D352" s="76"/>
      <c r="E352" s="76"/>
      <c r="F352" s="76"/>
      <c r="G352" s="76"/>
      <c r="H352" t="str">
        <f t="shared" si="6"/>
        <v/>
      </c>
    </row>
    <row r="353" spans="1:8" s="77" customFormat="1" ht="23.25" customHeight="1" x14ac:dyDescent="0.25">
      <c r="A353" s="76"/>
      <c r="B353" s="76"/>
      <c r="C353" s="76"/>
      <c r="D353" s="76"/>
      <c r="E353" s="76"/>
      <c r="F353" s="76"/>
      <c r="G353" s="76"/>
      <c r="H353" t="str">
        <f t="shared" si="6"/>
        <v/>
      </c>
    </row>
    <row r="354" spans="1:8" s="77" customFormat="1" ht="23.25" customHeight="1" x14ac:dyDescent="0.25">
      <c r="A354" s="76"/>
      <c r="B354" s="76"/>
      <c r="C354" s="76"/>
      <c r="D354" s="76"/>
      <c r="E354" s="76"/>
      <c r="F354" s="76"/>
      <c r="G354" s="76"/>
      <c r="H354" t="str">
        <f t="shared" si="6"/>
        <v/>
      </c>
    </row>
    <row r="355" spans="1:8" s="77" customFormat="1" ht="23.25" customHeight="1" x14ac:dyDescent="0.25">
      <c r="A355" s="76"/>
      <c r="B355" s="76"/>
      <c r="C355" s="76"/>
      <c r="D355" s="76"/>
      <c r="E355" s="76"/>
      <c r="F355" s="76"/>
      <c r="G355" s="76"/>
      <c r="H355" t="str">
        <f t="shared" si="6"/>
        <v/>
      </c>
    </row>
    <row r="356" spans="1:8" s="77" customFormat="1" ht="23.25" customHeight="1" x14ac:dyDescent="0.25">
      <c r="A356" s="76"/>
      <c r="B356" s="76"/>
      <c r="C356" s="76"/>
      <c r="D356" s="76"/>
      <c r="E356" s="76"/>
      <c r="F356" s="76"/>
      <c r="G356" s="76"/>
      <c r="H356" t="str">
        <f t="shared" si="6"/>
        <v/>
      </c>
    </row>
    <row r="357" spans="1:8" s="77" customFormat="1" ht="23.25" customHeight="1" x14ac:dyDescent="0.25">
      <c r="A357" s="76"/>
      <c r="B357" s="76"/>
      <c r="C357" s="76"/>
      <c r="D357" s="76"/>
      <c r="E357" s="76"/>
      <c r="F357" s="76"/>
      <c r="G357" s="76"/>
      <c r="H357" t="str">
        <f t="shared" si="6"/>
        <v/>
      </c>
    </row>
    <row r="358" spans="1:8" s="77" customFormat="1" ht="23.25" customHeight="1" x14ac:dyDescent="0.25">
      <c r="A358" s="76"/>
      <c r="B358" s="76"/>
      <c r="C358" s="76"/>
      <c r="D358" s="76"/>
      <c r="E358" s="76"/>
      <c r="F358" s="76"/>
      <c r="G358" s="76"/>
      <c r="H358" t="str">
        <f t="shared" si="6"/>
        <v/>
      </c>
    </row>
    <row r="359" spans="1:8" s="77" customFormat="1" ht="23.25" customHeight="1" x14ac:dyDescent="0.25">
      <c r="A359" s="76"/>
      <c r="B359" s="76"/>
      <c r="C359" s="76"/>
      <c r="D359" s="76"/>
      <c r="E359" s="76"/>
      <c r="F359" s="76"/>
      <c r="G359" s="76"/>
      <c r="H359" t="str">
        <f t="shared" si="6"/>
        <v/>
      </c>
    </row>
    <row r="360" spans="1:8" s="77" customFormat="1" ht="23.25" customHeight="1" x14ac:dyDescent="0.25">
      <c r="A360" s="76"/>
      <c r="B360" s="76"/>
      <c r="C360" s="76"/>
      <c r="D360" s="76"/>
      <c r="E360" s="76"/>
      <c r="F360" s="76"/>
      <c r="G360" s="76"/>
      <c r="H360" t="str">
        <f t="shared" si="6"/>
        <v/>
      </c>
    </row>
    <row r="361" spans="1:8" s="77" customFormat="1" ht="23.25" customHeight="1" x14ac:dyDescent="0.25">
      <c r="A361" s="76"/>
      <c r="B361" s="76"/>
      <c r="C361" s="76"/>
      <c r="D361" s="76"/>
      <c r="E361" s="76"/>
      <c r="F361" s="76"/>
      <c r="G361" s="76"/>
      <c r="H361" t="str">
        <f t="shared" si="6"/>
        <v/>
      </c>
    </row>
    <row r="362" spans="1:8" s="77" customFormat="1" ht="23.25" customHeight="1" x14ac:dyDescent="0.25">
      <c r="A362" s="76"/>
      <c r="B362" s="76"/>
      <c r="C362" s="76"/>
      <c r="D362" s="76"/>
      <c r="E362" s="76"/>
      <c r="F362" s="76"/>
      <c r="G362" s="76"/>
      <c r="H362" t="str">
        <f t="shared" si="6"/>
        <v/>
      </c>
    </row>
    <row r="363" spans="1:8" s="77" customFormat="1" ht="23.25" customHeight="1" x14ac:dyDescent="0.25">
      <c r="A363" s="76"/>
      <c r="B363" s="76"/>
      <c r="C363" s="76"/>
      <c r="D363" s="76"/>
      <c r="E363" s="76"/>
      <c r="F363" s="76"/>
      <c r="G363" s="76"/>
      <c r="H363" t="str">
        <f t="shared" si="6"/>
        <v/>
      </c>
    </row>
    <row r="364" spans="1:8" s="77" customFormat="1" ht="23.25" customHeight="1" x14ac:dyDescent="0.25">
      <c r="A364" s="76"/>
      <c r="B364" s="76"/>
      <c r="C364" s="76"/>
      <c r="D364" s="76"/>
      <c r="E364" s="76"/>
      <c r="F364" s="76"/>
      <c r="G364" s="76"/>
      <c r="H364" t="str">
        <f t="shared" si="6"/>
        <v/>
      </c>
    </row>
    <row r="365" spans="1:8" s="77" customFormat="1" ht="23.25" customHeight="1" x14ac:dyDescent="0.25">
      <c r="A365" s="76"/>
      <c r="B365" s="76"/>
      <c r="C365" s="76"/>
      <c r="D365" s="76"/>
      <c r="E365" s="76"/>
      <c r="F365" s="76"/>
      <c r="G365" s="76"/>
      <c r="H365" t="str">
        <f t="shared" si="6"/>
        <v/>
      </c>
    </row>
    <row r="366" spans="1:8" s="77" customFormat="1" ht="23.25" customHeight="1" x14ac:dyDescent="0.25">
      <c r="A366" s="76"/>
      <c r="B366" s="76"/>
      <c r="C366" s="76"/>
      <c r="D366" s="76"/>
      <c r="E366" s="76"/>
      <c r="F366" s="76"/>
      <c r="G366" s="76"/>
      <c r="H366" t="str">
        <f t="shared" si="6"/>
        <v/>
      </c>
    </row>
    <row r="367" spans="1:8" s="77" customFormat="1" ht="23.25" customHeight="1" x14ac:dyDescent="0.25">
      <c r="A367" s="76"/>
      <c r="B367" s="76"/>
      <c r="C367" s="76"/>
      <c r="D367" s="76"/>
      <c r="E367" s="76"/>
      <c r="F367" s="76"/>
      <c r="G367" s="76"/>
      <c r="H367" t="str">
        <f t="shared" si="6"/>
        <v/>
      </c>
    </row>
    <row r="368" spans="1:8" s="77" customFormat="1" ht="23.25" customHeight="1" x14ac:dyDescent="0.25">
      <c r="A368" s="76"/>
      <c r="B368" s="76"/>
      <c r="C368" s="76"/>
      <c r="D368" s="76"/>
      <c r="E368" s="76"/>
      <c r="F368" s="76"/>
      <c r="G368" s="76"/>
      <c r="H368" t="str">
        <f t="shared" si="6"/>
        <v/>
      </c>
    </row>
    <row r="369" spans="1:8" s="77" customFormat="1" ht="23.25" customHeight="1" x14ac:dyDescent="0.25">
      <c r="A369" s="76"/>
      <c r="B369" s="76"/>
      <c r="C369" s="76"/>
      <c r="D369" s="76"/>
      <c r="E369" s="76"/>
      <c r="F369" s="76"/>
      <c r="G369" s="76"/>
      <c r="H369" t="str">
        <f t="shared" si="6"/>
        <v/>
      </c>
    </row>
    <row r="370" spans="1:8" s="77" customFormat="1" ht="23.25" customHeight="1" x14ac:dyDescent="0.25">
      <c r="A370" s="76"/>
      <c r="B370" s="76"/>
      <c r="C370" s="76"/>
      <c r="D370" s="76"/>
      <c r="E370" s="76"/>
      <c r="F370" s="76"/>
      <c r="G370" s="76"/>
      <c r="H370" t="str">
        <f t="shared" si="6"/>
        <v/>
      </c>
    </row>
    <row r="371" spans="1:8" s="77" customFormat="1" ht="23.25" customHeight="1" x14ac:dyDescent="0.25">
      <c r="A371" s="76"/>
      <c r="B371" s="76"/>
      <c r="C371" s="76"/>
      <c r="D371" s="76"/>
      <c r="E371" s="76"/>
      <c r="F371" s="76"/>
      <c r="G371" s="76"/>
      <c r="H371" t="str">
        <f t="shared" si="6"/>
        <v/>
      </c>
    </row>
    <row r="372" spans="1:8" s="77" customFormat="1" ht="23.25" customHeight="1" x14ac:dyDescent="0.25">
      <c r="A372" s="76"/>
      <c r="B372" s="76"/>
      <c r="C372" s="76"/>
      <c r="D372" s="76"/>
      <c r="E372" s="76"/>
      <c r="F372" s="76"/>
      <c r="G372" s="76"/>
      <c r="H372" t="str">
        <f t="shared" si="6"/>
        <v/>
      </c>
    </row>
    <row r="373" spans="1:8" s="77" customFormat="1" ht="23.25" customHeight="1" x14ac:dyDescent="0.25">
      <c r="A373" s="76"/>
      <c r="B373" s="76"/>
      <c r="C373" s="76"/>
      <c r="D373" s="76"/>
      <c r="E373" s="76"/>
      <c r="F373" s="76"/>
      <c r="G373" s="76"/>
      <c r="H373" t="str">
        <f t="shared" si="6"/>
        <v/>
      </c>
    </row>
    <row r="374" spans="1:8" s="77" customFormat="1" ht="23.25" customHeight="1" x14ac:dyDescent="0.25">
      <c r="A374" s="76"/>
      <c r="B374" s="76"/>
      <c r="C374" s="76"/>
      <c r="D374" s="76"/>
      <c r="E374" s="76"/>
      <c r="F374" s="76"/>
      <c r="G374" s="76"/>
      <c r="H374" t="str">
        <f t="shared" si="6"/>
        <v/>
      </c>
    </row>
    <row r="375" spans="1:8" s="77" customFormat="1" ht="23.25" customHeight="1" x14ac:dyDescent="0.25">
      <c r="A375" s="76"/>
      <c r="B375" s="76"/>
      <c r="C375" s="76"/>
      <c r="D375" s="76"/>
      <c r="E375" s="76"/>
      <c r="F375" s="76"/>
      <c r="G375" s="76"/>
      <c r="H375" t="str">
        <f t="shared" si="6"/>
        <v/>
      </c>
    </row>
    <row r="376" spans="1:8" s="77" customFormat="1" ht="23.25" customHeight="1" x14ac:dyDescent="0.25">
      <c r="A376" s="76"/>
      <c r="B376" s="76"/>
      <c r="C376" s="76"/>
      <c r="D376" s="76"/>
      <c r="E376" s="76"/>
      <c r="F376" s="76"/>
      <c r="G376" s="76"/>
      <c r="H376" t="str">
        <f t="shared" si="6"/>
        <v/>
      </c>
    </row>
    <row r="377" spans="1:8" s="77" customFormat="1" ht="23.25" customHeight="1" x14ac:dyDescent="0.25">
      <c r="A377" s="76"/>
      <c r="B377" s="76"/>
      <c r="C377" s="76"/>
      <c r="D377" s="76"/>
      <c r="E377" s="76"/>
      <c r="F377" s="76"/>
      <c r="G377" s="76"/>
      <c r="H377" t="str">
        <f t="shared" si="6"/>
        <v/>
      </c>
    </row>
    <row r="378" spans="1:8" s="77" customFormat="1" ht="23.25" customHeight="1" x14ac:dyDescent="0.25">
      <c r="A378" s="76"/>
      <c r="B378" s="76"/>
      <c r="C378" s="76"/>
      <c r="D378" s="76"/>
      <c r="E378" s="76"/>
      <c r="F378" s="76"/>
      <c r="G378" s="76"/>
      <c r="H378" t="str">
        <f t="shared" si="6"/>
        <v/>
      </c>
    </row>
    <row r="379" spans="1:8" s="77" customFormat="1" ht="23.25" customHeight="1" x14ac:dyDescent="0.25">
      <c r="A379" s="76"/>
      <c r="B379" s="76"/>
      <c r="C379" s="76"/>
      <c r="D379" s="76"/>
      <c r="E379" s="76"/>
      <c r="F379" s="76"/>
      <c r="G379" s="76"/>
      <c r="H379" t="str">
        <f t="shared" si="6"/>
        <v/>
      </c>
    </row>
    <row r="380" spans="1:8" s="77" customFormat="1" ht="23.25" customHeight="1" x14ac:dyDescent="0.25">
      <c r="A380" s="76"/>
      <c r="B380" s="76"/>
      <c r="C380" s="76"/>
      <c r="D380" s="76"/>
      <c r="E380" s="76"/>
      <c r="F380" s="76"/>
      <c r="G380" s="76"/>
      <c r="H380" t="str">
        <f t="shared" si="6"/>
        <v/>
      </c>
    </row>
    <row r="381" spans="1:8" s="77" customFormat="1" ht="23.25" customHeight="1" x14ac:dyDescent="0.25">
      <c r="A381" s="76"/>
      <c r="B381" s="76"/>
      <c r="C381" s="76"/>
      <c r="D381" s="76"/>
      <c r="E381" s="76"/>
      <c r="F381" s="76"/>
      <c r="G381" s="76"/>
      <c r="H381" t="str">
        <f t="shared" si="6"/>
        <v/>
      </c>
    </row>
    <row r="382" spans="1:8" s="77" customFormat="1" ht="23.25" customHeight="1" x14ac:dyDescent="0.25">
      <c r="A382" s="76"/>
      <c r="B382" s="76"/>
      <c r="C382" s="76"/>
      <c r="D382" s="76"/>
      <c r="E382" s="76"/>
      <c r="F382" s="76"/>
      <c r="G382" s="76"/>
      <c r="H382" t="str">
        <f t="shared" si="6"/>
        <v/>
      </c>
    </row>
    <row r="383" spans="1:8" s="77" customFormat="1" ht="23.25" customHeight="1" x14ac:dyDescent="0.25">
      <c r="A383" s="76"/>
      <c r="B383" s="76"/>
      <c r="C383" s="76"/>
      <c r="D383" s="76"/>
      <c r="E383" s="76"/>
      <c r="F383" s="76"/>
      <c r="G383" s="76"/>
      <c r="H383" t="str">
        <f t="shared" si="6"/>
        <v/>
      </c>
    </row>
    <row r="384" spans="1:8" s="77" customFormat="1" ht="23.25" customHeight="1" x14ac:dyDescent="0.25">
      <c r="A384" s="76"/>
      <c r="B384" s="76"/>
      <c r="C384" s="76"/>
      <c r="D384" s="76"/>
      <c r="E384" s="76"/>
      <c r="F384" s="76"/>
      <c r="G384" s="76"/>
      <c r="H384" t="str">
        <f t="shared" si="6"/>
        <v/>
      </c>
    </row>
    <row r="385" spans="1:8" s="77" customFormat="1" ht="23.25" customHeight="1" x14ac:dyDescent="0.25">
      <c r="A385" s="76"/>
      <c r="B385" s="76"/>
      <c r="C385" s="76"/>
      <c r="D385" s="76"/>
      <c r="E385" s="76"/>
      <c r="F385" s="76"/>
      <c r="G385" s="76"/>
      <c r="H385" t="str">
        <f t="shared" si="6"/>
        <v/>
      </c>
    </row>
    <row r="386" spans="1:8" s="77" customFormat="1" ht="23.25" customHeight="1" x14ac:dyDescent="0.25">
      <c r="A386" s="76"/>
      <c r="B386" s="76"/>
      <c r="C386" s="76"/>
      <c r="D386" s="76"/>
      <c r="E386" s="76"/>
      <c r="F386" s="76"/>
      <c r="G386" s="76"/>
      <c r="H386" t="str">
        <f t="shared" si="6"/>
        <v/>
      </c>
    </row>
    <row r="387" spans="1:8" s="77" customFormat="1" ht="23.25" customHeight="1" x14ac:dyDescent="0.25">
      <c r="A387" s="76"/>
      <c r="B387" s="76"/>
      <c r="C387" s="76"/>
      <c r="D387" s="76"/>
      <c r="E387" s="76"/>
      <c r="F387" s="76"/>
      <c r="G387" s="76"/>
      <c r="H387" t="str">
        <f t="shared" si="6"/>
        <v/>
      </c>
    </row>
    <row r="388" spans="1:8" s="77" customFormat="1" ht="23.25" customHeight="1" x14ac:dyDescent="0.25">
      <c r="A388" s="76"/>
      <c r="B388" s="76"/>
      <c r="C388" s="76"/>
      <c r="D388" s="76"/>
      <c r="E388" s="76"/>
      <c r="F388" s="76"/>
      <c r="G388" s="76"/>
      <c r="H388" t="str">
        <f t="shared" si="6"/>
        <v/>
      </c>
    </row>
    <row r="389" spans="1:8" s="77" customFormat="1" ht="23.25" customHeight="1" x14ac:dyDescent="0.25">
      <c r="A389" s="76"/>
      <c r="B389" s="76"/>
      <c r="C389" s="76"/>
      <c r="D389" s="76"/>
      <c r="E389" s="76"/>
      <c r="F389" s="76"/>
      <c r="G389" s="76"/>
      <c r="H389" t="str">
        <f t="shared" si="6"/>
        <v/>
      </c>
    </row>
    <row r="390" spans="1:8" s="77" customFormat="1" ht="23.25" customHeight="1" x14ac:dyDescent="0.25">
      <c r="A390" s="76"/>
      <c r="B390" s="76"/>
      <c r="C390" s="76"/>
      <c r="D390" s="76"/>
      <c r="E390" s="76"/>
      <c r="F390" s="76"/>
      <c r="G390" s="76"/>
      <c r="H390" t="str">
        <f t="shared" si="6"/>
        <v/>
      </c>
    </row>
    <row r="391" spans="1:8" s="77" customFormat="1" ht="23.25" customHeight="1" x14ac:dyDescent="0.25">
      <c r="A391" s="76"/>
      <c r="B391" s="76"/>
      <c r="C391" s="76"/>
      <c r="D391" s="76"/>
      <c r="E391" s="76"/>
      <c r="F391" s="76"/>
      <c r="G391" s="76"/>
      <c r="H391" t="str">
        <f t="shared" si="6"/>
        <v/>
      </c>
    </row>
    <row r="392" spans="1:8" s="77" customFormat="1" ht="23.25" customHeight="1" x14ac:dyDescent="0.25">
      <c r="A392" s="76"/>
      <c r="B392" s="76"/>
      <c r="C392" s="76"/>
      <c r="D392" s="76"/>
      <c r="E392" s="76"/>
      <c r="F392" s="76"/>
      <c r="G392" s="76"/>
      <c r="H392" t="str">
        <f t="shared" si="6"/>
        <v/>
      </c>
    </row>
    <row r="393" spans="1:8" s="77" customFormat="1" ht="23.25" customHeight="1" x14ac:dyDescent="0.25">
      <c r="A393" s="76"/>
      <c r="B393" s="76"/>
      <c r="C393" s="76"/>
      <c r="D393" s="76"/>
      <c r="E393" s="76"/>
      <c r="F393" s="76"/>
      <c r="G393" s="76"/>
      <c r="H393" t="str">
        <f t="shared" si="6"/>
        <v/>
      </c>
    </row>
    <row r="394" spans="1:8" s="77" customFormat="1" ht="23.25" customHeight="1" x14ac:dyDescent="0.25">
      <c r="A394" s="76"/>
      <c r="B394" s="76"/>
      <c r="C394" s="76"/>
      <c r="D394" s="76"/>
      <c r="E394" s="76"/>
      <c r="F394" s="76"/>
      <c r="G394" s="76"/>
      <c r="H394" t="str">
        <f t="shared" si="6"/>
        <v/>
      </c>
    </row>
    <row r="395" spans="1:8" s="77" customFormat="1" ht="23.25" customHeight="1" x14ac:dyDescent="0.25">
      <c r="A395" s="76"/>
      <c r="B395" s="76"/>
      <c r="C395" s="76"/>
      <c r="D395" s="76"/>
      <c r="E395" s="76"/>
      <c r="F395" s="76"/>
      <c r="G395" s="76"/>
      <c r="H395" t="str">
        <f t="shared" si="6"/>
        <v/>
      </c>
    </row>
    <row r="396" spans="1:8" s="77" customFormat="1" ht="23.25" customHeight="1" x14ac:dyDescent="0.25">
      <c r="A396" s="76"/>
      <c r="B396" s="76"/>
      <c r="C396" s="76"/>
      <c r="D396" s="76"/>
      <c r="E396" s="76"/>
      <c r="F396" s="76"/>
      <c r="G396" s="76"/>
      <c r="H396" t="str">
        <f t="shared" si="6"/>
        <v/>
      </c>
    </row>
    <row r="397" spans="1:8" s="77" customFormat="1" ht="23.25" customHeight="1" x14ac:dyDescent="0.25">
      <c r="A397" s="76"/>
      <c r="B397" s="76"/>
      <c r="C397" s="76"/>
      <c r="D397" s="76"/>
      <c r="E397" s="76"/>
      <c r="F397" s="76"/>
      <c r="G397" s="76"/>
      <c r="H397" t="str">
        <f t="shared" si="6"/>
        <v/>
      </c>
    </row>
    <row r="398" spans="1:8" s="77" customFormat="1" ht="23.25" customHeight="1" x14ac:dyDescent="0.25">
      <c r="A398" s="76"/>
      <c r="B398" s="76"/>
      <c r="C398" s="76"/>
      <c r="D398" s="76"/>
      <c r="E398" s="76"/>
      <c r="F398" s="76"/>
      <c r="G398" s="76"/>
      <c r="H398" t="str">
        <f t="shared" si="6"/>
        <v/>
      </c>
    </row>
    <row r="399" spans="1:8" s="77" customFormat="1" ht="23.25" customHeight="1" x14ac:dyDescent="0.25">
      <c r="A399" s="76"/>
      <c r="B399" s="76"/>
      <c r="C399" s="76"/>
      <c r="D399" s="76"/>
      <c r="E399" s="76"/>
      <c r="F399" s="76"/>
      <c r="G399" s="76"/>
      <c r="H399" t="str">
        <f t="shared" si="6"/>
        <v/>
      </c>
    </row>
    <row r="400" spans="1:8" s="77" customFormat="1" ht="23.25" customHeight="1" x14ac:dyDescent="0.25">
      <c r="A400" s="76"/>
      <c r="B400" s="76"/>
      <c r="C400" s="76"/>
      <c r="D400" s="76"/>
      <c r="E400" s="76"/>
      <c r="F400" s="76"/>
      <c r="G400" s="76"/>
      <c r="H400" t="str">
        <f t="shared" si="6"/>
        <v/>
      </c>
    </row>
    <row r="401" spans="1:8" s="77" customFormat="1" ht="23.25" customHeight="1" x14ac:dyDescent="0.25">
      <c r="A401" s="76"/>
      <c r="B401" s="76"/>
      <c r="C401" s="76"/>
      <c r="D401" s="76"/>
      <c r="E401" s="76"/>
      <c r="F401" s="76"/>
      <c r="G401" s="76"/>
      <c r="H401" t="str">
        <f t="shared" si="6"/>
        <v/>
      </c>
    </row>
    <row r="402" spans="1:8" s="77" customFormat="1" ht="23.25" customHeight="1" x14ac:dyDescent="0.25">
      <c r="A402" s="76"/>
      <c r="B402" s="76"/>
      <c r="C402" s="76"/>
      <c r="D402" s="76"/>
      <c r="E402" s="76"/>
      <c r="F402" s="76"/>
      <c r="G402" s="76"/>
      <c r="H402" t="str">
        <f t="shared" si="6"/>
        <v/>
      </c>
    </row>
    <row r="403" spans="1:8" s="77" customFormat="1" ht="23.25" customHeight="1" x14ac:dyDescent="0.25">
      <c r="A403" s="76"/>
      <c r="B403" s="76"/>
      <c r="C403" s="76"/>
      <c r="D403" s="76"/>
      <c r="E403" s="76"/>
      <c r="F403" s="76"/>
      <c r="G403" s="76"/>
      <c r="H403" t="str">
        <f t="shared" si="6"/>
        <v/>
      </c>
    </row>
    <row r="404" spans="1:8" s="77" customFormat="1" ht="23.25" customHeight="1" x14ac:dyDescent="0.25">
      <c r="A404" s="76"/>
      <c r="B404" s="76"/>
      <c r="C404" s="76"/>
      <c r="D404" s="76"/>
      <c r="E404" s="76"/>
      <c r="F404" s="76"/>
      <c r="G404" s="76"/>
      <c r="H404" t="str">
        <f t="shared" si="6"/>
        <v/>
      </c>
    </row>
    <row r="405" spans="1:8" s="77" customFormat="1" ht="23.25" customHeight="1" x14ac:dyDescent="0.25">
      <c r="A405" s="76"/>
      <c r="B405" s="76"/>
      <c r="C405" s="76"/>
      <c r="D405" s="76"/>
      <c r="E405" s="76"/>
      <c r="F405" s="76"/>
      <c r="G405" s="76"/>
      <c r="H405" t="str">
        <f t="shared" si="6"/>
        <v/>
      </c>
    </row>
    <row r="406" spans="1:8" s="77" customFormat="1" ht="23.25" customHeight="1" x14ac:dyDescent="0.25">
      <c r="A406" s="76"/>
      <c r="B406" s="76"/>
      <c r="C406" s="76"/>
      <c r="D406" s="76"/>
      <c r="E406" s="76"/>
      <c r="F406" s="76"/>
      <c r="G406" s="76"/>
      <c r="H406" t="str">
        <f t="shared" si="6"/>
        <v/>
      </c>
    </row>
    <row r="407" spans="1:8" s="77" customFormat="1" ht="23.25" customHeight="1" x14ac:dyDescent="0.25">
      <c r="A407" s="76"/>
      <c r="B407" s="76"/>
      <c r="C407" s="76"/>
      <c r="D407" s="76"/>
      <c r="E407" s="76"/>
      <c r="F407" s="76"/>
      <c r="G407" s="76"/>
      <c r="H407" t="str">
        <f t="shared" si="6"/>
        <v/>
      </c>
    </row>
    <row r="408" spans="1:8" s="77" customFormat="1" ht="23.25" customHeight="1" x14ac:dyDescent="0.25">
      <c r="A408" s="76"/>
      <c r="B408" s="76"/>
      <c r="C408" s="76"/>
      <c r="D408" s="76"/>
      <c r="E408" s="76"/>
      <c r="F408" s="76"/>
      <c r="G408" s="76"/>
      <c r="H408" t="str">
        <f t="shared" si="6"/>
        <v/>
      </c>
    </row>
    <row r="409" spans="1:8" s="77" customFormat="1" ht="23.25" customHeight="1" x14ac:dyDescent="0.25">
      <c r="A409" s="76"/>
      <c r="B409" s="76"/>
      <c r="C409" s="76"/>
      <c r="D409" s="76"/>
      <c r="E409" s="76"/>
      <c r="F409" s="76"/>
      <c r="G409" s="76"/>
      <c r="H409" t="str">
        <f t="shared" si="6"/>
        <v/>
      </c>
    </row>
    <row r="410" spans="1:8" s="77" customFormat="1" ht="23.25" customHeight="1" x14ac:dyDescent="0.25">
      <c r="A410" s="76"/>
      <c r="B410" s="76"/>
      <c r="C410" s="76"/>
      <c r="D410" s="76"/>
      <c r="E410" s="76"/>
      <c r="F410" s="76"/>
      <c r="G410" s="76"/>
      <c r="H410" t="str">
        <f t="shared" si="6"/>
        <v/>
      </c>
    </row>
    <row r="411" spans="1:8" s="77" customFormat="1" ht="23.25" customHeight="1" x14ac:dyDescent="0.25">
      <c r="A411" s="76"/>
      <c r="B411" s="76"/>
      <c r="C411" s="76"/>
      <c r="D411" s="76"/>
      <c r="E411" s="76"/>
      <c r="F411" s="76"/>
      <c r="G411" s="76"/>
      <c r="H411" t="str">
        <f t="shared" ref="H411:H474" si="7">IF(ISBLANK(A411),"",SUM(B411:G411))</f>
        <v/>
      </c>
    </row>
    <row r="412" spans="1:8" s="77" customFormat="1" ht="23.25" customHeight="1" x14ac:dyDescent="0.25">
      <c r="A412" s="76"/>
      <c r="B412" s="76"/>
      <c r="C412" s="76"/>
      <c r="D412" s="76"/>
      <c r="E412" s="76"/>
      <c r="F412" s="76"/>
      <c r="G412" s="76"/>
      <c r="H412" t="str">
        <f t="shared" si="7"/>
        <v/>
      </c>
    </row>
    <row r="413" spans="1:8" s="77" customFormat="1" ht="23.25" customHeight="1" x14ac:dyDescent="0.25">
      <c r="A413" s="76"/>
      <c r="B413" s="76"/>
      <c r="C413" s="76"/>
      <c r="D413" s="76"/>
      <c r="E413" s="76"/>
      <c r="F413" s="76"/>
      <c r="G413" s="76"/>
      <c r="H413" t="str">
        <f t="shared" si="7"/>
        <v/>
      </c>
    </row>
    <row r="414" spans="1:8" s="77" customFormat="1" ht="23.25" customHeight="1" x14ac:dyDescent="0.25">
      <c r="A414" s="76"/>
      <c r="B414" s="76"/>
      <c r="C414" s="76"/>
      <c r="D414" s="76"/>
      <c r="E414" s="76"/>
      <c r="F414" s="76"/>
      <c r="G414" s="76"/>
      <c r="H414" t="str">
        <f t="shared" si="7"/>
        <v/>
      </c>
    </row>
    <row r="415" spans="1:8" s="77" customFormat="1" ht="23.25" customHeight="1" x14ac:dyDescent="0.25">
      <c r="A415" s="76"/>
      <c r="B415" s="76"/>
      <c r="C415" s="76"/>
      <c r="D415" s="76"/>
      <c r="E415" s="76"/>
      <c r="F415" s="76"/>
      <c r="G415" s="76"/>
      <c r="H415" t="str">
        <f t="shared" si="7"/>
        <v/>
      </c>
    </row>
    <row r="416" spans="1:8" s="77" customFormat="1" ht="23.25" customHeight="1" x14ac:dyDescent="0.25">
      <c r="A416" s="76"/>
      <c r="B416" s="76"/>
      <c r="C416" s="76"/>
      <c r="D416" s="76"/>
      <c r="E416" s="76"/>
      <c r="F416" s="76"/>
      <c r="G416" s="76"/>
      <c r="H416" t="str">
        <f t="shared" si="7"/>
        <v/>
      </c>
    </row>
    <row r="417" spans="1:8" s="77" customFormat="1" ht="23.25" customHeight="1" x14ac:dyDescent="0.25">
      <c r="A417" s="76"/>
      <c r="B417" s="76"/>
      <c r="C417" s="76"/>
      <c r="D417" s="76"/>
      <c r="E417" s="76"/>
      <c r="F417" s="76"/>
      <c r="G417" s="76"/>
      <c r="H417" t="str">
        <f t="shared" si="7"/>
        <v/>
      </c>
    </row>
    <row r="418" spans="1:8" s="77" customFormat="1" ht="23.25" customHeight="1" x14ac:dyDescent="0.25">
      <c r="A418" s="76"/>
      <c r="B418" s="76"/>
      <c r="C418" s="76"/>
      <c r="D418" s="76"/>
      <c r="E418" s="76"/>
      <c r="F418" s="76"/>
      <c r="G418" s="76"/>
      <c r="H418" t="str">
        <f t="shared" si="7"/>
        <v/>
      </c>
    </row>
    <row r="419" spans="1:8" s="77" customFormat="1" ht="23.25" customHeight="1" x14ac:dyDescent="0.25">
      <c r="A419" s="76"/>
      <c r="B419" s="76"/>
      <c r="C419" s="76"/>
      <c r="D419" s="76"/>
      <c r="E419" s="76"/>
      <c r="F419" s="76"/>
      <c r="G419" s="76"/>
      <c r="H419" t="str">
        <f t="shared" si="7"/>
        <v/>
      </c>
    </row>
    <row r="420" spans="1:8" s="77" customFormat="1" ht="23.25" customHeight="1" x14ac:dyDescent="0.25">
      <c r="A420" s="76"/>
      <c r="B420" s="76"/>
      <c r="C420" s="76"/>
      <c r="D420" s="76"/>
      <c r="E420" s="76"/>
      <c r="F420" s="76"/>
      <c r="G420" s="76"/>
      <c r="H420" t="str">
        <f t="shared" si="7"/>
        <v/>
      </c>
    </row>
    <row r="421" spans="1:8" s="77" customFormat="1" ht="23.25" customHeight="1" x14ac:dyDescent="0.25">
      <c r="A421" s="76"/>
      <c r="B421" s="76"/>
      <c r="C421" s="76"/>
      <c r="D421" s="76"/>
      <c r="E421" s="76"/>
      <c r="F421" s="76"/>
      <c r="G421" s="76"/>
      <c r="H421" t="str">
        <f t="shared" si="7"/>
        <v/>
      </c>
    </row>
    <row r="422" spans="1:8" s="77" customFormat="1" ht="23.25" customHeight="1" x14ac:dyDescent="0.25">
      <c r="A422" s="76"/>
      <c r="B422" s="76"/>
      <c r="C422" s="76"/>
      <c r="D422" s="76"/>
      <c r="E422" s="76"/>
      <c r="F422" s="76"/>
      <c r="G422" s="76"/>
      <c r="H422" t="str">
        <f t="shared" si="7"/>
        <v/>
      </c>
    </row>
    <row r="423" spans="1:8" s="77" customFormat="1" ht="23.25" customHeight="1" x14ac:dyDescent="0.25">
      <c r="A423" s="76"/>
      <c r="B423" s="76"/>
      <c r="C423" s="76"/>
      <c r="D423" s="76"/>
      <c r="E423" s="76"/>
      <c r="F423" s="76"/>
      <c r="G423" s="76"/>
      <c r="H423" t="str">
        <f t="shared" si="7"/>
        <v/>
      </c>
    </row>
    <row r="424" spans="1:8" s="77" customFormat="1" ht="23.25" customHeight="1" x14ac:dyDescent="0.25">
      <c r="A424" s="76"/>
      <c r="B424" s="76"/>
      <c r="C424" s="76"/>
      <c r="D424" s="76"/>
      <c r="E424" s="76"/>
      <c r="F424" s="76"/>
      <c r="G424" s="76"/>
      <c r="H424" t="str">
        <f t="shared" si="7"/>
        <v/>
      </c>
    </row>
    <row r="425" spans="1:8" s="77" customFormat="1" ht="23.25" customHeight="1" x14ac:dyDescent="0.25">
      <c r="A425" s="76"/>
      <c r="B425" s="76"/>
      <c r="C425" s="76"/>
      <c r="D425" s="76"/>
      <c r="E425" s="76"/>
      <c r="F425" s="76"/>
      <c r="G425" s="76"/>
      <c r="H425" t="str">
        <f t="shared" si="7"/>
        <v/>
      </c>
    </row>
    <row r="426" spans="1:8" s="77" customFormat="1" ht="23.25" customHeight="1" x14ac:dyDescent="0.25">
      <c r="A426" s="76"/>
      <c r="B426" s="76"/>
      <c r="C426" s="76"/>
      <c r="D426" s="76"/>
      <c r="E426" s="76"/>
      <c r="F426" s="76"/>
      <c r="G426" s="76"/>
      <c r="H426" t="str">
        <f t="shared" si="7"/>
        <v/>
      </c>
    </row>
    <row r="427" spans="1:8" s="77" customFormat="1" ht="23.25" customHeight="1" x14ac:dyDescent="0.25">
      <c r="A427" s="76"/>
      <c r="B427" s="76"/>
      <c r="C427" s="76"/>
      <c r="D427" s="76"/>
      <c r="E427" s="76"/>
      <c r="F427" s="76"/>
      <c r="G427" s="76"/>
      <c r="H427" t="str">
        <f t="shared" si="7"/>
        <v/>
      </c>
    </row>
    <row r="428" spans="1:8" s="77" customFormat="1" ht="23.25" customHeight="1" x14ac:dyDescent="0.25">
      <c r="A428" s="76"/>
      <c r="B428" s="76"/>
      <c r="C428" s="76"/>
      <c r="D428" s="76"/>
      <c r="E428" s="76"/>
      <c r="F428" s="76"/>
      <c r="G428" s="76"/>
      <c r="H428" t="str">
        <f t="shared" si="7"/>
        <v/>
      </c>
    </row>
    <row r="429" spans="1:8" s="77" customFormat="1" ht="23.25" customHeight="1" x14ac:dyDescent="0.25">
      <c r="A429" s="76"/>
      <c r="B429" s="76"/>
      <c r="C429" s="76"/>
      <c r="D429" s="76"/>
      <c r="E429" s="76"/>
      <c r="F429" s="76"/>
      <c r="G429" s="76"/>
      <c r="H429" t="str">
        <f t="shared" si="7"/>
        <v/>
      </c>
    </row>
    <row r="430" spans="1:8" s="77" customFormat="1" ht="23.25" customHeight="1" x14ac:dyDescent="0.25">
      <c r="A430" s="76"/>
      <c r="B430" s="76"/>
      <c r="C430" s="76"/>
      <c r="D430" s="76"/>
      <c r="E430" s="76"/>
      <c r="F430" s="76"/>
      <c r="G430" s="76"/>
      <c r="H430" t="str">
        <f t="shared" si="7"/>
        <v/>
      </c>
    </row>
    <row r="431" spans="1:8" s="77" customFormat="1" ht="23.25" customHeight="1" x14ac:dyDescent="0.25">
      <c r="A431" s="76"/>
      <c r="B431" s="76"/>
      <c r="C431" s="76"/>
      <c r="D431" s="76"/>
      <c r="E431" s="76"/>
      <c r="F431" s="76"/>
      <c r="G431" s="76"/>
      <c r="H431" t="str">
        <f t="shared" si="7"/>
        <v/>
      </c>
    </row>
    <row r="432" spans="1:8" s="77" customFormat="1" ht="23.25" customHeight="1" x14ac:dyDescent="0.25">
      <c r="A432" s="76"/>
      <c r="B432" s="76"/>
      <c r="C432" s="76"/>
      <c r="D432" s="76"/>
      <c r="E432" s="76"/>
      <c r="F432" s="76"/>
      <c r="G432" s="76"/>
      <c r="H432" t="str">
        <f t="shared" si="7"/>
        <v/>
      </c>
    </row>
    <row r="433" spans="1:8" s="77" customFormat="1" ht="23.25" customHeight="1" x14ac:dyDescent="0.25">
      <c r="A433" s="76"/>
      <c r="B433" s="76"/>
      <c r="C433" s="76"/>
      <c r="D433" s="76"/>
      <c r="E433" s="76"/>
      <c r="F433" s="76"/>
      <c r="G433" s="76"/>
      <c r="H433" t="str">
        <f t="shared" si="7"/>
        <v/>
      </c>
    </row>
    <row r="434" spans="1:8" s="77" customFormat="1" ht="23.25" customHeight="1" x14ac:dyDescent="0.25">
      <c r="A434" s="76"/>
      <c r="B434" s="76"/>
      <c r="C434" s="76"/>
      <c r="D434" s="76"/>
      <c r="E434" s="76"/>
      <c r="F434" s="76"/>
      <c r="G434" s="76"/>
      <c r="H434" t="str">
        <f t="shared" si="7"/>
        <v/>
      </c>
    </row>
    <row r="435" spans="1:8" s="77" customFormat="1" ht="23.25" customHeight="1" x14ac:dyDescent="0.25">
      <c r="A435" s="76"/>
      <c r="B435" s="76"/>
      <c r="C435" s="76"/>
      <c r="D435" s="76"/>
      <c r="E435" s="76"/>
      <c r="F435" s="76"/>
      <c r="G435" s="76"/>
      <c r="H435" t="str">
        <f t="shared" si="7"/>
        <v/>
      </c>
    </row>
    <row r="436" spans="1:8" s="77" customFormat="1" ht="23.25" customHeight="1" x14ac:dyDescent="0.25">
      <c r="A436" s="76"/>
      <c r="B436" s="76"/>
      <c r="C436" s="76"/>
      <c r="D436" s="76"/>
      <c r="E436" s="76"/>
      <c r="F436" s="76"/>
      <c r="G436" s="76"/>
      <c r="H436" t="str">
        <f t="shared" si="7"/>
        <v/>
      </c>
    </row>
    <row r="437" spans="1:8" s="77" customFormat="1" ht="23.25" customHeight="1" x14ac:dyDescent="0.25">
      <c r="A437" s="76"/>
      <c r="B437" s="76"/>
      <c r="C437" s="76"/>
      <c r="D437" s="76"/>
      <c r="E437" s="76"/>
      <c r="F437" s="76"/>
      <c r="G437" s="76"/>
      <c r="H437" t="str">
        <f t="shared" si="7"/>
        <v/>
      </c>
    </row>
    <row r="438" spans="1:8" s="77" customFormat="1" ht="23.25" customHeight="1" x14ac:dyDescent="0.25">
      <c r="A438" s="76"/>
      <c r="B438" s="76"/>
      <c r="C438" s="76"/>
      <c r="D438" s="76"/>
      <c r="E438" s="76"/>
      <c r="F438" s="76"/>
      <c r="G438" s="76"/>
      <c r="H438" t="str">
        <f t="shared" si="7"/>
        <v/>
      </c>
    </row>
    <row r="439" spans="1:8" s="77" customFormat="1" ht="23.25" customHeight="1" x14ac:dyDescent="0.25">
      <c r="A439" s="76"/>
      <c r="B439" s="76"/>
      <c r="C439" s="76"/>
      <c r="D439" s="76"/>
      <c r="E439" s="76"/>
      <c r="F439" s="76"/>
      <c r="G439" s="76"/>
      <c r="H439" t="str">
        <f t="shared" si="7"/>
        <v/>
      </c>
    </row>
    <row r="440" spans="1:8" s="77" customFormat="1" ht="23.25" customHeight="1" x14ac:dyDescent="0.25">
      <c r="A440" s="76"/>
      <c r="B440" s="76"/>
      <c r="C440" s="76"/>
      <c r="D440" s="76"/>
      <c r="E440" s="76"/>
      <c r="F440" s="76"/>
      <c r="G440" s="76"/>
      <c r="H440" t="str">
        <f t="shared" si="7"/>
        <v/>
      </c>
    </row>
    <row r="441" spans="1:8" s="77" customFormat="1" ht="23.25" customHeight="1" x14ac:dyDescent="0.25">
      <c r="A441" s="76"/>
      <c r="B441" s="76"/>
      <c r="C441" s="76"/>
      <c r="D441" s="76"/>
      <c r="E441" s="76"/>
      <c r="F441" s="76"/>
      <c r="G441" s="76"/>
      <c r="H441" t="str">
        <f t="shared" si="7"/>
        <v/>
      </c>
    </row>
    <row r="442" spans="1:8" s="77" customFormat="1" ht="23.25" customHeight="1" x14ac:dyDescent="0.25">
      <c r="A442" s="76"/>
      <c r="B442" s="76"/>
      <c r="C442" s="76"/>
      <c r="D442" s="76"/>
      <c r="E442" s="76"/>
      <c r="F442" s="76"/>
      <c r="G442" s="76"/>
      <c r="H442" t="str">
        <f t="shared" si="7"/>
        <v/>
      </c>
    </row>
    <row r="443" spans="1:8" s="77" customFormat="1" ht="23.25" customHeight="1" x14ac:dyDescent="0.25">
      <c r="A443" s="76"/>
      <c r="B443" s="76"/>
      <c r="C443" s="76"/>
      <c r="D443" s="76"/>
      <c r="E443" s="76"/>
      <c r="F443" s="76"/>
      <c r="G443" s="76"/>
      <c r="H443" t="str">
        <f t="shared" si="7"/>
        <v/>
      </c>
    </row>
    <row r="444" spans="1:8" s="77" customFormat="1" ht="23.25" customHeight="1" x14ac:dyDescent="0.25">
      <c r="A444" s="76"/>
      <c r="B444" s="76"/>
      <c r="C444" s="76"/>
      <c r="D444" s="76"/>
      <c r="E444" s="76"/>
      <c r="F444" s="76"/>
      <c r="G444" s="76"/>
      <c r="H444" t="str">
        <f t="shared" si="7"/>
        <v/>
      </c>
    </row>
    <row r="445" spans="1:8" s="77" customFormat="1" ht="23.25" customHeight="1" x14ac:dyDescent="0.25">
      <c r="A445" s="76"/>
      <c r="B445" s="76"/>
      <c r="C445" s="76"/>
      <c r="D445" s="76"/>
      <c r="E445" s="76"/>
      <c r="F445" s="76"/>
      <c r="G445" s="76"/>
      <c r="H445" t="str">
        <f t="shared" si="7"/>
        <v/>
      </c>
    </row>
    <row r="446" spans="1:8" s="77" customFormat="1" ht="23.25" customHeight="1" x14ac:dyDescent="0.25">
      <c r="A446" s="76"/>
      <c r="B446" s="76"/>
      <c r="C446" s="76"/>
      <c r="D446" s="76"/>
      <c r="E446" s="76"/>
      <c r="F446" s="76"/>
      <c r="G446" s="76"/>
      <c r="H446" t="str">
        <f t="shared" si="7"/>
        <v/>
      </c>
    </row>
    <row r="447" spans="1:8" s="77" customFormat="1" ht="23.25" customHeight="1" x14ac:dyDescent="0.25">
      <c r="A447" s="76"/>
      <c r="B447" s="76"/>
      <c r="C447" s="76"/>
      <c r="D447" s="76"/>
      <c r="E447" s="76"/>
      <c r="F447" s="76"/>
      <c r="G447" s="76"/>
      <c r="H447" t="str">
        <f t="shared" si="7"/>
        <v/>
      </c>
    </row>
    <row r="448" spans="1:8" s="77" customFormat="1" ht="23.25" customHeight="1" x14ac:dyDescent="0.25">
      <c r="A448" s="76"/>
      <c r="B448" s="76"/>
      <c r="C448" s="76"/>
      <c r="D448" s="76"/>
      <c r="E448" s="76"/>
      <c r="F448" s="76"/>
      <c r="G448" s="76"/>
      <c r="H448" t="str">
        <f t="shared" si="7"/>
        <v/>
      </c>
    </row>
    <row r="449" spans="1:8" s="77" customFormat="1" ht="23.25" customHeight="1" x14ac:dyDescent="0.25">
      <c r="A449" s="76"/>
      <c r="B449" s="76"/>
      <c r="C449" s="76"/>
      <c r="D449" s="76"/>
      <c r="E449" s="76"/>
      <c r="F449" s="76"/>
      <c r="G449" s="76"/>
      <c r="H449" t="str">
        <f t="shared" si="7"/>
        <v/>
      </c>
    </row>
    <row r="450" spans="1:8" s="77" customFormat="1" ht="23.25" customHeight="1" x14ac:dyDescent="0.25">
      <c r="A450" s="76"/>
      <c r="B450" s="76"/>
      <c r="C450" s="76"/>
      <c r="D450" s="76"/>
      <c r="E450" s="76"/>
      <c r="F450" s="76"/>
      <c r="G450" s="76"/>
      <c r="H450" t="str">
        <f t="shared" si="7"/>
        <v/>
      </c>
    </row>
    <row r="451" spans="1:8" s="77" customFormat="1" ht="23.25" customHeight="1" x14ac:dyDescent="0.25">
      <c r="A451" s="76"/>
      <c r="B451" s="76"/>
      <c r="C451" s="76"/>
      <c r="D451" s="76"/>
      <c r="E451" s="76"/>
      <c r="F451" s="76"/>
      <c r="G451" s="76"/>
      <c r="H451" t="str">
        <f t="shared" si="7"/>
        <v/>
      </c>
    </row>
    <row r="452" spans="1:8" s="77" customFormat="1" ht="23.25" customHeight="1" x14ac:dyDescent="0.25">
      <c r="A452" s="76"/>
      <c r="B452" s="76"/>
      <c r="C452" s="76"/>
      <c r="D452" s="76"/>
      <c r="E452" s="76"/>
      <c r="F452" s="76"/>
      <c r="G452" s="76"/>
      <c r="H452" t="str">
        <f t="shared" si="7"/>
        <v/>
      </c>
    </row>
    <row r="453" spans="1:8" s="77" customFormat="1" ht="23.25" customHeight="1" x14ac:dyDescent="0.25">
      <c r="A453" s="76"/>
      <c r="B453" s="76"/>
      <c r="C453" s="76"/>
      <c r="D453" s="76"/>
      <c r="E453" s="76"/>
      <c r="F453" s="76"/>
      <c r="G453" s="76"/>
      <c r="H453" t="str">
        <f t="shared" si="7"/>
        <v/>
      </c>
    </row>
    <row r="454" spans="1:8" s="77" customFormat="1" ht="23.25" customHeight="1" x14ac:dyDescent="0.25">
      <c r="A454" s="76"/>
      <c r="B454" s="76"/>
      <c r="C454" s="76"/>
      <c r="D454" s="76"/>
      <c r="E454" s="76"/>
      <c r="F454" s="76"/>
      <c r="G454" s="76"/>
      <c r="H454" t="str">
        <f t="shared" si="7"/>
        <v/>
      </c>
    </row>
    <row r="455" spans="1:8" s="77" customFormat="1" ht="23.25" customHeight="1" x14ac:dyDescent="0.25">
      <c r="A455" s="76"/>
      <c r="B455" s="76"/>
      <c r="C455" s="76"/>
      <c r="D455" s="76"/>
      <c r="E455" s="76"/>
      <c r="F455" s="76"/>
      <c r="G455" s="76"/>
      <c r="H455" t="str">
        <f t="shared" si="7"/>
        <v/>
      </c>
    </row>
    <row r="456" spans="1:8" s="77" customFormat="1" ht="23.25" customHeight="1" x14ac:dyDescent="0.25">
      <c r="A456" s="76"/>
      <c r="B456" s="76"/>
      <c r="C456" s="76"/>
      <c r="D456" s="76"/>
      <c r="E456" s="76"/>
      <c r="F456" s="76"/>
      <c r="G456" s="76"/>
      <c r="H456" t="str">
        <f t="shared" si="7"/>
        <v/>
      </c>
    </row>
    <row r="457" spans="1:8" s="77" customFormat="1" ht="23.25" customHeight="1" x14ac:dyDescent="0.25">
      <c r="A457" s="76"/>
      <c r="B457" s="76"/>
      <c r="C457" s="76"/>
      <c r="D457" s="76"/>
      <c r="E457" s="76"/>
      <c r="F457" s="76"/>
      <c r="G457" s="76"/>
      <c r="H457" t="str">
        <f t="shared" si="7"/>
        <v/>
      </c>
    </row>
    <row r="458" spans="1:8" s="77" customFormat="1" ht="23.25" customHeight="1" x14ac:dyDescent="0.25">
      <c r="A458" s="76"/>
      <c r="B458" s="76"/>
      <c r="C458" s="76"/>
      <c r="D458" s="76"/>
      <c r="E458" s="76"/>
      <c r="F458" s="76"/>
      <c r="G458" s="76"/>
      <c r="H458" t="str">
        <f t="shared" si="7"/>
        <v/>
      </c>
    </row>
    <row r="459" spans="1:8" s="77" customFormat="1" ht="23.25" customHeight="1" x14ac:dyDescent="0.25">
      <c r="A459" s="76"/>
      <c r="B459" s="76"/>
      <c r="C459" s="76"/>
      <c r="D459" s="76"/>
      <c r="E459" s="76"/>
      <c r="F459" s="76"/>
      <c r="G459" s="76"/>
      <c r="H459" t="str">
        <f t="shared" si="7"/>
        <v/>
      </c>
    </row>
    <row r="460" spans="1:8" s="77" customFormat="1" ht="23.25" customHeight="1" x14ac:dyDescent="0.25">
      <c r="A460" s="76"/>
      <c r="B460" s="76"/>
      <c r="C460" s="76"/>
      <c r="D460" s="76"/>
      <c r="E460" s="76"/>
      <c r="F460" s="76"/>
      <c r="G460" s="76"/>
      <c r="H460" t="str">
        <f t="shared" si="7"/>
        <v/>
      </c>
    </row>
    <row r="461" spans="1:8" s="77" customFormat="1" ht="23.25" customHeight="1" x14ac:dyDescent="0.25">
      <c r="A461" s="76"/>
      <c r="B461" s="76"/>
      <c r="C461" s="76"/>
      <c r="D461" s="76"/>
      <c r="E461" s="76"/>
      <c r="F461" s="76"/>
      <c r="G461" s="76"/>
      <c r="H461" t="str">
        <f t="shared" si="7"/>
        <v/>
      </c>
    </row>
    <row r="462" spans="1:8" s="77" customFormat="1" ht="23.25" customHeight="1" x14ac:dyDescent="0.25">
      <c r="A462" s="76"/>
      <c r="B462" s="76"/>
      <c r="C462" s="76"/>
      <c r="D462" s="76"/>
      <c r="E462" s="76"/>
      <c r="F462" s="76"/>
      <c r="G462" s="76"/>
      <c r="H462" t="str">
        <f t="shared" si="7"/>
        <v/>
      </c>
    </row>
    <row r="463" spans="1:8" s="77" customFormat="1" ht="23.25" customHeight="1" x14ac:dyDescent="0.25">
      <c r="A463" s="76"/>
      <c r="B463" s="76"/>
      <c r="C463" s="76"/>
      <c r="D463" s="76"/>
      <c r="E463" s="76"/>
      <c r="F463" s="76"/>
      <c r="G463" s="76"/>
      <c r="H463" t="str">
        <f t="shared" si="7"/>
        <v/>
      </c>
    </row>
    <row r="464" spans="1:8" s="77" customFormat="1" ht="23.25" customHeight="1" x14ac:dyDescent="0.25">
      <c r="A464" s="76"/>
      <c r="B464" s="76"/>
      <c r="C464" s="76"/>
      <c r="D464" s="76"/>
      <c r="E464" s="76"/>
      <c r="F464" s="76"/>
      <c r="G464" s="76"/>
      <c r="H464" t="str">
        <f t="shared" si="7"/>
        <v/>
      </c>
    </row>
    <row r="465" spans="1:8" s="77" customFormat="1" ht="23.25" customHeight="1" x14ac:dyDescent="0.25">
      <c r="A465" s="76"/>
      <c r="B465" s="76"/>
      <c r="C465" s="76"/>
      <c r="D465" s="76"/>
      <c r="E465" s="76"/>
      <c r="F465" s="76"/>
      <c r="G465" s="76"/>
      <c r="H465" t="str">
        <f t="shared" si="7"/>
        <v/>
      </c>
    </row>
    <row r="466" spans="1:8" s="77" customFormat="1" ht="23.25" customHeight="1" x14ac:dyDescent="0.25">
      <c r="A466" s="76"/>
      <c r="B466" s="76"/>
      <c r="C466" s="76"/>
      <c r="D466" s="76"/>
      <c r="E466" s="76"/>
      <c r="F466" s="76"/>
      <c r="G466" s="76"/>
      <c r="H466" t="str">
        <f t="shared" si="7"/>
        <v/>
      </c>
    </row>
    <row r="467" spans="1:8" s="77" customFormat="1" ht="23.25" customHeight="1" x14ac:dyDescent="0.25">
      <c r="A467" s="76"/>
      <c r="B467" s="76"/>
      <c r="C467" s="76"/>
      <c r="D467" s="76"/>
      <c r="E467" s="76"/>
      <c r="F467" s="76"/>
      <c r="G467" s="76"/>
      <c r="H467" t="str">
        <f t="shared" si="7"/>
        <v/>
      </c>
    </row>
    <row r="468" spans="1:8" s="77" customFormat="1" ht="23.25" customHeight="1" x14ac:dyDescent="0.25">
      <c r="A468" s="76"/>
      <c r="B468" s="76"/>
      <c r="C468" s="76"/>
      <c r="D468" s="76"/>
      <c r="E468" s="76"/>
      <c r="F468" s="76"/>
      <c r="G468" s="76"/>
      <c r="H468" t="str">
        <f t="shared" si="7"/>
        <v/>
      </c>
    </row>
    <row r="469" spans="1:8" s="77" customFormat="1" ht="23.25" customHeight="1" x14ac:dyDescent="0.25">
      <c r="A469" s="76"/>
      <c r="B469" s="76"/>
      <c r="C469" s="76"/>
      <c r="D469" s="76"/>
      <c r="E469" s="76"/>
      <c r="F469" s="76"/>
      <c r="G469" s="76"/>
      <c r="H469" t="str">
        <f t="shared" si="7"/>
        <v/>
      </c>
    </row>
    <row r="470" spans="1:8" s="77" customFormat="1" ht="23.25" customHeight="1" x14ac:dyDescent="0.25">
      <c r="A470" s="76"/>
      <c r="B470" s="76"/>
      <c r="C470" s="76"/>
      <c r="D470" s="76"/>
      <c r="E470" s="76"/>
      <c r="F470" s="76"/>
      <c r="G470" s="76"/>
      <c r="H470" t="str">
        <f t="shared" si="7"/>
        <v/>
      </c>
    </row>
    <row r="471" spans="1:8" s="77" customFormat="1" ht="23.25" customHeight="1" x14ac:dyDescent="0.25">
      <c r="A471" s="76"/>
      <c r="B471" s="76"/>
      <c r="C471" s="76"/>
      <c r="D471" s="76"/>
      <c r="E471" s="76"/>
      <c r="F471" s="76"/>
      <c r="G471" s="76"/>
      <c r="H471" t="str">
        <f t="shared" si="7"/>
        <v/>
      </c>
    </row>
    <row r="472" spans="1:8" s="77" customFormat="1" ht="23.25" customHeight="1" x14ac:dyDescent="0.25">
      <c r="A472" s="76"/>
      <c r="B472" s="76"/>
      <c r="C472" s="76"/>
      <c r="D472" s="76"/>
      <c r="E472" s="76"/>
      <c r="F472" s="76"/>
      <c r="G472" s="76"/>
      <c r="H472" t="str">
        <f t="shared" si="7"/>
        <v/>
      </c>
    </row>
    <row r="473" spans="1:8" s="77" customFormat="1" ht="23.25" customHeight="1" x14ac:dyDescent="0.25">
      <c r="A473" s="76"/>
      <c r="B473" s="76"/>
      <c r="C473" s="76"/>
      <c r="D473" s="76"/>
      <c r="E473" s="76"/>
      <c r="F473" s="76"/>
      <c r="G473" s="76"/>
      <c r="H473" t="str">
        <f t="shared" si="7"/>
        <v/>
      </c>
    </row>
    <row r="474" spans="1:8" s="77" customFormat="1" ht="23.25" customHeight="1" x14ac:dyDescent="0.25">
      <c r="A474" s="76"/>
      <c r="B474" s="76"/>
      <c r="C474" s="76"/>
      <c r="D474" s="76"/>
      <c r="E474" s="76"/>
      <c r="F474" s="76"/>
      <c r="G474" s="76"/>
      <c r="H474" t="str">
        <f t="shared" si="7"/>
        <v/>
      </c>
    </row>
    <row r="475" spans="1:8" s="77" customFormat="1" ht="23.25" customHeight="1" x14ac:dyDescent="0.25">
      <c r="A475" s="76"/>
      <c r="B475" s="76"/>
      <c r="C475" s="76"/>
      <c r="D475" s="76"/>
      <c r="E475" s="76"/>
      <c r="F475" s="76"/>
      <c r="G475" s="76"/>
      <c r="H475" t="str">
        <f t="shared" ref="H475:H538" si="8">IF(ISBLANK(A475),"",SUM(B475:G475))</f>
        <v/>
      </c>
    </row>
    <row r="476" spans="1:8" s="77" customFormat="1" ht="23.25" customHeight="1" x14ac:dyDescent="0.25">
      <c r="A476" s="76"/>
      <c r="B476" s="76"/>
      <c r="C476" s="76"/>
      <c r="D476" s="76"/>
      <c r="E476" s="76"/>
      <c r="F476" s="76"/>
      <c r="G476" s="76"/>
      <c r="H476" t="str">
        <f t="shared" si="8"/>
        <v/>
      </c>
    </row>
    <row r="477" spans="1:8" s="77" customFormat="1" ht="23.25" customHeight="1" x14ac:dyDescent="0.25">
      <c r="A477" s="76"/>
      <c r="B477" s="76"/>
      <c r="C477" s="76"/>
      <c r="D477" s="76"/>
      <c r="E477" s="76"/>
      <c r="F477" s="76"/>
      <c r="G477" s="76"/>
      <c r="H477" t="str">
        <f t="shared" si="8"/>
        <v/>
      </c>
    </row>
    <row r="478" spans="1:8" s="77" customFormat="1" ht="23.25" customHeight="1" x14ac:dyDescent="0.25">
      <c r="A478" s="76"/>
      <c r="B478" s="76"/>
      <c r="C478" s="76"/>
      <c r="D478" s="76"/>
      <c r="E478" s="76"/>
      <c r="F478" s="76"/>
      <c r="G478" s="76"/>
      <c r="H478" t="str">
        <f t="shared" si="8"/>
        <v/>
      </c>
    </row>
    <row r="479" spans="1:8" s="77" customFormat="1" ht="23.25" customHeight="1" x14ac:dyDescent="0.25">
      <c r="A479" s="76"/>
      <c r="B479" s="76"/>
      <c r="C479" s="76"/>
      <c r="D479" s="76"/>
      <c r="E479" s="76"/>
      <c r="F479" s="76"/>
      <c r="G479" s="76"/>
      <c r="H479" t="str">
        <f t="shared" si="8"/>
        <v/>
      </c>
    </row>
    <row r="480" spans="1:8" s="77" customFormat="1" ht="23.25" customHeight="1" x14ac:dyDescent="0.25">
      <c r="A480" s="76"/>
      <c r="B480" s="76"/>
      <c r="C480" s="76"/>
      <c r="D480" s="76"/>
      <c r="E480" s="76"/>
      <c r="F480" s="76"/>
      <c r="G480" s="76"/>
      <c r="H480" t="str">
        <f t="shared" si="8"/>
        <v/>
      </c>
    </row>
    <row r="481" spans="1:8" s="77" customFormat="1" ht="23.25" customHeight="1" x14ac:dyDescent="0.25">
      <c r="A481" s="76"/>
      <c r="B481" s="76"/>
      <c r="C481" s="76"/>
      <c r="D481" s="76"/>
      <c r="E481" s="76"/>
      <c r="F481" s="76"/>
      <c r="G481" s="76"/>
      <c r="H481" t="str">
        <f t="shared" si="8"/>
        <v/>
      </c>
    </row>
    <row r="482" spans="1:8" s="77" customFormat="1" ht="23.25" customHeight="1" x14ac:dyDescent="0.25">
      <c r="A482" s="76"/>
      <c r="B482" s="76"/>
      <c r="C482" s="76"/>
      <c r="D482" s="76"/>
      <c r="E482" s="76"/>
      <c r="F482" s="76"/>
      <c r="G482" s="76"/>
      <c r="H482" t="str">
        <f t="shared" si="8"/>
        <v/>
      </c>
    </row>
    <row r="483" spans="1:8" s="77" customFormat="1" ht="23.25" customHeight="1" x14ac:dyDescent="0.25">
      <c r="A483" s="76"/>
      <c r="B483" s="76"/>
      <c r="C483" s="76"/>
      <c r="D483" s="76"/>
      <c r="E483" s="76"/>
      <c r="F483" s="76"/>
      <c r="G483" s="76"/>
      <c r="H483" t="str">
        <f t="shared" si="8"/>
        <v/>
      </c>
    </row>
    <row r="484" spans="1:8" s="77" customFormat="1" ht="23.25" customHeight="1" x14ac:dyDescent="0.25">
      <c r="A484" s="76"/>
      <c r="B484" s="76"/>
      <c r="C484" s="76"/>
      <c r="D484" s="76"/>
      <c r="E484" s="76"/>
      <c r="F484" s="76"/>
      <c r="G484" s="76"/>
      <c r="H484" t="str">
        <f t="shared" si="8"/>
        <v/>
      </c>
    </row>
    <row r="485" spans="1:8" s="77" customFormat="1" ht="23.25" customHeight="1" x14ac:dyDescent="0.25">
      <c r="A485" s="76"/>
      <c r="B485" s="76"/>
      <c r="C485" s="76"/>
      <c r="D485" s="76"/>
      <c r="E485" s="76"/>
      <c r="F485" s="76"/>
      <c r="G485" s="76"/>
      <c r="H485" t="str">
        <f t="shared" si="8"/>
        <v/>
      </c>
    </row>
    <row r="486" spans="1:8" s="77" customFormat="1" ht="23.25" customHeight="1" x14ac:dyDescent="0.25">
      <c r="A486" s="76"/>
      <c r="B486" s="76"/>
      <c r="C486" s="76"/>
      <c r="D486" s="76"/>
      <c r="E486" s="76"/>
      <c r="F486" s="76"/>
      <c r="G486" s="76"/>
      <c r="H486" t="str">
        <f t="shared" si="8"/>
        <v/>
      </c>
    </row>
    <row r="487" spans="1:8" s="77" customFormat="1" ht="23.25" customHeight="1" x14ac:dyDescent="0.25">
      <c r="A487" s="76"/>
      <c r="B487" s="76"/>
      <c r="C487" s="76"/>
      <c r="D487" s="76"/>
      <c r="E487" s="76"/>
      <c r="F487" s="76"/>
      <c r="G487" s="76"/>
      <c r="H487" t="str">
        <f t="shared" si="8"/>
        <v/>
      </c>
    </row>
    <row r="488" spans="1:8" s="77" customFormat="1" ht="23.25" customHeight="1" x14ac:dyDescent="0.25">
      <c r="A488" s="76"/>
      <c r="B488" s="76"/>
      <c r="C488" s="76"/>
      <c r="D488" s="76"/>
      <c r="E488" s="76"/>
      <c r="F488" s="76"/>
      <c r="G488" s="76"/>
      <c r="H488" t="str">
        <f t="shared" si="8"/>
        <v/>
      </c>
    </row>
    <row r="489" spans="1:8" s="77" customFormat="1" ht="23.25" customHeight="1" x14ac:dyDescent="0.25">
      <c r="A489" s="76"/>
      <c r="B489" s="76"/>
      <c r="C489" s="76"/>
      <c r="D489" s="76"/>
      <c r="E489" s="76"/>
      <c r="F489" s="76"/>
      <c r="G489" s="76"/>
      <c r="H489" t="str">
        <f t="shared" si="8"/>
        <v/>
      </c>
    </row>
    <row r="490" spans="1:8" s="77" customFormat="1" ht="23.25" customHeight="1" x14ac:dyDescent="0.25">
      <c r="A490" s="76"/>
      <c r="B490" s="76"/>
      <c r="C490" s="76"/>
      <c r="D490" s="76"/>
      <c r="E490" s="76"/>
      <c r="F490" s="76"/>
      <c r="G490" s="76"/>
      <c r="H490" t="str">
        <f t="shared" si="8"/>
        <v/>
      </c>
    </row>
    <row r="491" spans="1:8" s="77" customFormat="1" ht="23.25" customHeight="1" x14ac:dyDescent="0.25">
      <c r="A491" s="76"/>
      <c r="B491" s="76"/>
      <c r="C491" s="76"/>
      <c r="D491" s="76"/>
      <c r="E491" s="76"/>
      <c r="F491" s="76"/>
      <c r="G491" s="76"/>
      <c r="H491" t="str">
        <f t="shared" si="8"/>
        <v/>
      </c>
    </row>
    <row r="492" spans="1:8" s="77" customFormat="1" ht="23.25" customHeight="1" x14ac:dyDescent="0.25">
      <c r="A492" s="76"/>
      <c r="B492" s="76"/>
      <c r="C492" s="76"/>
      <c r="D492" s="76"/>
      <c r="E492" s="76"/>
      <c r="F492" s="76"/>
      <c r="G492" s="76"/>
      <c r="H492" t="str">
        <f t="shared" si="8"/>
        <v/>
      </c>
    </row>
    <row r="493" spans="1:8" s="77" customFormat="1" ht="23.25" customHeight="1" x14ac:dyDescent="0.25">
      <c r="A493" s="76"/>
      <c r="B493" s="76"/>
      <c r="C493" s="76"/>
      <c r="D493" s="76"/>
      <c r="E493" s="76"/>
      <c r="F493" s="76"/>
      <c r="G493" s="76"/>
      <c r="H493" t="str">
        <f t="shared" si="8"/>
        <v/>
      </c>
    </row>
    <row r="494" spans="1:8" s="77" customFormat="1" ht="23.25" customHeight="1" x14ac:dyDescent="0.25">
      <c r="A494" s="76"/>
      <c r="B494" s="76"/>
      <c r="C494" s="76"/>
      <c r="D494" s="76"/>
      <c r="E494" s="76"/>
      <c r="F494" s="76"/>
      <c r="G494" s="76"/>
      <c r="H494" t="str">
        <f t="shared" si="8"/>
        <v/>
      </c>
    </row>
    <row r="495" spans="1:8" s="77" customFormat="1" ht="23.25" customHeight="1" x14ac:dyDescent="0.25">
      <c r="A495" s="76"/>
      <c r="B495" s="76"/>
      <c r="C495" s="76"/>
      <c r="D495" s="76"/>
      <c r="E495" s="76"/>
      <c r="F495" s="76"/>
      <c r="G495" s="76"/>
      <c r="H495" t="str">
        <f t="shared" si="8"/>
        <v/>
      </c>
    </row>
    <row r="496" spans="1:8" s="77" customFormat="1" ht="23.25" customHeight="1" x14ac:dyDescent="0.25">
      <c r="A496" s="76"/>
      <c r="B496" s="76"/>
      <c r="C496" s="76"/>
      <c r="D496" s="76"/>
      <c r="E496" s="76"/>
      <c r="F496" s="76"/>
      <c r="G496" s="76"/>
      <c r="H496" t="str">
        <f t="shared" si="8"/>
        <v/>
      </c>
    </row>
    <row r="497" spans="1:8" s="77" customFormat="1" ht="23.25" customHeight="1" x14ac:dyDescent="0.25">
      <c r="A497" s="76"/>
      <c r="B497" s="76"/>
      <c r="C497" s="76"/>
      <c r="D497" s="76"/>
      <c r="E497" s="76"/>
      <c r="F497" s="76"/>
      <c r="G497" s="76"/>
      <c r="H497" t="str">
        <f t="shared" si="8"/>
        <v/>
      </c>
    </row>
    <row r="498" spans="1:8" s="77" customFormat="1" ht="23.25" customHeight="1" x14ac:dyDescent="0.25">
      <c r="A498" s="76"/>
      <c r="B498" s="76"/>
      <c r="C498" s="76"/>
      <c r="D498" s="76"/>
      <c r="E498" s="76"/>
      <c r="F498" s="76"/>
      <c r="G498" s="76"/>
      <c r="H498" t="str">
        <f t="shared" si="8"/>
        <v/>
      </c>
    </row>
    <row r="499" spans="1:8" s="77" customFormat="1" ht="23.25" customHeight="1" x14ac:dyDescent="0.25">
      <c r="A499" s="76"/>
      <c r="B499" s="76"/>
      <c r="C499" s="76"/>
      <c r="D499" s="76"/>
      <c r="E499" s="76"/>
      <c r="F499" s="76"/>
      <c r="G499" s="76"/>
      <c r="H499" t="str">
        <f t="shared" si="8"/>
        <v/>
      </c>
    </row>
    <row r="500" spans="1:8" s="77" customFormat="1" ht="23.25" customHeight="1" x14ac:dyDescent="0.25">
      <c r="A500" s="76"/>
      <c r="B500" s="76"/>
      <c r="C500" s="76"/>
      <c r="D500" s="76"/>
      <c r="E500" s="76"/>
      <c r="F500" s="76"/>
      <c r="G500" s="76"/>
      <c r="H500" t="str">
        <f t="shared" si="8"/>
        <v/>
      </c>
    </row>
    <row r="501" spans="1:8" s="77" customFormat="1" ht="23.25" customHeight="1" x14ac:dyDescent="0.25">
      <c r="A501" s="76"/>
      <c r="B501" s="76"/>
      <c r="C501" s="76"/>
      <c r="D501" s="76"/>
      <c r="E501" s="76"/>
      <c r="F501" s="76"/>
      <c r="G501" s="76"/>
      <c r="H501" t="str">
        <f t="shared" si="8"/>
        <v/>
      </c>
    </row>
    <row r="502" spans="1:8" s="77" customFormat="1" ht="23.25" customHeight="1" x14ac:dyDescent="0.25">
      <c r="A502" s="76"/>
      <c r="B502" s="76"/>
      <c r="C502" s="76"/>
      <c r="D502" s="76"/>
      <c r="E502" s="76"/>
      <c r="F502" s="76"/>
      <c r="G502" s="76"/>
      <c r="H502" t="str">
        <f t="shared" si="8"/>
        <v/>
      </c>
    </row>
    <row r="503" spans="1:8" s="77" customFormat="1" ht="23.25" customHeight="1" x14ac:dyDescent="0.25">
      <c r="A503" s="76"/>
      <c r="B503" s="76"/>
      <c r="C503" s="76"/>
      <c r="D503" s="76"/>
      <c r="E503" s="76"/>
      <c r="F503" s="76"/>
      <c r="G503" s="76"/>
      <c r="H503" t="str">
        <f t="shared" si="8"/>
        <v/>
      </c>
    </row>
    <row r="504" spans="1:8" s="77" customFormat="1" ht="23.25" customHeight="1" x14ac:dyDescent="0.25">
      <c r="A504" s="76"/>
      <c r="B504" s="76"/>
      <c r="C504" s="76"/>
      <c r="D504" s="76"/>
      <c r="E504" s="76"/>
      <c r="F504" s="76"/>
      <c r="G504" s="76"/>
      <c r="H504" t="str">
        <f t="shared" si="8"/>
        <v/>
      </c>
    </row>
    <row r="505" spans="1:8" s="77" customFormat="1" ht="23.25" customHeight="1" x14ac:dyDescent="0.25">
      <c r="A505" s="76"/>
      <c r="B505" s="76"/>
      <c r="C505" s="76"/>
      <c r="D505" s="76"/>
      <c r="E505" s="76"/>
      <c r="F505" s="76"/>
      <c r="G505" s="76"/>
      <c r="H505" t="str">
        <f t="shared" si="8"/>
        <v/>
      </c>
    </row>
    <row r="506" spans="1:8" s="77" customFormat="1" ht="23.25" customHeight="1" x14ac:dyDescent="0.25">
      <c r="A506" s="76"/>
      <c r="B506" s="76"/>
      <c r="C506" s="76"/>
      <c r="D506" s="76"/>
      <c r="E506" s="76"/>
      <c r="F506" s="76"/>
      <c r="G506" s="76"/>
      <c r="H506" t="str">
        <f t="shared" si="8"/>
        <v/>
      </c>
    </row>
    <row r="507" spans="1:8" s="77" customFormat="1" ht="23.25" customHeight="1" x14ac:dyDescent="0.25">
      <c r="A507" s="76"/>
      <c r="B507" s="76"/>
      <c r="C507" s="76"/>
      <c r="D507" s="76"/>
      <c r="E507" s="76"/>
      <c r="F507" s="76"/>
      <c r="G507" s="76"/>
      <c r="H507" t="str">
        <f t="shared" si="8"/>
        <v/>
      </c>
    </row>
    <row r="508" spans="1:8" s="77" customFormat="1" ht="23.25" customHeight="1" x14ac:dyDescent="0.25">
      <c r="A508" s="76"/>
      <c r="B508" s="76"/>
      <c r="C508" s="76"/>
      <c r="D508" s="76"/>
      <c r="E508" s="76"/>
      <c r="F508" s="76"/>
      <c r="G508" s="76"/>
      <c r="H508" t="str">
        <f t="shared" si="8"/>
        <v/>
      </c>
    </row>
    <row r="509" spans="1:8" s="77" customFormat="1" ht="23.25" customHeight="1" x14ac:dyDescent="0.25">
      <c r="A509" s="76"/>
      <c r="B509" s="76"/>
      <c r="C509" s="76"/>
      <c r="D509" s="76"/>
      <c r="E509" s="76"/>
      <c r="F509" s="76"/>
      <c r="G509" s="76"/>
      <c r="H509" t="str">
        <f t="shared" si="8"/>
        <v/>
      </c>
    </row>
    <row r="510" spans="1:8" s="77" customFormat="1" ht="23.25" customHeight="1" x14ac:dyDescent="0.25">
      <c r="A510" s="76"/>
      <c r="B510" s="76"/>
      <c r="C510" s="76"/>
      <c r="D510" s="76"/>
      <c r="E510" s="76"/>
      <c r="F510" s="76"/>
      <c r="G510" s="76"/>
      <c r="H510" t="str">
        <f t="shared" si="8"/>
        <v/>
      </c>
    </row>
    <row r="511" spans="1:8" s="77" customFormat="1" ht="23.25" customHeight="1" x14ac:dyDescent="0.25">
      <c r="A511" s="76"/>
      <c r="B511" s="76"/>
      <c r="C511" s="76"/>
      <c r="D511" s="76"/>
      <c r="E511" s="76"/>
      <c r="F511" s="76"/>
      <c r="G511" s="76"/>
      <c r="H511" t="str">
        <f t="shared" si="8"/>
        <v/>
      </c>
    </row>
    <row r="512" spans="1:8" s="77" customFormat="1" ht="23.25" customHeight="1" x14ac:dyDescent="0.25">
      <c r="A512" s="76"/>
      <c r="B512" s="76"/>
      <c r="C512" s="76"/>
      <c r="D512" s="76"/>
      <c r="E512" s="76"/>
      <c r="F512" s="76"/>
      <c r="G512" s="76"/>
      <c r="H512" t="str">
        <f t="shared" si="8"/>
        <v/>
      </c>
    </row>
    <row r="513" spans="1:8" s="77" customFormat="1" ht="23.25" customHeight="1" x14ac:dyDescent="0.25">
      <c r="A513" s="76"/>
      <c r="B513" s="76"/>
      <c r="C513" s="76"/>
      <c r="D513" s="76"/>
      <c r="E513" s="76"/>
      <c r="F513" s="76"/>
      <c r="G513" s="76"/>
      <c r="H513" t="str">
        <f t="shared" si="8"/>
        <v/>
      </c>
    </row>
    <row r="514" spans="1:8" s="77" customFormat="1" ht="23.25" customHeight="1" x14ac:dyDescent="0.25">
      <c r="A514" s="76"/>
      <c r="B514" s="76"/>
      <c r="C514" s="76"/>
      <c r="D514" s="76"/>
      <c r="E514" s="76"/>
      <c r="F514" s="76"/>
      <c r="G514" s="76"/>
      <c r="H514" t="str">
        <f t="shared" si="8"/>
        <v/>
      </c>
    </row>
    <row r="515" spans="1:8" s="77" customFormat="1" ht="23.25" customHeight="1" x14ac:dyDescent="0.25">
      <c r="A515" s="76"/>
      <c r="B515" s="76"/>
      <c r="C515" s="76"/>
      <c r="D515" s="76"/>
      <c r="E515" s="76"/>
      <c r="F515" s="76"/>
      <c r="G515" s="76"/>
      <c r="H515" t="str">
        <f t="shared" si="8"/>
        <v/>
      </c>
    </row>
    <row r="516" spans="1:8" s="77" customFormat="1" ht="23.25" customHeight="1" x14ac:dyDescent="0.25">
      <c r="A516" s="76"/>
      <c r="B516" s="76"/>
      <c r="C516" s="76"/>
      <c r="D516" s="76"/>
      <c r="E516" s="76"/>
      <c r="F516" s="76"/>
      <c r="G516" s="76"/>
      <c r="H516" t="str">
        <f t="shared" si="8"/>
        <v/>
      </c>
    </row>
    <row r="517" spans="1:8" s="77" customFormat="1" ht="23.25" customHeight="1" x14ac:dyDescent="0.25">
      <c r="A517" s="76"/>
      <c r="B517" s="76"/>
      <c r="C517" s="76"/>
      <c r="D517" s="76"/>
      <c r="E517" s="76"/>
      <c r="F517" s="76"/>
      <c r="G517" s="76"/>
      <c r="H517" t="str">
        <f t="shared" si="8"/>
        <v/>
      </c>
    </row>
    <row r="518" spans="1:8" s="77" customFormat="1" ht="23.25" customHeight="1" x14ac:dyDescent="0.25">
      <c r="A518" s="76"/>
      <c r="B518" s="76"/>
      <c r="C518" s="76"/>
      <c r="D518" s="76"/>
      <c r="E518" s="76"/>
      <c r="F518" s="76"/>
      <c r="G518" s="76"/>
      <c r="H518" t="str">
        <f t="shared" si="8"/>
        <v/>
      </c>
    </row>
    <row r="519" spans="1:8" s="77" customFormat="1" ht="23.25" customHeight="1" x14ac:dyDescent="0.25">
      <c r="A519" s="76"/>
      <c r="B519" s="76"/>
      <c r="C519" s="76"/>
      <c r="D519" s="76"/>
      <c r="E519" s="76"/>
      <c r="F519" s="76"/>
      <c r="G519" s="76"/>
      <c r="H519" t="str">
        <f t="shared" si="8"/>
        <v/>
      </c>
    </row>
    <row r="520" spans="1:8" s="77" customFormat="1" ht="23.25" customHeight="1" x14ac:dyDescent="0.25">
      <c r="A520" s="76"/>
      <c r="B520" s="76"/>
      <c r="C520" s="76"/>
      <c r="D520" s="76"/>
      <c r="E520" s="76"/>
      <c r="F520" s="76"/>
      <c r="G520" s="76"/>
      <c r="H520" t="str">
        <f t="shared" si="8"/>
        <v/>
      </c>
    </row>
    <row r="521" spans="1:8" s="77" customFormat="1" ht="23.25" customHeight="1" x14ac:dyDescent="0.25">
      <c r="A521" s="76"/>
      <c r="B521" s="76"/>
      <c r="C521" s="76"/>
      <c r="D521" s="76"/>
      <c r="E521" s="76"/>
      <c r="F521" s="76"/>
      <c r="G521" s="76"/>
      <c r="H521" t="str">
        <f t="shared" si="8"/>
        <v/>
      </c>
    </row>
    <row r="522" spans="1:8" s="77" customFormat="1" ht="23.25" customHeight="1" x14ac:dyDescent="0.25">
      <c r="A522" s="76"/>
      <c r="B522" s="76"/>
      <c r="C522" s="76"/>
      <c r="D522" s="76"/>
      <c r="E522" s="76"/>
      <c r="F522" s="76"/>
      <c r="G522" s="76"/>
      <c r="H522" t="str">
        <f t="shared" si="8"/>
        <v/>
      </c>
    </row>
    <row r="523" spans="1:8" s="77" customFormat="1" ht="23.25" customHeight="1" x14ac:dyDescent="0.25">
      <c r="A523" s="76"/>
      <c r="B523" s="76"/>
      <c r="C523" s="76"/>
      <c r="D523" s="76"/>
      <c r="E523" s="76"/>
      <c r="F523" s="76"/>
      <c r="G523" s="76"/>
      <c r="H523" t="str">
        <f t="shared" si="8"/>
        <v/>
      </c>
    </row>
    <row r="524" spans="1:8" s="77" customFormat="1" ht="23.25" customHeight="1" x14ac:dyDescent="0.25">
      <c r="A524" s="76"/>
      <c r="B524" s="76"/>
      <c r="C524" s="76"/>
      <c r="D524" s="76"/>
      <c r="E524" s="76"/>
      <c r="F524" s="76"/>
      <c r="G524" s="76"/>
      <c r="H524" t="str">
        <f t="shared" si="8"/>
        <v/>
      </c>
    </row>
    <row r="525" spans="1:8" s="77" customFormat="1" ht="23.25" customHeight="1" x14ac:dyDescent="0.25">
      <c r="A525" s="76"/>
      <c r="B525" s="76"/>
      <c r="C525" s="76"/>
      <c r="D525" s="76"/>
      <c r="E525" s="76"/>
      <c r="F525" s="76"/>
      <c r="G525" s="76"/>
      <c r="H525" t="str">
        <f t="shared" si="8"/>
        <v/>
      </c>
    </row>
    <row r="526" spans="1:8" s="77" customFormat="1" ht="23.25" customHeight="1" x14ac:dyDescent="0.25">
      <c r="A526" s="76"/>
      <c r="B526" s="76"/>
      <c r="C526" s="76"/>
      <c r="D526" s="76"/>
      <c r="E526" s="76"/>
      <c r="F526" s="76"/>
      <c r="G526" s="76"/>
      <c r="H526" t="str">
        <f t="shared" si="8"/>
        <v/>
      </c>
    </row>
    <row r="527" spans="1:8" s="77" customFormat="1" ht="23.25" customHeight="1" x14ac:dyDescent="0.25">
      <c r="A527" s="76"/>
      <c r="B527" s="76"/>
      <c r="C527" s="76"/>
      <c r="D527" s="76"/>
      <c r="E527" s="76"/>
      <c r="F527" s="76"/>
      <c r="G527" s="76"/>
      <c r="H527" t="str">
        <f t="shared" si="8"/>
        <v/>
      </c>
    </row>
    <row r="528" spans="1:8" s="77" customFormat="1" ht="23.25" customHeight="1" x14ac:dyDescent="0.25">
      <c r="A528" s="76"/>
      <c r="B528" s="76"/>
      <c r="C528" s="76"/>
      <c r="D528" s="76"/>
      <c r="E528" s="76"/>
      <c r="F528" s="76"/>
      <c r="G528" s="76"/>
      <c r="H528" t="str">
        <f t="shared" si="8"/>
        <v/>
      </c>
    </row>
    <row r="529" spans="1:8" s="77" customFormat="1" ht="23.25" customHeight="1" x14ac:dyDescent="0.25">
      <c r="A529" s="76"/>
      <c r="B529" s="76"/>
      <c r="C529" s="76"/>
      <c r="D529" s="76"/>
      <c r="E529" s="76"/>
      <c r="F529" s="76"/>
      <c r="G529" s="76"/>
      <c r="H529" t="str">
        <f t="shared" si="8"/>
        <v/>
      </c>
    </row>
    <row r="530" spans="1:8" s="77" customFormat="1" ht="23.25" customHeight="1" x14ac:dyDescent="0.25">
      <c r="A530" s="76"/>
      <c r="B530" s="76"/>
      <c r="C530" s="76"/>
      <c r="D530" s="76"/>
      <c r="E530" s="76"/>
      <c r="F530" s="76"/>
      <c r="G530" s="76"/>
      <c r="H530" t="str">
        <f t="shared" si="8"/>
        <v/>
      </c>
    </row>
    <row r="531" spans="1:8" s="77" customFormat="1" ht="23.25" customHeight="1" x14ac:dyDescent="0.25">
      <c r="A531" s="76"/>
      <c r="B531" s="76"/>
      <c r="C531" s="76"/>
      <c r="D531" s="76"/>
      <c r="E531" s="76"/>
      <c r="F531" s="76"/>
      <c r="G531" s="76"/>
      <c r="H531" t="str">
        <f t="shared" si="8"/>
        <v/>
      </c>
    </row>
    <row r="532" spans="1:8" s="77" customFormat="1" ht="23.25" customHeight="1" x14ac:dyDescent="0.25">
      <c r="A532" s="76"/>
      <c r="B532" s="76"/>
      <c r="C532" s="76"/>
      <c r="D532" s="76"/>
      <c r="E532" s="76"/>
      <c r="F532" s="76"/>
      <c r="G532" s="76"/>
      <c r="H532" t="str">
        <f t="shared" si="8"/>
        <v/>
      </c>
    </row>
    <row r="533" spans="1:8" s="77" customFormat="1" ht="23.25" customHeight="1" x14ac:dyDescent="0.25">
      <c r="A533" s="76"/>
      <c r="B533" s="76"/>
      <c r="C533" s="76"/>
      <c r="D533" s="76"/>
      <c r="E533" s="76"/>
      <c r="F533" s="76"/>
      <c r="G533" s="76"/>
      <c r="H533" t="str">
        <f t="shared" si="8"/>
        <v/>
      </c>
    </row>
    <row r="534" spans="1:8" s="77" customFormat="1" ht="23.25" customHeight="1" x14ac:dyDescent="0.25">
      <c r="A534" s="76"/>
      <c r="B534" s="76"/>
      <c r="C534" s="76"/>
      <c r="D534" s="76"/>
      <c r="E534" s="76"/>
      <c r="F534" s="76"/>
      <c r="G534" s="76"/>
      <c r="H534" t="str">
        <f t="shared" si="8"/>
        <v/>
      </c>
    </row>
    <row r="535" spans="1:8" s="77" customFormat="1" ht="23.25" customHeight="1" x14ac:dyDescent="0.25">
      <c r="A535" s="76"/>
      <c r="B535" s="76"/>
      <c r="C535" s="76"/>
      <c r="D535" s="76"/>
      <c r="E535" s="76"/>
      <c r="F535" s="76"/>
      <c r="G535" s="76"/>
      <c r="H535" t="str">
        <f t="shared" si="8"/>
        <v/>
      </c>
    </row>
    <row r="536" spans="1:8" s="77" customFormat="1" ht="23.25" customHeight="1" x14ac:dyDescent="0.25">
      <c r="A536" s="76"/>
      <c r="B536" s="76"/>
      <c r="C536" s="76"/>
      <c r="D536" s="76"/>
      <c r="E536" s="76"/>
      <c r="F536" s="76"/>
      <c r="G536" s="76"/>
      <c r="H536" t="str">
        <f t="shared" si="8"/>
        <v/>
      </c>
    </row>
    <row r="537" spans="1:8" s="77" customFormat="1" ht="23.25" customHeight="1" x14ac:dyDescent="0.25">
      <c r="A537" s="76"/>
      <c r="B537" s="76"/>
      <c r="C537" s="76"/>
      <c r="D537" s="76"/>
      <c r="E537" s="76"/>
      <c r="F537" s="76"/>
      <c r="G537" s="76"/>
      <c r="H537" t="str">
        <f t="shared" si="8"/>
        <v/>
      </c>
    </row>
    <row r="538" spans="1:8" s="77" customFormat="1" ht="23.25" customHeight="1" x14ac:dyDescent="0.25">
      <c r="A538" s="76"/>
      <c r="B538" s="76"/>
      <c r="C538" s="76"/>
      <c r="D538" s="76"/>
      <c r="E538" s="76"/>
      <c r="F538" s="76"/>
      <c r="G538" s="76"/>
      <c r="H538" t="str">
        <f t="shared" si="8"/>
        <v/>
      </c>
    </row>
    <row r="539" spans="1:8" s="77" customFormat="1" ht="23.25" customHeight="1" x14ac:dyDescent="0.25">
      <c r="A539" s="76"/>
      <c r="B539" s="76"/>
      <c r="C539" s="76"/>
      <c r="D539" s="76"/>
      <c r="E539" s="76"/>
      <c r="F539" s="76"/>
      <c r="G539" s="76"/>
      <c r="H539" t="str">
        <f t="shared" ref="H539:H602" si="9">IF(ISBLANK(A539),"",SUM(B539:G539))</f>
        <v/>
      </c>
    </row>
    <row r="540" spans="1:8" s="77" customFormat="1" ht="23.25" customHeight="1" x14ac:dyDescent="0.25">
      <c r="A540" s="76"/>
      <c r="B540" s="76"/>
      <c r="C540" s="76"/>
      <c r="D540" s="76"/>
      <c r="E540" s="76"/>
      <c r="F540" s="76"/>
      <c r="G540" s="76"/>
      <c r="H540" t="str">
        <f t="shared" si="9"/>
        <v/>
      </c>
    </row>
    <row r="541" spans="1:8" s="77" customFormat="1" ht="23.25" customHeight="1" x14ac:dyDescent="0.25">
      <c r="A541" s="76"/>
      <c r="B541" s="76"/>
      <c r="C541" s="76"/>
      <c r="D541" s="76"/>
      <c r="E541" s="76"/>
      <c r="F541" s="76"/>
      <c r="G541" s="76"/>
      <c r="H541" t="str">
        <f t="shared" si="9"/>
        <v/>
      </c>
    </row>
    <row r="542" spans="1:8" s="77" customFormat="1" ht="23.25" customHeight="1" x14ac:dyDescent="0.25">
      <c r="A542" s="76"/>
      <c r="B542" s="76"/>
      <c r="C542" s="76"/>
      <c r="D542" s="76"/>
      <c r="E542" s="76"/>
      <c r="F542" s="76"/>
      <c r="G542" s="76"/>
      <c r="H542" t="str">
        <f t="shared" si="9"/>
        <v/>
      </c>
    </row>
    <row r="543" spans="1:8" s="77" customFormat="1" ht="23.25" customHeight="1" x14ac:dyDescent="0.25">
      <c r="A543" s="76"/>
      <c r="B543" s="76"/>
      <c r="C543" s="76"/>
      <c r="D543" s="76"/>
      <c r="E543" s="76"/>
      <c r="F543" s="76"/>
      <c r="G543" s="76"/>
      <c r="H543" t="str">
        <f t="shared" si="9"/>
        <v/>
      </c>
    </row>
    <row r="544" spans="1:8" s="77" customFormat="1" ht="23.25" customHeight="1" x14ac:dyDescent="0.25">
      <c r="A544" s="76"/>
      <c r="B544" s="76"/>
      <c r="C544" s="76"/>
      <c r="D544" s="76"/>
      <c r="E544" s="76"/>
      <c r="F544" s="76"/>
      <c r="G544" s="76"/>
      <c r="H544" t="str">
        <f t="shared" si="9"/>
        <v/>
      </c>
    </row>
    <row r="545" spans="1:8" s="77" customFormat="1" ht="23.25" customHeight="1" x14ac:dyDescent="0.25">
      <c r="A545" s="76"/>
      <c r="B545" s="76"/>
      <c r="C545" s="76"/>
      <c r="D545" s="76"/>
      <c r="E545" s="76"/>
      <c r="F545" s="76"/>
      <c r="G545" s="76"/>
      <c r="H545" t="str">
        <f t="shared" si="9"/>
        <v/>
      </c>
    </row>
    <row r="546" spans="1:8" s="77" customFormat="1" ht="23.25" customHeight="1" x14ac:dyDescent="0.25">
      <c r="A546" s="76"/>
      <c r="B546" s="76"/>
      <c r="C546" s="76"/>
      <c r="D546" s="76"/>
      <c r="E546" s="76"/>
      <c r="F546" s="76"/>
      <c r="G546" s="76"/>
      <c r="H546" t="str">
        <f t="shared" si="9"/>
        <v/>
      </c>
    </row>
    <row r="547" spans="1:8" s="77" customFormat="1" ht="23.25" customHeight="1" x14ac:dyDescent="0.25">
      <c r="A547" s="76"/>
      <c r="B547" s="76"/>
      <c r="C547" s="76"/>
      <c r="D547" s="76"/>
      <c r="E547" s="76"/>
      <c r="F547" s="76"/>
      <c r="G547" s="76"/>
      <c r="H547" t="str">
        <f t="shared" si="9"/>
        <v/>
      </c>
    </row>
    <row r="548" spans="1:8" s="77" customFormat="1" ht="23.25" customHeight="1" x14ac:dyDescent="0.25">
      <c r="A548" s="76"/>
      <c r="B548" s="76"/>
      <c r="C548" s="76"/>
      <c r="D548" s="76"/>
      <c r="E548" s="76"/>
      <c r="F548" s="76"/>
      <c r="G548" s="76"/>
      <c r="H548" t="str">
        <f t="shared" si="9"/>
        <v/>
      </c>
    </row>
    <row r="549" spans="1:8" s="77" customFormat="1" ht="23.25" customHeight="1" x14ac:dyDescent="0.25">
      <c r="A549" s="76"/>
      <c r="B549" s="76"/>
      <c r="C549" s="76"/>
      <c r="D549" s="76"/>
      <c r="E549" s="76"/>
      <c r="F549" s="76"/>
      <c r="G549" s="76"/>
      <c r="H549" t="str">
        <f t="shared" si="9"/>
        <v/>
      </c>
    </row>
    <row r="550" spans="1:8" s="77" customFormat="1" ht="23.25" customHeight="1" x14ac:dyDescent="0.25">
      <c r="A550" s="76"/>
      <c r="B550" s="76"/>
      <c r="C550" s="76"/>
      <c r="D550" s="76"/>
      <c r="E550" s="76"/>
      <c r="F550" s="76"/>
      <c r="G550" s="76"/>
      <c r="H550" t="str">
        <f t="shared" si="9"/>
        <v/>
      </c>
    </row>
    <row r="551" spans="1:8" s="77" customFormat="1" ht="23.25" customHeight="1" x14ac:dyDescent="0.25">
      <c r="A551" s="76"/>
      <c r="B551" s="76"/>
      <c r="C551" s="76"/>
      <c r="D551" s="76"/>
      <c r="E551" s="76"/>
      <c r="F551" s="76"/>
      <c r="G551" s="76"/>
      <c r="H551" t="str">
        <f t="shared" si="9"/>
        <v/>
      </c>
    </row>
    <row r="552" spans="1:8" s="77" customFormat="1" ht="23.25" customHeight="1" x14ac:dyDescent="0.25">
      <c r="A552" s="76"/>
      <c r="B552" s="76"/>
      <c r="C552" s="76"/>
      <c r="D552" s="76"/>
      <c r="E552" s="76"/>
      <c r="F552" s="76"/>
      <c r="G552" s="76"/>
      <c r="H552" t="str">
        <f t="shared" si="9"/>
        <v/>
      </c>
    </row>
    <row r="553" spans="1:8" s="77" customFormat="1" ht="23.25" customHeight="1" x14ac:dyDescent="0.25">
      <c r="A553" s="76"/>
      <c r="B553" s="76"/>
      <c r="C553" s="76"/>
      <c r="D553" s="76"/>
      <c r="E553" s="76"/>
      <c r="F553" s="76"/>
      <c r="G553" s="76"/>
      <c r="H553" t="str">
        <f t="shared" si="9"/>
        <v/>
      </c>
    </row>
    <row r="554" spans="1:8" s="77" customFormat="1" ht="23.25" customHeight="1" x14ac:dyDescent="0.25">
      <c r="A554" s="76"/>
      <c r="B554" s="76"/>
      <c r="C554" s="76"/>
      <c r="D554" s="76"/>
      <c r="E554" s="76"/>
      <c r="F554" s="76"/>
      <c r="G554" s="76"/>
      <c r="H554" t="str">
        <f t="shared" si="9"/>
        <v/>
      </c>
    </row>
    <row r="555" spans="1:8" s="77" customFormat="1" ht="23.25" customHeight="1" x14ac:dyDescent="0.25">
      <c r="A555" s="76"/>
      <c r="B555" s="76"/>
      <c r="C555" s="76"/>
      <c r="D555" s="76"/>
      <c r="E555" s="76"/>
      <c r="F555" s="76"/>
      <c r="G555" s="76"/>
      <c r="H555" t="str">
        <f t="shared" si="9"/>
        <v/>
      </c>
    </row>
    <row r="556" spans="1:8" s="77" customFormat="1" ht="23.25" customHeight="1" x14ac:dyDescent="0.25">
      <c r="A556" s="76"/>
      <c r="B556" s="76"/>
      <c r="C556" s="76"/>
      <c r="D556" s="76"/>
      <c r="E556" s="76"/>
      <c r="F556" s="76"/>
      <c r="G556" s="76"/>
      <c r="H556" t="str">
        <f t="shared" si="9"/>
        <v/>
      </c>
    </row>
    <row r="557" spans="1:8" s="77" customFormat="1" ht="23.25" customHeight="1" x14ac:dyDescent="0.25">
      <c r="A557" s="76"/>
      <c r="B557" s="76"/>
      <c r="C557" s="76"/>
      <c r="D557" s="76"/>
      <c r="E557" s="76"/>
      <c r="F557" s="76"/>
      <c r="G557" s="76"/>
      <c r="H557" t="str">
        <f t="shared" si="9"/>
        <v/>
      </c>
    </row>
    <row r="558" spans="1:8" s="77" customFormat="1" ht="23.25" customHeight="1" x14ac:dyDescent="0.25">
      <c r="A558" s="76"/>
      <c r="B558" s="76"/>
      <c r="C558" s="76"/>
      <c r="D558" s="76"/>
      <c r="E558" s="76"/>
      <c r="F558" s="76"/>
      <c r="G558" s="76"/>
      <c r="H558" t="str">
        <f t="shared" si="9"/>
        <v/>
      </c>
    </row>
    <row r="559" spans="1:8" s="77" customFormat="1" ht="23.25" customHeight="1" x14ac:dyDescent="0.25">
      <c r="A559" s="76"/>
      <c r="B559" s="76"/>
      <c r="C559" s="76"/>
      <c r="D559" s="76"/>
      <c r="E559" s="76"/>
      <c r="F559" s="76"/>
      <c r="G559" s="76"/>
      <c r="H559" t="str">
        <f t="shared" si="9"/>
        <v/>
      </c>
    </row>
    <row r="560" spans="1:8" s="77" customFormat="1" ht="23.25" customHeight="1" x14ac:dyDescent="0.25">
      <c r="A560" s="76"/>
      <c r="B560" s="76"/>
      <c r="C560" s="76"/>
      <c r="D560" s="76"/>
      <c r="E560" s="76"/>
      <c r="F560" s="76"/>
      <c r="G560" s="76"/>
      <c r="H560" t="str">
        <f t="shared" si="9"/>
        <v/>
      </c>
    </row>
    <row r="561" spans="1:8" s="77" customFormat="1" ht="23.25" customHeight="1" x14ac:dyDescent="0.25">
      <c r="A561" s="76"/>
      <c r="B561" s="76"/>
      <c r="C561" s="76"/>
      <c r="D561" s="76"/>
      <c r="E561" s="76"/>
      <c r="F561" s="76"/>
      <c r="G561" s="76"/>
      <c r="H561" t="str">
        <f t="shared" si="9"/>
        <v/>
      </c>
    </row>
    <row r="562" spans="1:8" s="77" customFormat="1" ht="23.25" customHeight="1" x14ac:dyDescent="0.25">
      <c r="A562" s="76"/>
      <c r="B562" s="76"/>
      <c r="C562" s="76"/>
      <c r="D562" s="76"/>
      <c r="E562" s="76"/>
      <c r="F562" s="76"/>
      <c r="G562" s="76"/>
      <c r="H562" t="str">
        <f t="shared" si="9"/>
        <v/>
      </c>
    </row>
    <row r="563" spans="1:8" s="77" customFormat="1" ht="23.25" customHeight="1" x14ac:dyDescent="0.25">
      <c r="A563" s="76"/>
      <c r="B563" s="76"/>
      <c r="C563" s="76"/>
      <c r="D563" s="76"/>
      <c r="E563" s="76"/>
      <c r="F563" s="76"/>
      <c r="G563" s="76"/>
      <c r="H563" t="str">
        <f t="shared" si="9"/>
        <v/>
      </c>
    </row>
    <row r="564" spans="1:8" s="77" customFormat="1" ht="23.25" customHeight="1" x14ac:dyDescent="0.25">
      <c r="A564" s="76"/>
      <c r="B564" s="76"/>
      <c r="C564" s="76"/>
      <c r="D564" s="76"/>
      <c r="E564" s="76"/>
      <c r="F564" s="76"/>
      <c r="G564" s="76"/>
      <c r="H564" t="str">
        <f t="shared" si="9"/>
        <v/>
      </c>
    </row>
    <row r="565" spans="1:8" s="77" customFormat="1" ht="23.25" customHeight="1" x14ac:dyDescent="0.25">
      <c r="A565" s="76"/>
      <c r="B565" s="76"/>
      <c r="C565" s="76"/>
      <c r="D565" s="76"/>
      <c r="E565" s="76"/>
      <c r="F565" s="76"/>
      <c r="G565" s="76"/>
      <c r="H565" t="str">
        <f t="shared" si="9"/>
        <v/>
      </c>
    </row>
    <row r="566" spans="1:8" s="77" customFormat="1" ht="23.25" customHeight="1" x14ac:dyDescent="0.25">
      <c r="A566" s="76"/>
      <c r="B566" s="76"/>
      <c r="C566" s="76"/>
      <c r="D566" s="76"/>
      <c r="E566" s="76"/>
      <c r="F566" s="76"/>
      <c r="G566" s="76"/>
      <c r="H566" t="str">
        <f t="shared" si="9"/>
        <v/>
      </c>
    </row>
    <row r="567" spans="1:8" s="77" customFormat="1" ht="23.25" customHeight="1" x14ac:dyDescent="0.25">
      <c r="A567" s="76"/>
      <c r="B567" s="76"/>
      <c r="C567" s="76"/>
      <c r="D567" s="76"/>
      <c r="E567" s="76"/>
      <c r="F567" s="76"/>
      <c r="G567" s="76"/>
      <c r="H567" t="str">
        <f t="shared" si="9"/>
        <v/>
      </c>
    </row>
    <row r="568" spans="1:8" s="77" customFormat="1" ht="23.25" customHeight="1" x14ac:dyDescent="0.25">
      <c r="A568" s="76"/>
      <c r="B568" s="76"/>
      <c r="C568" s="76"/>
      <c r="D568" s="76"/>
      <c r="E568" s="76"/>
      <c r="F568" s="76"/>
      <c r="G568" s="76"/>
      <c r="H568" t="str">
        <f t="shared" si="9"/>
        <v/>
      </c>
    </row>
    <row r="569" spans="1:8" s="77" customFormat="1" ht="23.25" customHeight="1" x14ac:dyDescent="0.25">
      <c r="A569" s="76"/>
      <c r="B569" s="76"/>
      <c r="C569" s="76"/>
      <c r="D569" s="76"/>
      <c r="E569" s="76"/>
      <c r="F569" s="76"/>
      <c r="G569" s="76"/>
      <c r="H569" t="str">
        <f t="shared" si="9"/>
        <v/>
      </c>
    </row>
    <row r="570" spans="1:8" s="77" customFormat="1" ht="23.25" customHeight="1" x14ac:dyDescent="0.25">
      <c r="A570" s="76"/>
      <c r="B570" s="76"/>
      <c r="C570" s="76"/>
      <c r="D570" s="76"/>
      <c r="E570" s="76"/>
      <c r="F570" s="76"/>
      <c r="G570" s="76"/>
      <c r="H570" t="str">
        <f t="shared" si="9"/>
        <v/>
      </c>
    </row>
    <row r="571" spans="1:8" s="77" customFormat="1" ht="23.25" customHeight="1" x14ac:dyDescent="0.25">
      <c r="A571" s="76"/>
      <c r="B571" s="76"/>
      <c r="C571" s="76"/>
      <c r="D571" s="76"/>
      <c r="E571" s="76"/>
      <c r="F571" s="76"/>
      <c r="G571" s="76"/>
      <c r="H571" t="str">
        <f t="shared" si="9"/>
        <v/>
      </c>
    </row>
    <row r="572" spans="1:8" s="77" customFormat="1" ht="23.25" customHeight="1" x14ac:dyDescent="0.25">
      <c r="A572" s="76"/>
      <c r="B572" s="76"/>
      <c r="C572" s="76"/>
      <c r="D572" s="76"/>
      <c r="E572" s="76"/>
      <c r="F572" s="76"/>
      <c r="G572" s="76"/>
      <c r="H572" t="str">
        <f t="shared" si="9"/>
        <v/>
      </c>
    </row>
    <row r="573" spans="1:8" s="77" customFormat="1" ht="23.25" customHeight="1" x14ac:dyDescent="0.25">
      <c r="A573" s="76"/>
      <c r="B573" s="76"/>
      <c r="C573" s="76"/>
      <c r="D573" s="76"/>
      <c r="E573" s="76"/>
      <c r="F573" s="76"/>
      <c r="G573" s="76"/>
      <c r="H573" t="str">
        <f t="shared" si="9"/>
        <v/>
      </c>
    </row>
    <row r="574" spans="1:8" s="77" customFormat="1" ht="23.25" customHeight="1" x14ac:dyDescent="0.25">
      <c r="A574" s="76"/>
      <c r="B574" s="76"/>
      <c r="C574" s="76"/>
      <c r="D574" s="76"/>
      <c r="E574" s="76"/>
      <c r="F574" s="76"/>
      <c r="G574" s="76"/>
      <c r="H574" t="str">
        <f t="shared" si="9"/>
        <v/>
      </c>
    </row>
    <row r="575" spans="1:8" s="77" customFormat="1" ht="23.25" customHeight="1" x14ac:dyDescent="0.25">
      <c r="A575" s="76"/>
      <c r="B575" s="76"/>
      <c r="C575" s="76"/>
      <c r="D575" s="76"/>
      <c r="E575" s="76"/>
      <c r="F575" s="76"/>
      <c r="G575" s="76"/>
      <c r="H575" t="str">
        <f t="shared" si="9"/>
        <v/>
      </c>
    </row>
    <row r="576" spans="1:8" s="77" customFormat="1" ht="23.25" customHeight="1" x14ac:dyDescent="0.25">
      <c r="A576" s="76"/>
      <c r="B576" s="76"/>
      <c r="C576" s="76"/>
      <c r="D576" s="76"/>
      <c r="E576" s="76"/>
      <c r="F576" s="76"/>
      <c r="G576" s="76"/>
      <c r="H576" t="str">
        <f t="shared" si="9"/>
        <v/>
      </c>
    </row>
    <row r="577" spans="1:8" s="77" customFormat="1" ht="23.25" customHeight="1" x14ac:dyDescent="0.25">
      <c r="A577" s="76"/>
      <c r="B577" s="76"/>
      <c r="C577" s="76"/>
      <c r="D577" s="76"/>
      <c r="E577" s="76"/>
      <c r="F577" s="76"/>
      <c r="G577" s="76"/>
      <c r="H577" t="str">
        <f t="shared" si="9"/>
        <v/>
      </c>
    </row>
    <row r="578" spans="1:8" s="77" customFormat="1" ht="23.25" customHeight="1" x14ac:dyDescent="0.25">
      <c r="A578" s="76"/>
      <c r="B578" s="76"/>
      <c r="C578" s="76"/>
      <c r="D578" s="76"/>
      <c r="E578" s="76"/>
      <c r="F578" s="76"/>
      <c r="G578" s="76"/>
      <c r="H578" t="str">
        <f t="shared" si="9"/>
        <v/>
      </c>
    </row>
    <row r="579" spans="1:8" s="77" customFormat="1" ht="23.25" customHeight="1" x14ac:dyDescent="0.25">
      <c r="A579" s="76"/>
      <c r="B579" s="76"/>
      <c r="C579" s="76"/>
      <c r="D579" s="76"/>
      <c r="E579" s="76"/>
      <c r="F579" s="76"/>
      <c r="G579" s="76"/>
      <c r="H579" t="str">
        <f t="shared" si="9"/>
        <v/>
      </c>
    </row>
    <row r="580" spans="1:8" s="77" customFormat="1" ht="23.25" customHeight="1" x14ac:dyDescent="0.25">
      <c r="A580" s="76"/>
      <c r="B580" s="76"/>
      <c r="C580" s="76"/>
      <c r="D580" s="76"/>
      <c r="E580" s="76"/>
      <c r="F580" s="76"/>
      <c r="G580" s="76"/>
      <c r="H580" t="str">
        <f t="shared" si="9"/>
        <v/>
      </c>
    </row>
    <row r="581" spans="1:8" s="77" customFormat="1" ht="23.25" customHeight="1" x14ac:dyDescent="0.25">
      <c r="A581" s="76"/>
      <c r="B581" s="76"/>
      <c r="C581" s="76"/>
      <c r="D581" s="76"/>
      <c r="E581" s="76"/>
      <c r="F581" s="76"/>
      <c r="G581" s="76"/>
      <c r="H581" t="str">
        <f t="shared" si="9"/>
        <v/>
      </c>
    </row>
    <row r="582" spans="1:8" s="77" customFormat="1" ht="23.25" customHeight="1" x14ac:dyDescent="0.25">
      <c r="A582" s="76"/>
      <c r="B582" s="76"/>
      <c r="C582" s="76"/>
      <c r="D582" s="76"/>
      <c r="E582" s="76"/>
      <c r="F582" s="76"/>
      <c r="G582" s="76"/>
      <c r="H582" t="str">
        <f t="shared" si="9"/>
        <v/>
      </c>
    </row>
    <row r="583" spans="1:8" s="77" customFormat="1" ht="23.25" customHeight="1" x14ac:dyDescent="0.25">
      <c r="A583" s="76"/>
      <c r="B583" s="76"/>
      <c r="C583" s="76"/>
      <c r="D583" s="76"/>
      <c r="E583" s="76"/>
      <c r="F583" s="76"/>
      <c r="G583" s="76"/>
      <c r="H583" t="str">
        <f t="shared" si="9"/>
        <v/>
      </c>
    </row>
    <row r="584" spans="1:8" s="77" customFormat="1" ht="23.25" customHeight="1" x14ac:dyDescent="0.25">
      <c r="A584" s="76"/>
      <c r="B584" s="76"/>
      <c r="C584" s="76"/>
      <c r="D584" s="76"/>
      <c r="E584" s="76"/>
      <c r="F584" s="76"/>
      <c r="G584" s="76"/>
      <c r="H584" t="str">
        <f t="shared" si="9"/>
        <v/>
      </c>
    </row>
    <row r="585" spans="1:8" s="77" customFormat="1" ht="23.25" customHeight="1" x14ac:dyDescent="0.25">
      <c r="A585" s="76"/>
      <c r="B585" s="76"/>
      <c r="C585" s="76"/>
      <c r="D585" s="76"/>
      <c r="E585" s="76"/>
      <c r="F585" s="76"/>
      <c r="G585" s="76"/>
      <c r="H585" t="str">
        <f t="shared" si="9"/>
        <v/>
      </c>
    </row>
    <row r="586" spans="1:8" s="77" customFormat="1" ht="23.25" customHeight="1" x14ac:dyDescent="0.25">
      <c r="A586" s="76"/>
      <c r="B586" s="76"/>
      <c r="C586" s="76"/>
      <c r="D586" s="76"/>
      <c r="E586" s="76"/>
      <c r="F586" s="76"/>
      <c r="G586" s="76"/>
      <c r="H586" t="str">
        <f t="shared" si="9"/>
        <v/>
      </c>
    </row>
    <row r="587" spans="1:8" s="77" customFormat="1" ht="23.25" customHeight="1" x14ac:dyDescent="0.25">
      <c r="A587" s="76"/>
      <c r="B587" s="76"/>
      <c r="C587" s="76"/>
      <c r="D587" s="76"/>
      <c r="E587" s="76"/>
      <c r="F587" s="76"/>
      <c r="G587" s="76"/>
      <c r="H587" t="str">
        <f t="shared" si="9"/>
        <v/>
      </c>
    </row>
    <row r="588" spans="1:8" s="77" customFormat="1" ht="23.25" customHeight="1" x14ac:dyDescent="0.25">
      <c r="A588" s="76"/>
      <c r="B588" s="76"/>
      <c r="C588" s="76"/>
      <c r="D588" s="76"/>
      <c r="E588" s="76"/>
      <c r="F588" s="76"/>
      <c r="G588" s="76"/>
      <c r="H588" t="str">
        <f t="shared" si="9"/>
        <v/>
      </c>
    </row>
    <row r="589" spans="1:8" s="77" customFormat="1" ht="23.25" customHeight="1" x14ac:dyDescent="0.25">
      <c r="A589" s="76"/>
      <c r="B589" s="76"/>
      <c r="C589" s="76"/>
      <c r="D589" s="76"/>
      <c r="E589" s="76"/>
      <c r="F589" s="76"/>
      <c r="G589" s="76"/>
      <c r="H589" t="str">
        <f t="shared" si="9"/>
        <v/>
      </c>
    </row>
    <row r="590" spans="1:8" s="77" customFormat="1" ht="23.25" customHeight="1" x14ac:dyDescent="0.25">
      <c r="A590" s="76"/>
      <c r="B590" s="76"/>
      <c r="C590" s="76"/>
      <c r="D590" s="76"/>
      <c r="E590" s="76"/>
      <c r="F590" s="76"/>
      <c r="G590" s="76"/>
      <c r="H590" t="str">
        <f t="shared" si="9"/>
        <v/>
      </c>
    </row>
    <row r="591" spans="1:8" s="77" customFormat="1" ht="23.25" customHeight="1" x14ac:dyDescent="0.25">
      <c r="A591" s="76"/>
      <c r="B591" s="76"/>
      <c r="C591" s="76"/>
      <c r="D591" s="76"/>
      <c r="E591" s="76"/>
      <c r="F591" s="76"/>
      <c r="G591" s="76"/>
      <c r="H591" t="str">
        <f t="shared" si="9"/>
        <v/>
      </c>
    </row>
    <row r="592" spans="1:8" s="77" customFormat="1" ht="23.25" customHeight="1" x14ac:dyDescent="0.25">
      <c r="A592" s="76"/>
      <c r="B592" s="76"/>
      <c r="C592" s="76"/>
      <c r="D592" s="76"/>
      <c r="E592" s="76"/>
      <c r="F592" s="76"/>
      <c r="G592" s="76"/>
      <c r="H592" t="str">
        <f t="shared" si="9"/>
        <v/>
      </c>
    </row>
    <row r="593" spans="1:8" s="77" customFormat="1" ht="23.25" customHeight="1" x14ac:dyDescent="0.25">
      <c r="A593" s="76"/>
      <c r="B593" s="76"/>
      <c r="C593" s="76"/>
      <c r="D593" s="76"/>
      <c r="E593" s="76"/>
      <c r="F593" s="76"/>
      <c r="G593" s="76"/>
      <c r="H593" t="str">
        <f t="shared" si="9"/>
        <v/>
      </c>
    </row>
    <row r="594" spans="1:8" s="77" customFormat="1" ht="23.25" customHeight="1" x14ac:dyDescent="0.25">
      <c r="A594" s="76"/>
      <c r="B594" s="76"/>
      <c r="C594" s="76"/>
      <c r="D594" s="76"/>
      <c r="E594" s="76"/>
      <c r="F594" s="76"/>
      <c r="G594" s="76"/>
      <c r="H594" t="str">
        <f t="shared" si="9"/>
        <v/>
      </c>
    </row>
    <row r="595" spans="1:8" s="77" customFormat="1" ht="23.25" customHeight="1" x14ac:dyDescent="0.25">
      <c r="A595" s="76"/>
      <c r="B595" s="76"/>
      <c r="C595" s="76"/>
      <c r="D595" s="76"/>
      <c r="E595" s="76"/>
      <c r="F595" s="76"/>
      <c r="G595" s="76"/>
      <c r="H595" t="str">
        <f t="shared" si="9"/>
        <v/>
      </c>
    </row>
    <row r="596" spans="1:8" s="77" customFormat="1" ht="23.25" customHeight="1" x14ac:dyDescent="0.25">
      <c r="A596" s="76"/>
      <c r="B596" s="76"/>
      <c r="C596" s="76"/>
      <c r="D596" s="76"/>
      <c r="E596" s="76"/>
      <c r="F596" s="76"/>
      <c r="G596" s="76"/>
      <c r="H596" t="str">
        <f t="shared" si="9"/>
        <v/>
      </c>
    </row>
    <row r="597" spans="1:8" s="77" customFormat="1" ht="23.25" customHeight="1" x14ac:dyDescent="0.25">
      <c r="A597" s="76"/>
      <c r="B597" s="76"/>
      <c r="C597" s="76"/>
      <c r="D597" s="76"/>
      <c r="E597" s="76"/>
      <c r="F597" s="76"/>
      <c r="G597" s="76"/>
      <c r="H597" t="str">
        <f t="shared" si="9"/>
        <v/>
      </c>
    </row>
    <row r="598" spans="1:8" s="77" customFormat="1" ht="23.25" customHeight="1" x14ac:dyDescent="0.25">
      <c r="A598" s="76"/>
      <c r="B598" s="76"/>
      <c r="C598" s="76"/>
      <c r="D598" s="76"/>
      <c r="E598" s="76"/>
      <c r="F598" s="76"/>
      <c r="G598" s="76"/>
      <c r="H598" t="str">
        <f t="shared" si="9"/>
        <v/>
      </c>
    </row>
    <row r="599" spans="1:8" s="77" customFormat="1" ht="23.25" customHeight="1" x14ac:dyDescent="0.25">
      <c r="A599" s="76"/>
      <c r="B599" s="76"/>
      <c r="C599" s="76"/>
      <c r="D599" s="76"/>
      <c r="E599" s="76"/>
      <c r="F599" s="76"/>
      <c r="G599" s="76"/>
      <c r="H599" t="str">
        <f t="shared" si="9"/>
        <v/>
      </c>
    </row>
    <row r="600" spans="1:8" s="77" customFormat="1" ht="23.25" customHeight="1" x14ac:dyDescent="0.25">
      <c r="A600" s="76"/>
      <c r="B600" s="76"/>
      <c r="C600" s="76"/>
      <c r="D600" s="76"/>
      <c r="E600" s="76"/>
      <c r="F600" s="76"/>
      <c r="G600" s="76"/>
      <c r="H600" t="str">
        <f t="shared" si="9"/>
        <v/>
      </c>
    </row>
    <row r="601" spans="1:8" s="77" customFormat="1" ht="23.25" customHeight="1" x14ac:dyDescent="0.25">
      <c r="A601" s="76"/>
      <c r="B601" s="76"/>
      <c r="C601" s="76"/>
      <c r="D601" s="76"/>
      <c r="E601" s="76"/>
      <c r="F601" s="76"/>
      <c r="G601" s="76"/>
      <c r="H601" t="str">
        <f t="shared" si="9"/>
        <v/>
      </c>
    </row>
    <row r="602" spans="1:8" s="77" customFormat="1" ht="23.25" customHeight="1" x14ac:dyDescent="0.25">
      <c r="A602" s="76"/>
      <c r="B602" s="76"/>
      <c r="C602" s="76"/>
      <c r="D602" s="76"/>
      <c r="E602" s="76"/>
      <c r="F602" s="76"/>
      <c r="G602" s="76"/>
      <c r="H602" t="str">
        <f t="shared" si="9"/>
        <v/>
      </c>
    </row>
    <row r="603" spans="1:8" s="77" customFormat="1" ht="23.25" customHeight="1" x14ac:dyDescent="0.25">
      <c r="A603" s="76"/>
      <c r="B603" s="76"/>
      <c r="C603" s="76"/>
      <c r="D603" s="76"/>
      <c r="E603" s="76"/>
      <c r="F603" s="76"/>
      <c r="G603" s="76"/>
      <c r="H603" t="str">
        <f t="shared" ref="H603:H666" si="10">IF(ISBLANK(A603),"",SUM(B603:G603))</f>
        <v/>
      </c>
    </row>
    <row r="604" spans="1:8" s="77" customFormat="1" ht="23.25" customHeight="1" x14ac:dyDescent="0.25">
      <c r="A604" s="76"/>
      <c r="B604" s="76"/>
      <c r="C604" s="76"/>
      <c r="D604" s="76"/>
      <c r="E604" s="76"/>
      <c r="F604" s="76"/>
      <c r="G604" s="76"/>
      <c r="H604" t="str">
        <f t="shared" si="10"/>
        <v/>
      </c>
    </row>
    <row r="605" spans="1:8" s="77" customFormat="1" ht="23.25" customHeight="1" x14ac:dyDescent="0.25">
      <c r="A605" s="76"/>
      <c r="B605" s="76"/>
      <c r="C605" s="76"/>
      <c r="D605" s="76"/>
      <c r="E605" s="76"/>
      <c r="F605" s="76"/>
      <c r="G605" s="76"/>
      <c r="H605" t="str">
        <f t="shared" si="10"/>
        <v/>
      </c>
    </row>
    <row r="606" spans="1:8" s="77" customFormat="1" ht="23.25" customHeight="1" x14ac:dyDescent="0.25">
      <c r="A606" s="76"/>
      <c r="B606" s="76"/>
      <c r="C606" s="76"/>
      <c r="D606" s="76"/>
      <c r="E606" s="76"/>
      <c r="F606" s="76"/>
      <c r="G606" s="76"/>
      <c r="H606" t="str">
        <f t="shared" si="10"/>
        <v/>
      </c>
    </row>
    <row r="607" spans="1:8" s="77" customFormat="1" ht="23.25" customHeight="1" x14ac:dyDescent="0.25">
      <c r="A607" s="76"/>
      <c r="B607" s="76"/>
      <c r="C607" s="76"/>
      <c r="D607" s="76"/>
      <c r="E607" s="76"/>
      <c r="F607" s="76"/>
      <c r="G607" s="76"/>
      <c r="H607" t="str">
        <f t="shared" si="10"/>
        <v/>
      </c>
    </row>
    <row r="608" spans="1:8" s="77" customFormat="1" ht="23.25" customHeight="1" x14ac:dyDescent="0.25">
      <c r="A608" s="76"/>
      <c r="B608" s="76"/>
      <c r="C608" s="76"/>
      <c r="D608" s="76"/>
      <c r="E608" s="76"/>
      <c r="F608" s="76"/>
      <c r="G608" s="76"/>
      <c r="H608" t="str">
        <f t="shared" si="10"/>
        <v/>
      </c>
    </row>
    <row r="609" spans="1:8" s="77" customFormat="1" ht="23.25" customHeight="1" x14ac:dyDescent="0.25">
      <c r="A609" s="76"/>
      <c r="B609" s="76"/>
      <c r="C609" s="76"/>
      <c r="D609" s="76"/>
      <c r="E609" s="76"/>
      <c r="F609" s="76"/>
      <c r="G609" s="76"/>
      <c r="H609" t="str">
        <f t="shared" si="10"/>
        <v/>
      </c>
    </row>
    <row r="610" spans="1:8" s="77" customFormat="1" ht="23.25" customHeight="1" x14ac:dyDescent="0.25">
      <c r="A610" s="76"/>
      <c r="B610" s="76"/>
      <c r="C610" s="76"/>
      <c r="D610" s="76"/>
      <c r="E610" s="76"/>
      <c r="F610" s="76"/>
      <c r="G610" s="76"/>
      <c r="H610" t="str">
        <f t="shared" si="10"/>
        <v/>
      </c>
    </row>
    <row r="611" spans="1:8" s="77" customFormat="1" ht="23.25" customHeight="1" x14ac:dyDescent="0.25">
      <c r="A611" s="76"/>
      <c r="B611" s="76"/>
      <c r="C611" s="76"/>
      <c r="D611" s="76"/>
      <c r="E611" s="76"/>
      <c r="F611" s="76"/>
      <c r="G611" s="76"/>
      <c r="H611" t="str">
        <f t="shared" si="10"/>
        <v/>
      </c>
    </row>
    <row r="612" spans="1:8" s="77" customFormat="1" ht="23.25" customHeight="1" x14ac:dyDescent="0.25">
      <c r="A612" s="76"/>
      <c r="B612" s="76"/>
      <c r="C612" s="76"/>
      <c r="D612" s="76"/>
      <c r="E612" s="76"/>
      <c r="F612" s="76"/>
      <c r="G612" s="76"/>
      <c r="H612" t="str">
        <f t="shared" si="10"/>
        <v/>
      </c>
    </row>
    <row r="613" spans="1:8" s="77" customFormat="1" ht="23.25" customHeight="1" x14ac:dyDescent="0.25">
      <c r="A613" s="76"/>
      <c r="B613" s="76"/>
      <c r="C613" s="76"/>
      <c r="D613" s="76"/>
      <c r="E613" s="76"/>
      <c r="F613" s="76"/>
      <c r="G613" s="76"/>
      <c r="H613" t="str">
        <f t="shared" si="10"/>
        <v/>
      </c>
    </row>
    <row r="614" spans="1:8" s="77" customFormat="1" ht="23.25" customHeight="1" x14ac:dyDescent="0.25">
      <c r="A614" s="76"/>
      <c r="B614" s="76"/>
      <c r="C614" s="76"/>
      <c r="D614" s="76"/>
      <c r="E614" s="76"/>
      <c r="F614" s="76"/>
      <c r="G614" s="76"/>
      <c r="H614" t="str">
        <f t="shared" si="10"/>
        <v/>
      </c>
    </row>
    <row r="615" spans="1:8" s="77" customFormat="1" ht="23.25" customHeight="1" x14ac:dyDescent="0.25">
      <c r="A615" s="76"/>
      <c r="B615" s="76"/>
      <c r="C615" s="76"/>
      <c r="D615" s="76"/>
      <c r="E615" s="76"/>
      <c r="F615" s="76"/>
      <c r="G615" s="76"/>
      <c r="H615" t="str">
        <f t="shared" si="10"/>
        <v/>
      </c>
    </row>
    <row r="616" spans="1:8" s="77" customFormat="1" ht="23.25" customHeight="1" x14ac:dyDescent="0.25">
      <c r="A616" s="76"/>
      <c r="B616" s="76"/>
      <c r="C616" s="76"/>
      <c r="D616" s="76"/>
      <c r="E616" s="76"/>
      <c r="F616" s="76"/>
      <c r="G616" s="76"/>
      <c r="H616" t="str">
        <f t="shared" si="10"/>
        <v/>
      </c>
    </row>
    <row r="617" spans="1:8" s="77" customFormat="1" ht="23.25" customHeight="1" x14ac:dyDescent="0.25">
      <c r="A617" s="76"/>
      <c r="B617" s="76"/>
      <c r="C617" s="76"/>
      <c r="D617" s="76"/>
      <c r="E617" s="76"/>
      <c r="F617" s="76"/>
      <c r="G617" s="76"/>
      <c r="H617" t="str">
        <f t="shared" si="10"/>
        <v/>
      </c>
    </row>
    <row r="618" spans="1:8" s="77" customFormat="1" ht="23.25" customHeight="1" x14ac:dyDescent="0.25">
      <c r="A618" s="76"/>
      <c r="B618" s="76"/>
      <c r="C618" s="76"/>
      <c r="D618" s="76"/>
      <c r="E618" s="76"/>
      <c r="F618" s="76"/>
      <c r="G618" s="76"/>
      <c r="H618" t="str">
        <f t="shared" si="10"/>
        <v/>
      </c>
    </row>
    <row r="619" spans="1:8" s="77" customFormat="1" ht="23.25" customHeight="1" x14ac:dyDescent="0.25">
      <c r="A619" s="76"/>
      <c r="B619" s="76"/>
      <c r="C619" s="76"/>
      <c r="D619" s="76"/>
      <c r="E619" s="76"/>
      <c r="F619" s="76"/>
      <c r="G619" s="76"/>
      <c r="H619" t="str">
        <f t="shared" si="10"/>
        <v/>
      </c>
    </row>
    <row r="620" spans="1:8" s="77" customFormat="1" ht="23.25" customHeight="1" x14ac:dyDescent="0.25">
      <c r="A620" s="76"/>
      <c r="B620" s="76"/>
      <c r="C620" s="76"/>
      <c r="D620" s="76"/>
      <c r="E620" s="76"/>
      <c r="F620" s="76"/>
      <c r="G620" s="76"/>
      <c r="H620" t="str">
        <f t="shared" si="10"/>
        <v/>
      </c>
    </row>
    <row r="621" spans="1:8" s="77" customFormat="1" ht="23.25" customHeight="1" x14ac:dyDescent="0.25">
      <c r="A621" s="76"/>
      <c r="B621" s="76"/>
      <c r="C621" s="76"/>
      <c r="D621" s="76"/>
      <c r="E621" s="76"/>
      <c r="F621" s="76"/>
      <c r="G621" s="76"/>
      <c r="H621" t="str">
        <f t="shared" si="10"/>
        <v/>
      </c>
    </row>
    <row r="622" spans="1:8" s="77" customFormat="1" ht="23.25" customHeight="1" x14ac:dyDescent="0.25">
      <c r="A622" s="76"/>
      <c r="B622" s="76"/>
      <c r="C622" s="76"/>
      <c r="D622" s="76"/>
      <c r="E622" s="76"/>
      <c r="F622" s="76"/>
      <c r="G622" s="76"/>
      <c r="H622" t="str">
        <f t="shared" si="10"/>
        <v/>
      </c>
    </row>
    <row r="623" spans="1:8" s="77" customFormat="1" ht="23.25" customHeight="1" x14ac:dyDescent="0.25">
      <c r="A623" s="76"/>
      <c r="B623" s="76"/>
      <c r="C623" s="76"/>
      <c r="D623" s="76"/>
      <c r="E623" s="76"/>
      <c r="F623" s="76"/>
      <c r="G623" s="76"/>
      <c r="H623" t="str">
        <f t="shared" si="10"/>
        <v/>
      </c>
    </row>
    <row r="624" spans="1:8" s="77" customFormat="1" ht="23.25" customHeight="1" x14ac:dyDescent="0.25">
      <c r="A624" s="76"/>
      <c r="B624" s="76"/>
      <c r="C624" s="76"/>
      <c r="D624" s="76"/>
      <c r="E624" s="76"/>
      <c r="F624" s="76"/>
      <c r="G624" s="76"/>
      <c r="H624" t="str">
        <f t="shared" si="10"/>
        <v/>
      </c>
    </row>
    <row r="625" spans="1:8" s="77" customFormat="1" ht="23.25" customHeight="1" x14ac:dyDescent="0.25">
      <c r="A625" s="76"/>
      <c r="B625" s="76"/>
      <c r="C625" s="76"/>
      <c r="D625" s="76"/>
      <c r="E625" s="76"/>
      <c r="F625" s="76"/>
      <c r="G625" s="76"/>
      <c r="H625" t="str">
        <f t="shared" si="10"/>
        <v/>
      </c>
    </row>
    <row r="626" spans="1:8" s="77" customFormat="1" ht="23.25" customHeight="1" x14ac:dyDescent="0.25">
      <c r="A626" s="76"/>
      <c r="B626" s="76"/>
      <c r="C626" s="76"/>
      <c r="D626" s="76"/>
      <c r="E626" s="76"/>
      <c r="F626" s="76"/>
      <c r="G626" s="76"/>
      <c r="H626" t="str">
        <f t="shared" si="10"/>
        <v/>
      </c>
    </row>
    <row r="627" spans="1:8" s="77" customFormat="1" ht="23.25" customHeight="1" x14ac:dyDescent="0.25">
      <c r="A627" s="76"/>
      <c r="B627" s="76"/>
      <c r="C627" s="76"/>
      <c r="D627" s="76"/>
      <c r="E627" s="76"/>
      <c r="F627" s="76"/>
      <c r="G627" s="76"/>
      <c r="H627" t="str">
        <f t="shared" si="10"/>
        <v/>
      </c>
    </row>
    <row r="628" spans="1:8" s="77" customFormat="1" ht="23.25" customHeight="1" x14ac:dyDescent="0.25">
      <c r="A628" s="76"/>
      <c r="B628" s="76"/>
      <c r="C628" s="76"/>
      <c r="D628" s="76"/>
      <c r="E628" s="76"/>
      <c r="F628" s="76"/>
      <c r="G628" s="76"/>
      <c r="H628" t="str">
        <f t="shared" si="10"/>
        <v/>
      </c>
    </row>
    <row r="629" spans="1:8" s="77" customFormat="1" ht="23.25" customHeight="1" x14ac:dyDescent="0.25">
      <c r="A629" s="76"/>
      <c r="B629" s="76"/>
      <c r="C629" s="76"/>
      <c r="D629" s="76"/>
      <c r="E629" s="76"/>
      <c r="F629" s="76"/>
      <c r="G629" s="76"/>
      <c r="H629" t="str">
        <f t="shared" si="10"/>
        <v/>
      </c>
    </row>
    <row r="630" spans="1:8" s="77" customFormat="1" ht="23.25" customHeight="1" x14ac:dyDescent="0.25">
      <c r="A630" s="76"/>
      <c r="B630" s="76"/>
      <c r="C630" s="76"/>
      <c r="D630" s="76"/>
      <c r="E630" s="76"/>
      <c r="F630" s="76"/>
      <c r="G630" s="76"/>
      <c r="H630" t="str">
        <f t="shared" si="10"/>
        <v/>
      </c>
    </row>
    <row r="631" spans="1:8" s="77" customFormat="1" ht="23.25" customHeight="1" x14ac:dyDescent="0.25">
      <c r="A631" s="76"/>
      <c r="B631" s="76"/>
      <c r="C631" s="76"/>
      <c r="D631" s="76"/>
      <c r="E631" s="76"/>
      <c r="F631" s="76"/>
      <c r="G631" s="76"/>
      <c r="H631" t="str">
        <f t="shared" si="10"/>
        <v/>
      </c>
    </row>
    <row r="632" spans="1:8" s="77" customFormat="1" ht="23.25" customHeight="1" x14ac:dyDescent="0.25">
      <c r="A632" s="76"/>
      <c r="B632" s="76"/>
      <c r="C632" s="76"/>
      <c r="D632" s="76"/>
      <c r="E632" s="76"/>
      <c r="F632" s="76"/>
      <c r="G632" s="76"/>
      <c r="H632" t="str">
        <f t="shared" si="10"/>
        <v/>
      </c>
    </row>
    <row r="633" spans="1:8" s="77" customFormat="1" ht="23.25" customHeight="1" x14ac:dyDescent="0.25">
      <c r="A633" s="76"/>
      <c r="B633" s="76"/>
      <c r="C633" s="76"/>
      <c r="D633" s="76"/>
      <c r="E633" s="76"/>
      <c r="F633" s="76"/>
      <c r="G633" s="76"/>
      <c r="H633" t="str">
        <f t="shared" si="10"/>
        <v/>
      </c>
    </row>
    <row r="634" spans="1:8" s="77" customFormat="1" ht="23.25" customHeight="1" x14ac:dyDescent="0.25">
      <c r="A634" s="76"/>
      <c r="B634" s="76"/>
      <c r="C634" s="76"/>
      <c r="D634" s="76"/>
      <c r="E634" s="76"/>
      <c r="F634" s="76"/>
      <c r="G634" s="76"/>
      <c r="H634" t="str">
        <f t="shared" si="10"/>
        <v/>
      </c>
    </row>
    <row r="635" spans="1:8" s="77" customFormat="1" ht="23.25" customHeight="1" x14ac:dyDescent="0.25">
      <c r="A635" s="76"/>
      <c r="B635" s="76"/>
      <c r="C635" s="76"/>
      <c r="D635" s="76"/>
      <c r="E635" s="76"/>
      <c r="F635" s="76"/>
      <c r="G635" s="76"/>
      <c r="H635" t="str">
        <f t="shared" si="10"/>
        <v/>
      </c>
    </row>
    <row r="636" spans="1:8" s="77" customFormat="1" ht="23.25" customHeight="1" x14ac:dyDescent="0.25">
      <c r="A636" s="76"/>
      <c r="B636" s="76"/>
      <c r="C636" s="76"/>
      <c r="D636" s="76"/>
      <c r="E636" s="76"/>
      <c r="F636" s="76"/>
      <c r="G636" s="76"/>
      <c r="H636" t="str">
        <f t="shared" si="10"/>
        <v/>
      </c>
    </row>
    <row r="637" spans="1:8" s="77" customFormat="1" ht="23.25" customHeight="1" x14ac:dyDescent="0.25">
      <c r="A637" s="76"/>
      <c r="B637" s="76"/>
      <c r="C637" s="76"/>
      <c r="D637" s="76"/>
      <c r="E637" s="76"/>
      <c r="F637" s="76"/>
      <c r="G637" s="76"/>
      <c r="H637" t="str">
        <f t="shared" si="10"/>
        <v/>
      </c>
    </row>
    <row r="638" spans="1:8" s="77" customFormat="1" ht="23.25" customHeight="1" x14ac:dyDescent="0.25">
      <c r="A638" s="76"/>
      <c r="B638" s="76"/>
      <c r="C638" s="76"/>
      <c r="D638" s="76"/>
      <c r="E638" s="76"/>
      <c r="F638" s="76"/>
      <c r="G638" s="76"/>
      <c r="H638" t="str">
        <f t="shared" si="10"/>
        <v/>
      </c>
    </row>
    <row r="639" spans="1:8" s="77" customFormat="1" ht="23.25" customHeight="1" x14ac:dyDescent="0.25">
      <c r="A639" s="76"/>
      <c r="B639" s="76"/>
      <c r="C639" s="76"/>
      <c r="D639" s="76"/>
      <c r="E639" s="76"/>
      <c r="F639" s="76"/>
      <c r="G639" s="76"/>
      <c r="H639" t="str">
        <f t="shared" si="10"/>
        <v/>
      </c>
    </row>
    <row r="640" spans="1:8" s="77" customFormat="1" ht="23.25" customHeight="1" x14ac:dyDescent="0.25">
      <c r="A640" s="76"/>
      <c r="B640" s="76"/>
      <c r="C640" s="76"/>
      <c r="D640" s="76"/>
      <c r="E640" s="76"/>
      <c r="F640" s="76"/>
      <c r="G640" s="76"/>
      <c r="H640" t="str">
        <f t="shared" si="10"/>
        <v/>
      </c>
    </row>
    <row r="641" spans="1:8" s="77" customFormat="1" ht="23.25" customHeight="1" x14ac:dyDescent="0.25">
      <c r="A641" s="76"/>
      <c r="B641" s="76"/>
      <c r="C641" s="76"/>
      <c r="D641" s="76"/>
      <c r="E641" s="76"/>
      <c r="F641" s="76"/>
      <c r="G641" s="76"/>
      <c r="H641" t="str">
        <f t="shared" si="10"/>
        <v/>
      </c>
    </row>
    <row r="642" spans="1:8" s="77" customFormat="1" ht="23.25" customHeight="1" x14ac:dyDescent="0.25">
      <c r="A642" s="76"/>
      <c r="B642" s="76"/>
      <c r="C642" s="76"/>
      <c r="D642" s="76"/>
      <c r="E642" s="76"/>
      <c r="F642" s="76"/>
      <c r="G642" s="76"/>
      <c r="H642" t="str">
        <f t="shared" si="10"/>
        <v/>
      </c>
    </row>
    <row r="643" spans="1:8" s="77" customFormat="1" ht="23.25" customHeight="1" x14ac:dyDescent="0.25">
      <c r="A643" s="76"/>
      <c r="B643" s="76"/>
      <c r="C643" s="76"/>
      <c r="D643" s="76"/>
      <c r="E643" s="76"/>
      <c r="F643" s="76"/>
      <c r="G643" s="76"/>
      <c r="H643" t="str">
        <f t="shared" si="10"/>
        <v/>
      </c>
    </row>
    <row r="644" spans="1:8" s="77" customFormat="1" ht="23.25" customHeight="1" x14ac:dyDescent="0.25">
      <c r="A644" s="76"/>
      <c r="B644" s="76"/>
      <c r="C644" s="76"/>
      <c r="D644" s="76"/>
      <c r="E644" s="76"/>
      <c r="F644" s="76"/>
      <c r="G644" s="76"/>
      <c r="H644" t="str">
        <f t="shared" si="10"/>
        <v/>
      </c>
    </row>
    <row r="645" spans="1:8" s="77" customFormat="1" ht="23.25" customHeight="1" x14ac:dyDescent="0.25">
      <c r="A645" s="76"/>
      <c r="B645" s="76"/>
      <c r="C645" s="76"/>
      <c r="D645" s="76"/>
      <c r="E645" s="76"/>
      <c r="F645" s="76"/>
      <c r="G645" s="76"/>
      <c r="H645" t="str">
        <f t="shared" si="10"/>
        <v/>
      </c>
    </row>
    <row r="646" spans="1:8" s="77" customFormat="1" ht="23.25" customHeight="1" x14ac:dyDescent="0.25">
      <c r="A646" s="76"/>
      <c r="B646" s="76"/>
      <c r="C646" s="76"/>
      <c r="D646" s="76"/>
      <c r="E646" s="76"/>
      <c r="F646" s="76"/>
      <c r="G646" s="76"/>
      <c r="H646" t="str">
        <f t="shared" si="10"/>
        <v/>
      </c>
    </row>
    <row r="647" spans="1:8" s="77" customFormat="1" ht="23.25" customHeight="1" x14ac:dyDescent="0.25">
      <c r="A647" s="76"/>
      <c r="B647" s="76"/>
      <c r="C647" s="76"/>
      <c r="D647" s="76"/>
      <c r="E647" s="76"/>
      <c r="F647" s="76"/>
      <c r="G647" s="76"/>
      <c r="H647" t="str">
        <f t="shared" si="10"/>
        <v/>
      </c>
    </row>
    <row r="648" spans="1:8" s="77" customFormat="1" ht="23.25" customHeight="1" x14ac:dyDescent="0.25">
      <c r="A648" s="76"/>
      <c r="B648" s="76"/>
      <c r="C648" s="76"/>
      <c r="D648" s="76"/>
      <c r="E648" s="76"/>
      <c r="F648" s="76"/>
      <c r="G648" s="76"/>
      <c r="H648" t="str">
        <f t="shared" si="10"/>
        <v/>
      </c>
    </row>
    <row r="649" spans="1:8" s="77" customFormat="1" ht="23.25" customHeight="1" x14ac:dyDescent="0.25">
      <c r="A649" s="76"/>
      <c r="B649" s="76"/>
      <c r="C649" s="76"/>
      <c r="D649" s="76"/>
      <c r="E649" s="76"/>
      <c r="F649" s="76"/>
      <c r="G649" s="76"/>
      <c r="H649" t="str">
        <f t="shared" si="10"/>
        <v/>
      </c>
    </row>
    <row r="650" spans="1:8" s="77" customFormat="1" ht="23.25" customHeight="1" x14ac:dyDescent="0.25">
      <c r="A650" s="76"/>
      <c r="B650" s="76"/>
      <c r="C650" s="76"/>
      <c r="D650" s="76"/>
      <c r="E650" s="76"/>
      <c r="F650" s="76"/>
      <c r="G650" s="76"/>
      <c r="H650" t="str">
        <f t="shared" si="10"/>
        <v/>
      </c>
    </row>
    <row r="651" spans="1:8" s="77" customFormat="1" ht="23.25" customHeight="1" x14ac:dyDescent="0.25">
      <c r="A651" s="76"/>
      <c r="B651" s="76"/>
      <c r="C651" s="76"/>
      <c r="D651" s="76"/>
      <c r="E651" s="76"/>
      <c r="F651" s="76"/>
      <c r="G651" s="76"/>
      <c r="H651" t="str">
        <f t="shared" si="10"/>
        <v/>
      </c>
    </row>
    <row r="652" spans="1:8" s="77" customFormat="1" ht="23.25" customHeight="1" x14ac:dyDescent="0.25">
      <c r="A652" s="76"/>
      <c r="B652" s="76"/>
      <c r="C652" s="76"/>
      <c r="D652" s="76"/>
      <c r="E652" s="76"/>
      <c r="F652" s="76"/>
      <c r="G652" s="76"/>
      <c r="H652" t="str">
        <f t="shared" si="10"/>
        <v/>
      </c>
    </row>
    <row r="653" spans="1:8" s="77" customFormat="1" ht="23.25" customHeight="1" x14ac:dyDescent="0.25">
      <c r="A653" s="76"/>
      <c r="B653" s="76"/>
      <c r="C653" s="76"/>
      <c r="D653" s="76"/>
      <c r="E653" s="76"/>
      <c r="F653" s="76"/>
      <c r="G653" s="76"/>
      <c r="H653" t="str">
        <f t="shared" si="10"/>
        <v/>
      </c>
    </row>
    <row r="654" spans="1:8" s="77" customFormat="1" ht="23.25" customHeight="1" x14ac:dyDescent="0.25">
      <c r="A654" s="76"/>
      <c r="B654" s="76"/>
      <c r="C654" s="76"/>
      <c r="D654" s="76"/>
      <c r="E654" s="76"/>
      <c r="F654" s="76"/>
      <c r="G654" s="76"/>
      <c r="H654" t="str">
        <f t="shared" si="10"/>
        <v/>
      </c>
    </row>
    <row r="655" spans="1:8" s="77" customFormat="1" ht="23.25" customHeight="1" x14ac:dyDescent="0.25">
      <c r="A655" s="76"/>
      <c r="B655" s="76"/>
      <c r="C655" s="76"/>
      <c r="D655" s="76"/>
      <c r="E655" s="76"/>
      <c r="F655" s="76"/>
      <c r="G655" s="76"/>
      <c r="H655" t="str">
        <f t="shared" si="10"/>
        <v/>
      </c>
    </row>
    <row r="656" spans="1:8" s="77" customFormat="1" ht="23.25" customHeight="1" x14ac:dyDescent="0.25">
      <c r="A656" s="76"/>
      <c r="B656" s="76"/>
      <c r="C656" s="76"/>
      <c r="D656" s="76"/>
      <c r="E656" s="76"/>
      <c r="F656" s="76"/>
      <c r="G656" s="76"/>
      <c r="H656" t="str">
        <f t="shared" si="10"/>
        <v/>
      </c>
    </row>
    <row r="657" spans="1:8" s="77" customFormat="1" ht="23.25" customHeight="1" x14ac:dyDescent="0.25">
      <c r="A657" s="76"/>
      <c r="B657" s="76"/>
      <c r="C657" s="76"/>
      <c r="D657" s="76"/>
      <c r="E657" s="76"/>
      <c r="F657" s="76"/>
      <c r="G657" s="76"/>
      <c r="H657" t="str">
        <f t="shared" si="10"/>
        <v/>
      </c>
    </row>
    <row r="658" spans="1:8" s="77" customFormat="1" ht="23.25" customHeight="1" x14ac:dyDescent="0.25">
      <c r="A658" s="76"/>
      <c r="B658" s="76"/>
      <c r="C658" s="76"/>
      <c r="D658" s="76"/>
      <c r="E658" s="76"/>
      <c r="F658" s="76"/>
      <c r="G658" s="76"/>
      <c r="H658" t="str">
        <f t="shared" si="10"/>
        <v/>
      </c>
    </row>
    <row r="659" spans="1:8" s="77" customFormat="1" ht="23.25" customHeight="1" x14ac:dyDescent="0.25">
      <c r="A659" s="76"/>
      <c r="B659" s="76"/>
      <c r="C659" s="76"/>
      <c r="D659" s="76"/>
      <c r="E659" s="76"/>
      <c r="F659" s="76"/>
      <c r="G659" s="76"/>
      <c r="H659" t="str">
        <f t="shared" si="10"/>
        <v/>
      </c>
    </row>
    <row r="660" spans="1:8" s="77" customFormat="1" ht="23.25" customHeight="1" x14ac:dyDescent="0.25">
      <c r="A660" s="76"/>
      <c r="B660" s="76"/>
      <c r="C660" s="76"/>
      <c r="D660" s="76"/>
      <c r="E660" s="76"/>
      <c r="F660" s="76"/>
      <c r="G660" s="76"/>
      <c r="H660" t="str">
        <f t="shared" si="10"/>
        <v/>
      </c>
    </row>
    <row r="661" spans="1:8" s="77" customFormat="1" ht="23.25" customHeight="1" x14ac:dyDescent="0.25">
      <c r="A661" s="76"/>
      <c r="B661" s="76"/>
      <c r="C661" s="76"/>
      <c r="D661" s="76"/>
      <c r="E661" s="76"/>
      <c r="F661" s="76"/>
      <c r="G661" s="76"/>
      <c r="H661" t="str">
        <f t="shared" si="10"/>
        <v/>
      </c>
    </row>
    <row r="662" spans="1:8" s="77" customFormat="1" ht="23.25" customHeight="1" x14ac:dyDescent="0.25">
      <c r="A662" s="76"/>
      <c r="B662" s="76"/>
      <c r="C662" s="76"/>
      <c r="D662" s="76"/>
      <c r="E662" s="76"/>
      <c r="F662" s="76"/>
      <c r="G662" s="76"/>
      <c r="H662" t="str">
        <f t="shared" si="10"/>
        <v/>
      </c>
    </row>
    <row r="663" spans="1:8" s="77" customFormat="1" ht="23.25" customHeight="1" x14ac:dyDescent="0.25">
      <c r="A663" s="76"/>
      <c r="B663" s="76"/>
      <c r="C663" s="76"/>
      <c r="D663" s="76"/>
      <c r="E663" s="76"/>
      <c r="F663" s="76"/>
      <c r="G663" s="76"/>
      <c r="H663" t="str">
        <f t="shared" si="10"/>
        <v/>
      </c>
    </row>
    <row r="664" spans="1:8" s="77" customFormat="1" ht="23.25" customHeight="1" x14ac:dyDescent="0.25">
      <c r="A664" s="76"/>
      <c r="B664" s="76"/>
      <c r="C664" s="76"/>
      <c r="D664" s="76"/>
      <c r="E664" s="76"/>
      <c r="F664" s="76"/>
      <c r="G664" s="76"/>
      <c r="H664" t="str">
        <f t="shared" si="10"/>
        <v/>
      </c>
    </row>
    <row r="665" spans="1:8" s="77" customFormat="1" ht="23.25" customHeight="1" x14ac:dyDescent="0.25">
      <c r="A665" s="76"/>
      <c r="B665" s="76"/>
      <c r="C665" s="76"/>
      <c r="D665" s="76"/>
      <c r="E665" s="76"/>
      <c r="F665" s="76"/>
      <c r="G665" s="76"/>
      <c r="H665" t="str">
        <f t="shared" si="10"/>
        <v/>
      </c>
    </row>
    <row r="666" spans="1:8" s="77" customFormat="1" ht="23.25" customHeight="1" x14ac:dyDescent="0.25">
      <c r="A666" s="76"/>
      <c r="B666" s="76"/>
      <c r="C666" s="76"/>
      <c r="D666" s="76"/>
      <c r="E666" s="76"/>
      <c r="F666" s="76"/>
      <c r="G666" s="76"/>
      <c r="H666" t="str">
        <f t="shared" si="10"/>
        <v/>
      </c>
    </row>
    <row r="667" spans="1:8" s="77" customFormat="1" ht="23.25" customHeight="1" x14ac:dyDescent="0.25">
      <c r="A667" s="76"/>
      <c r="B667" s="76"/>
      <c r="C667" s="76"/>
      <c r="D667" s="76"/>
      <c r="E667" s="76"/>
      <c r="F667" s="76"/>
      <c r="G667" s="76"/>
      <c r="H667" t="str">
        <f t="shared" ref="H667:H730" si="11">IF(ISBLANK(A667),"",SUM(B667:G667))</f>
        <v/>
      </c>
    </row>
    <row r="668" spans="1:8" s="77" customFormat="1" ht="23.25" customHeight="1" x14ac:dyDescent="0.25">
      <c r="A668" s="76"/>
      <c r="B668" s="76"/>
      <c r="C668" s="76"/>
      <c r="D668" s="76"/>
      <c r="E668" s="76"/>
      <c r="F668" s="76"/>
      <c r="G668" s="76"/>
      <c r="H668" t="str">
        <f t="shared" si="11"/>
        <v/>
      </c>
    </row>
    <row r="669" spans="1:8" s="77" customFormat="1" ht="23.25" customHeight="1" x14ac:dyDescent="0.25">
      <c r="A669" s="76"/>
      <c r="B669" s="76"/>
      <c r="C669" s="76"/>
      <c r="D669" s="76"/>
      <c r="E669" s="76"/>
      <c r="F669" s="76"/>
      <c r="G669" s="76"/>
      <c r="H669" t="str">
        <f t="shared" si="11"/>
        <v/>
      </c>
    </row>
    <row r="670" spans="1:8" s="77" customFormat="1" ht="23.25" customHeight="1" x14ac:dyDescent="0.25">
      <c r="A670" s="76"/>
      <c r="B670" s="76"/>
      <c r="C670" s="76"/>
      <c r="D670" s="76"/>
      <c r="E670" s="76"/>
      <c r="F670" s="76"/>
      <c r="G670" s="76"/>
      <c r="H670" t="str">
        <f t="shared" si="11"/>
        <v/>
      </c>
    </row>
    <row r="671" spans="1:8" s="77" customFormat="1" ht="23.25" customHeight="1" x14ac:dyDescent="0.25">
      <c r="A671" s="76"/>
      <c r="B671" s="76"/>
      <c r="C671" s="76"/>
      <c r="D671" s="76"/>
      <c r="E671" s="76"/>
      <c r="F671" s="76"/>
      <c r="G671" s="76"/>
      <c r="H671" t="str">
        <f t="shared" si="11"/>
        <v/>
      </c>
    </row>
    <row r="672" spans="1:8" s="77" customFormat="1" ht="23.25" customHeight="1" x14ac:dyDescent="0.25">
      <c r="A672" s="76"/>
      <c r="B672" s="76"/>
      <c r="C672" s="76"/>
      <c r="D672" s="76"/>
      <c r="E672" s="76"/>
      <c r="F672" s="76"/>
      <c r="G672" s="76"/>
      <c r="H672" t="str">
        <f t="shared" si="11"/>
        <v/>
      </c>
    </row>
    <row r="673" spans="1:8" s="77" customFormat="1" ht="23.25" customHeight="1" x14ac:dyDescent="0.25">
      <c r="A673" s="76"/>
      <c r="B673" s="76"/>
      <c r="C673" s="76"/>
      <c r="D673" s="76"/>
      <c r="E673" s="76"/>
      <c r="F673" s="76"/>
      <c r="G673" s="76"/>
      <c r="H673" t="str">
        <f t="shared" si="11"/>
        <v/>
      </c>
    </row>
    <row r="674" spans="1:8" s="77" customFormat="1" ht="23.25" customHeight="1" x14ac:dyDescent="0.25">
      <c r="A674" s="76"/>
      <c r="B674" s="76"/>
      <c r="C674" s="76"/>
      <c r="D674" s="76"/>
      <c r="E674" s="76"/>
      <c r="F674" s="76"/>
      <c r="G674" s="76"/>
      <c r="H674" t="str">
        <f t="shared" si="11"/>
        <v/>
      </c>
    </row>
    <row r="675" spans="1:8" s="77" customFormat="1" ht="23.25" customHeight="1" x14ac:dyDescent="0.25">
      <c r="A675" s="76"/>
      <c r="B675" s="76"/>
      <c r="C675" s="76"/>
      <c r="D675" s="76"/>
      <c r="E675" s="76"/>
      <c r="F675" s="76"/>
      <c r="G675" s="76"/>
      <c r="H675" t="str">
        <f t="shared" si="11"/>
        <v/>
      </c>
    </row>
    <row r="676" spans="1:8" s="77" customFormat="1" ht="23.25" customHeight="1" x14ac:dyDescent="0.25">
      <c r="A676" s="76"/>
      <c r="B676" s="76"/>
      <c r="C676" s="76"/>
      <c r="D676" s="76"/>
      <c r="E676" s="76"/>
      <c r="F676" s="76"/>
      <c r="G676" s="76"/>
      <c r="H676" t="str">
        <f t="shared" si="11"/>
        <v/>
      </c>
    </row>
    <row r="677" spans="1:8" s="77" customFormat="1" ht="23.25" customHeight="1" x14ac:dyDescent="0.25">
      <c r="A677" s="76"/>
      <c r="B677" s="76"/>
      <c r="C677" s="76"/>
      <c r="D677" s="76"/>
      <c r="E677" s="76"/>
      <c r="F677" s="76"/>
      <c r="G677" s="76"/>
      <c r="H677" t="str">
        <f t="shared" si="11"/>
        <v/>
      </c>
    </row>
    <row r="678" spans="1:8" s="77" customFormat="1" ht="23.25" customHeight="1" x14ac:dyDescent="0.25">
      <c r="A678" s="76"/>
      <c r="B678" s="76"/>
      <c r="C678" s="76"/>
      <c r="D678" s="76"/>
      <c r="E678" s="76"/>
      <c r="F678" s="76"/>
      <c r="G678" s="76"/>
      <c r="H678" t="str">
        <f t="shared" si="11"/>
        <v/>
      </c>
    </row>
    <row r="679" spans="1:8" s="77" customFormat="1" ht="23.25" customHeight="1" x14ac:dyDescent="0.25">
      <c r="A679" s="76"/>
      <c r="B679" s="76"/>
      <c r="C679" s="76"/>
      <c r="D679" s="76"/>
      <c r="E679" s="76"/>
      <c r="F679" s="76"/>
      <c r="G679" s="76"/>
      <c r="H679" t="str">
        <f t="shared" si="11"/>
        <v/>
      </c>
    </row>
    <row r="680" spans="1:8" s="77" customFormat="1" ht="23.25" customHeight="1" x14ac:dyDescent="0.25">
      <c r="A680" s="76"/>
      <c r="B680" s="76"/>
      <c r="C680" s="76"/>
      <c r="D680" s="76"/>
      <c r="E680" s="76"/>
      <c r="F680" s="76"/>
      <c r="G680" s="76"/>
      <c r="H680" t="str">
        <f t="shared" si="11"/>
        <v/>
      </c>
    </row>
    <row r="681" spans="1:8" s="77" customFormat="1" ht="23.25" customHeight="1" x14ac:dyDescent="0.25">
      <c r="A681" s="76"/>
      <c r="B681" s="76"/>
      <c r="C681" s="76"/>
      <c r="D681" s="76"/>
      <c r="E681" s="76"/>
      <c r="F681" s="76"/>
      <c r="G681" s="76"/>
      <c r="H681" t="str">
        <f t="shared" si="11"/>
        <v/>
      </c>
    </row>
    <row r="682" spans="1:8" s="77" customFormat="1" ht="23.25" customHeight="1" x14ac:dyDescent="0.25">
      <c r="A682" s="76"/>
      <c r="B682" s="76"/>
      <c r="C682" s="76"/>
      <c r="D682" s="76"/>
      <c r="E682" s="76"/>
      <c r="F682" s="76"/>
      <c r="G682" s="76"/>
      <c r="H682" t="str">
        <f t="shared" si="11"/>
        <v/>
      </c>
    </row>
    <row r="683" spans="1:8" s="77" customFormat="1" ht="23.25" customHeight="1" x14ac:dyDescent="0.25">
      <c r="A683" s="76"/>
      <c r="B683" s="76"/>
      <c r="C683" s="76"/>
      <c r="D683" s="76"/>
      <c r="E683" s="76"/>
      <c r="F683" s="76"/>
      <c r="G683" s="76"/>
      <c r="H683" t="str">
        <f t="shared" si="11"/>
        <v/>
      </c>
    </row>
    <row r="684" spans="1:8" s="77" customFormat="1" ht="23.25" customHeight="1" x14ac:dyDescent="0.25">
      <c r="A684" s="76"/>
      <c r="B684" s="76"/>
      <c r="C684" s="76"/>
      <c r="D684" s="76"/>
      <c r="E684" s="76"/>
      <c r="F684" s="76"/>
      <c r="G684" s="76"/>
      <c r="H684" t="str">
        <f t="shared" si="11"/>
        <v/>
      </c>
    </row>
    <row r="685" spans="1:8" s="77" customFormat="1" ht="23.25" customHeight="1" x14ac:dyDescent="0.25">
      <c r="A685" s="76"/>
      <c r="B685" s="76"/>
      <c r="C685" s="76"/>
      <c r="D685" s="76"/>
      <c r="E685" s="76"/>
      <c r="F685" s="76"/>
      <c r="G685" s="76"/>
      <c r="H685" t="str">
        <f t="shared" si="11"/>
        <v/>
      </c>
    </row>
    <row r="686" spans="1:8" s="77" customFormat="1" ht="23.25" customHeight="1" x14ac:dyDescent="0.25">
      <c r="A686" s="76"/>
      <c r="B686" s="76"/>
      <c r="C686" s="76"/>
      <c r="D686" s="76"/>
      <c r="E686" s="76"/>
      <c r="F686" s="76"/>
      <c r="G686" s="76"/>
      <c r="H686" t="str">
        <f t="shared" si="11"/>
        <v/>
      </c>
    </row>
    <row r="687" spans="1:8" s="77" customFormat="1" ht="23.25" customHeight="1" x14ac:dyDescent="0.25">
      <c r="A687" s="76"/>
      <c r="B687" s="76"/>
      <c r="C687" s="76"/>
      <c r="D687" s="76"/>
      <c r="E687" s="76"/>
      <c r="F687" s="76"/>
      <c r="G687" s="76"/>
      <c r="H687" t="str">
        <f t="shared" si="11"/>
        <v/>
      </c>
    </row>
    <row r="688" spans="1:8" s="77" customFormat="1" ht="23.25" customHeight="1" x14ac:dyDescent="0.25">
      <c r="A688" s="76"/>
      <c r="B688" s="76"/>
      <c r="C688" s="76"/>
      <c r="D688" s="76"/>
      <c r="E688" s="76"/>
      <c r="F688" s="76"/>
      <c r="G688" s="76"/>
      <c r="H688" t="str">
        <f t="shared" si="11"/>
        <v/>
      </c>
    </row>
    <row r="689" spans="1:8" s="77" customFormat="1" ht="23.25" customHeight="1" x14ac:dyDescent="0.25">
      <c r="A689" s="76"/>
      <c r="B689" s="76"/>
      <c r="C689" s="76"/>
      <c r="D689" s="76"/>
      <c r="E689" s="76"/>
      <c r="F689" s="76"/>
      <c r="G689" s="76"/>
      <c r="H689" t="str">
        <f t="shared" si="11"/>
        <v/>
      </c>
    </row>
    <row r="690" spans="1:8" s="77" customFormat="1" ht="23.25" customHeight="1" x14ac:dyDescent="0.25">
      <c r="A690" s="76"/>
      <c r="B690" s="76"/>
      <c r="C690" s="76"/>
      <c r="D690" s="76"/>
      <c r="E690" s="76"/>
      <c r="F690" s="76"/>
      <c r="G690" s="76"/>
      <c r="H690" t="str">
        <f t="shared" si="11"/>
        <v/>
      </c>
    </row>
    <row r="691" spans="1:8" s="77" customFormat="1" ht="23.25" customHeight="1" x14ac:dyDescent="0.25">
      <c r="A691" s="76"/>
      <c r="B691" s="76"/>
      <c r="C691" s="76"/>
      <c r="D691" s="76"/>
      <c r="E691" s="76"/>
      <c r="F691" s="76"/>
      <c r="G691" s="76"/>
      <c r="H691" t="str">
        <f t="shared" si="11"/>
        <v/>
      </c>
    </row>
    <row r="692" spans="1:8" s="77" customFormat="1" ht="23.25" customHeight="1" x14ac:dyDescent="0.25">
      <c r="A692" s="76"/>
      <c r="B692" s="76"/>
      <c r="C692" s="76"/>
      <c r="D692" s="76"/>
      <c r="E692" s="76"/>
      <c r="F692" s="76"/>
      <c r="G692" s="76"/>
      <c r="H692" t="str">
        <f t="shared" si="11"/>
        <v/>
      </c>
    </row>
    <row r="693" spans="1:8" s="77" customFormat="1" ht="23.25" customHeight="1" x14ac:dyDescent="0.25">
      <c r="A693" s="76"/>
      <c r="B693" s="76"/>
      <c r="C693" s="76"/>
      <c r="D693" s="76"/>
      <c r="E693" s="76"/>
      <c r="F693" s="76"/>
      <c r="G693" s="76"/>
      <c r="H693" t="str">
        <f t="shared" si="11"/>
        <v/>
      </c>
    </row>
    <row r="694" spans="1:8" s="77" customFormat="1" ht="23.25" customHeight="1" x14ac:dyDescent="0.25">
      <c r="A694" s="76"/>
      <c r="B694" s="76"/>
      <c r="C694" s="76"/>
      <c r="D694" s="76"/>
      <c r="E694" s="76"/>
      <c r="F694" s="76"/>
      <c r="G694" s="76"/>
      <c r="H694" t="str">
        <f t="shared" si="11"/>
        <v/>
      </c>
    </row>
    <row r="695" spans="1:8" s="77" customFormat="1" ht="23.25" customHeight="1" x14ac:dyDescent="0.25">
      <c r="A695" s="76"/>
      <c r="B695" s="76"/>
      <c r="C695" s="76"/>
      <c r="D695" s="76"/>
      <c r="E695" s="76"/>
      <c r="F695" s="76"/>
      <c r="G695" s="76"/>
      <c r="H695" t="str">
        <f t="shared" si="11"/>
        <v/>
      </c>
    </row>
    <row r="696" spans="1:8" s="77" customFormat="1" ht="23.25" customHeight="1" x14ac:dyDescent="0.25">
      <c r="A696" s="76"/>
      <c r="B696" s="76"/>
      <c r="C696" s="76"/>
      <c r="D696" s="76"/>
      <c r="E696" s="76"/>
      <c r="F696" s="76"/>
      <c r="G696" s="76"/>
      <c r="H696" t="str">
        <f t="shared" si="11"/>
        <v/>
      </c>
    </row>
    <row r="697" spans="1:8" s="77" customFormat="1" ht="23.25" customHeight="1" x14ac:dyDescent="0.25">
      <c r="A697" s="76"/>
      <c r="B697" s="76"/>
      <c r="C697" s="76"/>
      <c r="D697" s="76"/>
      <c r="E697" s="76"/>
      <c r="F697" s="76"/>
      <c r="G697" s="76"/>
      <c r="H697" t="str">
        <f t="shared" si="11"/>
        <v/>
      </c>
    </row>
    <row r="698" spans="1:8" s="77" customFormat="1" ht="23.25" customHeight="1" x14ac:dyDescent="0.25">
      <c r="A698" s="76"/>
      <c r="B698" s="76"/>
      <c r="C698" s="76"/>
      <c r="D698" s="76"/>
      <c r="E698" s="76"/>
      <c r="F698" s="76"/>
      <c r="G698" s="76"/>
      <c r="H698" t="str">
        <f t="shared" si="11"/>
        <v/>
      </c>
    </row>
    <row r="699" spans="1:8" s="77" customFormat="1" ht="23.25" customHeight="1" x14ac:dyDescent="0.25">
      <c r="A699" s="76"/>
      <c r="B699" s="76"/>
      <c r="C699" s="76"/>
      <c r="D699" s="76"/>
      <c r="E699" s="76"/>
      <c r="F699" s="76"/>
      <c r="G699" s="76"/>
      <c r="H699" t="str">
        <f t="shared" si="11"/>
        <v/>
      </c>
    </row>
    <row r="700" spans="1:8" s="77" customFormat="1" ht="23.25" customHeight="1" x14ac:dyDescent="0.25">
      <c r="A700" s="76"/>
      <c r="B700" s="76"/>
      <c r="C700" s="76"/>
      <c r="D700" s="76"/>
      <c r="E700" s="76"/>
      <c r="F700" s="76"/>
      <c r="G700" s="76"/>
      <c r="H700" t="str">
        <f t="shared" si="11"/>
        <v/>
      </c>
    </row>
    <row r="701" spans="1:8" s="77" customFormat="1" ht="23.25" customHeight="1" x14ac:dyDescent="0.25">
      <c r="A701" s="76"/>
      <c r="B701" s="76"/>
      <c r="C701" s="76"/>
      <c r="D701" s="76"/>
      <c r="E701" s="76"/>
      <c r="F701" s="76"/>
      <c r="G701" s="76"/>
      <c r="H701" t="str">
        <f t="shared" si="11"/>
        <v/>
      </c>
    </row>
    <row r="702" spans="1:8" s="77" customFormat="1" ht="23.25" customHeight="1" x14ac:dyDescent="0.25">
      <c r="A702" s="76"/>
      <c r="B702" s="76"/>
      <c r="C702" s="76"/>
      <c r="D702" s="76"/>
      <c r="E702" s="76"/>
      <c r="F702" s="76"/>
      <c r="G702" s="76"/>
      <c r="H702" t="str">
        <f t="shared" si="11"/>
        <v/>
      </c>
    </row>
    <row r="703" spans="1:8" s="77" customFormat="1" ht="23.25" customHeight="1" x14ac:dyDescent="0.25">
      <c r="A703" s="76"/>
      <c r="B703" s="76"/>
      <c r="C703" s="76"/>
      <c r="D703" s="76"/>
      <c r="E703" s="76"/>
      <c r="F703" s="76"/>
      <c r="G703" s="76"/>
      <c r="H703" t="str">
        <f t="shared" si="11"/>
        <v/>
      </c>
    </row>
    <row r="704" spans="1:8" s="77" customFormat="1" ht="23.25" customHeight="1" x14ac:dyDescent="0.25">
      <c r="A704" s="76"/>
      <c r="B704" s="76"/>
      <c r="C704" s="76"/>
      <c r="D704" s="76"/>
      <c r="E704" s="76"/>
      <c r="F704" s="76"/>
      <c r="G704" s="76"/>
      <c r="H704" t="str">
        <f t="shared" si="11"/>
        <v/>
      </c>
    </row>
    <row r="705" spans="1:8" s="77" customFormat="1" ht="23.25" customHeight="1" x14ac:dyDescent="0.25">
      <c r="A705" s="76"/>
      <c r="B705" s="76"/>
      <c r="C705" s="76"/>
      <c r="D705" s="76"/>
      <c r="E705" s="76"/>
      <c r="F705" s="76"/>
      <c r="G705" s="76"/>
      <c r="H705" t="str">
        <f t="shared" si="11"/>
        <v/>
      </c>
    </row>
    <row r="706" spans="1:8" s="77" customFormat="1" ht="23.25" customHeight="1" x14ac:dyDescent="0.25">
      <c r="A706" s="76"/>
      <c r="B706" s="76"/>
      <c r="C706" s="76"/>
      <c r="D706" s="76"/>
      <c r="E706" s="76"/>
      <c r="F706" s="76"/>
      <c r="G706" s="76"/>
      <c r="H706" t="str">
        <f t="shared" si="11"/>
        <v/>
      </c>
    </row>
    <row r="707" spans="1:8" s="77" customFormat="1" ht="23.25" customHeight="1" x14ac:dyDescent="0.25">
      <c r="A707" s="76"/>
      <c r="B707" s="76"/>
      <c r="C707" s="76"/>
      <c r="D707" s="76"/>
      <c r="E707" s="76"/>
      <c r="F707" s="76"/>
      <c r="G707" s="76"/>
      <c r="H707" t="str">
        <f t="shared" si="11"/>
        <v/>
      </c>
    </row>
    <row r="708" spans="1:8" s="77" customFormat="1" ht="23.25" customHeight="1" x14ac:dyDescent="0.25">
      <c r="A708" s="76"/>
      <c r="B708" s="76"/>
      <c r="C708" s="76"/>
      <c r="D708" s="76"/>
      <c r="E708" s="76"/>
      <c r="F708" s="76"/>
      <c r="G708" s="76"/>
      <c r="H708" t="str">
        <f t="shared" si="11"/>
        <v/>
      </c>
    </row>
    <row r="709" spans="1:8" s="77" customFormat="1" ht="23.25" customHeight="1" x14ac:dyDescent="0.25">
      <c r="A709" s="76"/>
      <c r="B709" s="76"/>
      <c r="C709" s="76"/>
      <c r="D709" s="76"/>
      <c r="E709" s="76"/>
      <c r="F709" s="76"/>
      <c r="G709" s="76"/>
      <c r="H709" t="str">
        <f t="shared" si="11"/>
        <v/>
      </c>
    </row>
    <row r="710" spans="1:8" s="77" customFormat="1" ht="23.25" customHeight="1" x14ac:dyDescent="0.25">
      <c r="A710" s="76"/>
      <c r="B710" s="76"/>
      <c r="C710" s="76"/>
      <c r="D710" s="76"/>
      <c r="E710" s="76"/>
      <c r="F710" s="76"/>
      <c r="G710" s="76"/>
      <c r="H710" t="str">
        <f t="shared" si="11"/>
        <v/>
      </c>
    </row>
    <row r="711" spans="1:8" s="77" customFormat="1" ht="23.25" customHeight="1" x14ac:dyDescent="0.25">
      <c r="A711" s="76"/>
      <c r="B711" s="76"/>
      <c r="C711" s="76"/>
      <c r="D711" s="76"/>
      <c r="E711" s="76"/>
      <c r="F711" s="76"/>
      <c r="G711" s="76"/>
      <c r="H711" t="str">
        <f t="shared" si="11"/>
        <v/>
      </c>
    </row>
    <row r="712" spans="1:8" s="77" customFormat="1" ht="23.25" customHeight="1" x14ac:dyDescent="0.25">
      <c r="A712" s="76"/>
      <c r="B712" s="76"/>
      <c r="C712" s="76"/>
      <c r="D712" s="76"/>
      <c r="E712" s="76"/>
      <c r="F712" s="76"/>
      <c r="G712" s="76"/>
      <c r="H712" t="str">
        <f t="shared" si="11"/>
        <v/>
      </c>
    </row>
    <row r="713" spans="1:8" s="77" customFormat="1" ht="23.25" customHeight="1" x14ac:dyDescent="0.25">
      <c r="A713" s="76"/>
      <c r="B713" s="76"/>
      <c r="C713" s="76"/>
      <c r="D713" s="76"/>
      <c r="E713" s="76"/>
      <c r="F713" s="76"/>
      <c r="G713" s="76"/>
      <c r="H713" t="str">
        <f t="shared" si="11"/>
        <v/>
      </c>
    </row>
    <row r="714" spans="1:8" s="77" customFormat="1" ht="23.25" customHeight="1" x14ac:dyDescent="0.25">
      <c r="A714" s="76"/>
      <c r="B714" s="76"/>
      <c r="C714" s="76"/>
      <c r="D714" s="76"/>
      <c r="E714" s="76"/>
      <c r="F714" s="76"/>
      <c r="G714" s="76"/>
      <c r="H714" t="str">
        <f t="shared" si="11"/>
        <v/>
      </c>
    </row>
    <row r="715" spans="1:8" s="77" customFormat="1" ht="23.25" customHeight="1" x14ac:dyDescent="0.25">
      <c r="A715" s="76"/>
      <c r="B715" s="76"/>
      <c r="C715" s="76"/>
      <c r="D715" s="76"/>
      <c r="E715" s="76"/>
      <c r="F715" s="76"/>
      <c r="G715" s="76"/>
      <c r="H715" t="str">
        <f t="shared" si="11"/>
        <v/>
      </c>
    </row>
    <row r="716" spans="1:8" s="77" customFormat="1" ht="23.25" customHeight="1" x14ac:dyDescent="0.25">
      <c r="A716" s="76"/>
      <c r="B716" s="76"/>
      <c r="C716" s="76"/>
      <c r="D716" s="76"/>
      <c r="E716" s="76"/>
      <c r="F716" s="76"/>
      <c r="G716" s="76"/>
      <c r="H716" t="str">
        <f t="shared" si="11"/>
        <v/>
      </c>
    </row>
    <row r="717" spans="1:8" s="77" customFormat="1" ht="23.25" customHeight="1" x14ac:dyDescent="0.25">
      <c r="A717" s="76"/>
      <c r="B717" s="76"/>
      <c r="C717" s="76"/>
      <c r="D717" s="76"/>
      <c r="E717" s="76"/>
      <c r="F717" s="76"/>
      <c r="G717" s="76"/>
      <c r="H717" t="str">
        <f t="shared" si="11"/>
        <v/>
      </c>
    </row>
    <row r="718" spans="1:8" s="77" customFormat="1" ht="23.25" customHeight="1" x14ac:dyDescent="0.25">
      <c r="A718" s="76"/>
      <c r="B718" s="76"/>
      <c r="C718" s="76"/>
      <c r="D718" s="76"/>
      <c r="E718" s="76"/>
      <c r="F718" s="76"/>
      <c r="G718" s="76"/>
      <c r="H718" t="str">
        <f t="shared" si="11"/>
        <v/>
      </c>
    </row>
    <row r="719" spans="1:8" s="77" customFormat="1" ht="23.25" customHeight="1" x14ac:dyDescent="0.25">
      <c r="A719" s="76"/>
      <c r="B719" s="76"/>
      <c r="C719" s="76"/>
      <c r="D719" s="76"/>
      <c r="E719" s="76"/>
      <c r="F719" s="76"/>
      <c r="G719" s="76"/>
      <c r="H719" t="str">
        <f t="shared" si="11"/>
        <v/>
      </c>
    </row>
    <row r="720" spans="1:8" s="77" customFormat="1" ht="23.25" customHeight="1" x14ac:dyDescent="0.25">
      <c r="A720" s="76"/>
      <c r="B720" s="76"/>
      <c r="C720" s="76"/>
      <c r="D720" s="76"/>
      <c r="E720" s="76"/>
      <c r="F720" s="76"/>
      <c r="G720" s="76"/>
      <c r="H720" t="str">
        <f t="shared" si="11"/>
        <v/>
      </c>
    </row>
    <row r="721" spans="1:8" s="77" customFormat="1" ht="23.25" customHeight="1" x14ac:dyDescent="0.25">
      <c r="A721" s="76"/>
      <c r="B721" s="76"/>
      <c r="C721" s="76"/>
      <c r="D721" s="76"/>
      <c r="E721" s="76"/>
      <c r="F721" s="76"/>
      <c r="G721" s="76"/>
      <c r="H721" t="str">
        <f t="shared" si="11"/>
        <v/>
      </c>
    </row>
    <row r="722" spans="1:8" s="77" customFormat="1" ht="23.25" customHeight="1" x14ac:dyDescent="0.25">
      <c r="A722" s="76"/>
      <c r="B722" s="76"/>
      <c r="C722" s="76"/>
      <c r="D722" s="76"/>
      <c r="E722" s="76"/>
      <c r="F722" s="76"/>
      <c r="G722" s="76"/>
      <c r="H722" t="str">
        <f t="shared" si="11"/>
        <v/>
      </c>
    </row>
    <row r="723" spans="1:8" s="77" customFormat="1" ht="23.25" customHeight="1" x14ac:dyDescent="0.25">
      <c r="A723" s="76"/>
      <c r="B723" s="76"/>
      <c r="C723" s="76"/>
      <c r="D723" s="76"/>
      <c r="E723" s="76"/>
      <c r="F723" s="76"/>
      <c r="G723" s="76"/>
      <c r="H723" t="str">
        <f t="shared" si="11"/>
        <v/>
      </c>
    </row>
    <row r="724" spans="1:8" s="77" customFormat="1" ht="23.25" customHeight="1" x14ac:dyDescent="0.25">
      <c r="A724" s="76"/>
      <c r="B724" s="76"/>
      <c r="C724" s="76"/>
      <c r="D724" s="76"/>
      <c r="E724" s="76"/>
      <c r="F724" s="76"/>
      <c r="G724" s="76"/>
      <c r="H724" t="str">
        <f t="shared" si="11"/>
        <v/>
      </c>
    </row>
    <row r="725" spans="1:8" s="77" customFormat="1" ht="23.25" customHeight="1" x14ac:dyDescent="0.25">
      <c r="A725" s="76"/>
      <c r="B725" s="76"/>
      <c r="C725" s="76"/>
      <c r="D725" s="76"/>
      <c r="E725" s="76"/>
      <c r="F725" s="76"/>
      <c r="G725" s="76"/>
      <c r="H725" t="str">
        <f t="shared" si="11"/>
        <v/>
      </c>
    </row>
    <row r="726" spans="1:8" s="77" customFormat="1" ht="23.25" customHeight="1" x14ac:dyDescent="0.25">
      <c r="A726" s="76"/>
      <c r="B726" s="76"/>
      <c r="C726" s="76"/>
      <c r="D726" s="76"/>
      <c r="E726" s="76"/>
      <c r="F726" s="76"/>
      <c r="G726" s="76"/>
      <c r="H726" t="str">
        <f t="shared" si="11"/>
        <v/>
      </c>
    </row>
    <row r="727" spans="1:8" s="77" customFormat="1" ht="23.25" customHeight="1" x14ac:dyDescent="0.25">
      <c r="A727" s="76"/>
      <c r="B727" s="76"/>
      <c r="C727" s="76"/>
      <c r="D727" s="76"/>
      <c r="E727" s="76"/>
      <c r="F727" s="76"/>
      <c r="G727" s="76"/>
      <c r="H727" t="str">
        <f t="shared" si="11"/>
        <v/>
      </c>
    </row>
    <row r="728" spans="1:8" s="77" customFormat="1" ht="23.25" customHeight="1" x14ac:dyDescent="0.25">
      <c r="A728" s="76"/>
      <c r="B728" s="76"/>
      <c r="C728" s="76"/>
      <c r="D728" s="76"/>
      <c r="E728" s="76"/>
      <c r="F728" s="76"/>
      <c r="G728" s="76"/>
      <c r="H728" t="str">
        <f t="shared" si="11"/>
        <v/>
      </c>
    </row>
    <row r="729" spans="1:8" s="77" customFormat="1" ht="23.25" customHeight="1" x14ac:dyDescent="0.25">
      <c r="A729" s="76"/>
      <c r="B729" s="76"/>
      <c r="C729" s="76"/>
      <c r="D729" s="76"/>
      <c r="E729" s="76"/>
      <c r="F729" s="76"/>
      <c r="G729" s="76"/>
      <c r="H729" t="str">
        <f t="shared" si="11"/>
        <v/>
      </c>
    </row>
    <row r="730" spans="1:8" s="77" customFormat="1" ht="23.25" customHeight="1" x14ac:dyDescent="0.25">
      <c r="A730" s="76"/>
      <c r="B730" s="76"/>
      <c r="C730" s="76"/>
      <c r="D730" s="76"/>
      <c r="E730" s="76"/>
      <c r="F730" s="76"/>
      <c r="G730" s="76"/>
      <c r="H730" t="str">
        <f t="shared" si="11"/>
        <v/>
      </c>
    </row>
    <row r="731" spans="1:8" s="77" customFormat="1" ht="23.25" customHeight="1" x14ac:dyDescent="0.25">
      <c r="A731" s="76"/>
      <c r="B731" s="76"/>
      <c r="C731" s="76"/>
      <c r="D731" s="76"/>
      <c r="E731" s="76"/>
      <c r="F731" s="76"/>
      <c r="G731" s="76"/>
      <c r="H731" t="str">
        <f t="shared" ref="H731:H794" si="12">IF(ISBLANK(A731),"",SUM(B731:G731))</f>
        <v/>
      </c>
    </row>
    <row r="732" spans="1:8" s="77" customFormat="1" ht="23.25" customHeight="1" x14ac:dyDescent="0.25">
      <c r="A732" s="76"/>
      <c r="B732" s="76"/>
      <c r="C732" s="76"/>
      <c r="D732" s="76"/>
      <c r="E732" s="76"/>
      <c r="F732" s="76"/>
      <c r="G732" s="76"/>
      <c r="H732" t="str">
        <f t="shared" si="12"/>
        <v/>
      </c>
    </row>
    <row r="733" spans="1:8" s="77" customFormat="1" ht="23.25" customHeight="1" x14ac:dyDescent="0.25">
      <c r="A733" s="76"/>
      <c r="B733" s="76"/>
      <c r="C733" s="76"/>
      <c r="D733" s="76"/>
      <c r="E733" s="76"/>
      <c r="F733" s="76"/>
      <c r="G733" s="76"/>
      <c r="H733" t="str">
        <f t="shared" si="12"/>
        <v/>
      </c>
    </row>
    <row r="734" spans="1:8" s="77" customFormat="1" ht="23.25" customHeight="1" x14ac:dyDescent="0.25">
      <c r="A734" s="76"/>
      <c r="B734" s="76"/>
      <c r="C734" s="76"/>
      <c r="D734" s="76"/>
      <c r="E734" s="76"/>
      <c r="F734" s="76"/>
      <c r="G734" s="76"/>
      <c r="H734" t="str">
        <f t="shared" si="12"/>
        <v/>
      </c>
    </row>
    <row r="735" spans="1:8" s="77" customFormat="1" ht="23.25" customHeight="1" x14ac:dyDescent="0.25">
      <c r="A735" s="76"/>
      <c r="B735" s="76"/>
      <c r="C735" s="76"/>
      <c r="D735" s="76"/>
      <c r="E735" s="76"/>
      <c r="F735" s="76"/>
      <c r="G735" s="76"/>
      <c r="H735" t="str">
        <f t="shared" si="12"/>
        <v/>
      </c>
    </row>
    <row r="736" spans="1:8" s="77" customFormat="1" ht="23.25" customHeight="1" x14ac:dyDescent="0.25">
      <c r="A736" s="76"/>
      <c r="B736" s="76"/>
      <c r="C736" s="76"/>
      <c r="D736" s="76"/>
      <c r="E736" s="76"/>
      <c r="F736" s="76"/>
      <c r="G736" s="76"/>
      <c r="H736" t="str">
        <f t="shared" si="12"/>
        <v/>
      </c>
    </row>
    <row r="737" spans="1:8" s="77" customFormat="1" ht="23.25" customHeight="1" x14ac:dyDescent="0.25">
      <c r="A737" s="76"/>
      <c r="B737" s="76"/>
      <c r="C737" s="76"/>
      <c r="D737" s="76"/>
      <c r="E737" s="76"/>
      <c r="F737" s="76"/>
      <c r="G737" s="76"/>
      <c r="H737" t="str">
        <f t="shared" si="12"/>
        <v/>
      </c>
    </row>
    <row r="738" spans="1:8" s="77" customFormat="1" ht="23.25" customHeight="1" x14ac:dyDescent="0.25">
      <c r="A738" s="76"/>
      <c r="B738" s="76"/>
      <c r="C738" s="76"/>
      <c r="D738" s="76"/>
      <c r="E738" s="76"/>
      <c r="F738" s="76"/>
      <c r="G738" s="76"/>
      <c r="H738" t="str">
        <f t="shared" si="12"/>
        <v/>
      </c>
    </row>
    <row r="739" spans="1:8" s="77" customFormat="1" ht="23.25" customHeight="1" x14ac:dyDescent="0.25">
      <c r="A739" s="76"/>
      <c r="B739" s="76"/>
      <c r="C739" s="76"/>
      <c r="D739" s="76"/>
      <c r="E739" s="76"/>
      <c r="F739" s="76"/>
      <c r="G739" s="76"/>
      <c r="H739" t="str">
        <f t="shared" si="12"/>
        <v/>
      </c>
    </row>
    <row r="740" spans="1:8" s="77" customFormat="1" ht="23.25" customHeight="1" x14ac:dyDescent="0.25">
      <c r="A740" s="76"/>
      <c r="B740" s="76"/>
      <c r="C740" s="76"/>
      <c r="D740" s="76"/>
      <c r="E740" s="76"/>
      <c r="F740" s="76"/>
      <c r="G740" s="76"/>
      <c r="H740" t="str">
        <f t="shared" si="12"/>
        <v/>
      </c>
    </row>
    <row r="741" spans="1:8" s="77" customFormat="1" ht="23.25" customHeight="1" x14ac:dyDescent="0.25">
      <c r="A741" s="76"/>
      <c r="B741" s="76"/>
      <c r="C741" s="76"/>
      <c r="D741" s="76"/>
      <c r="E741" s="76"/>
      <c r="F741" s="76"/>
      <c r="G741" s="76"/>
      <c r="H741" t="str">
        <f t="shared" si="12"/>
        <v/>
      </c>
    </row>
    <row r="742" spans="1:8" s="77" customFormat="1" ht="23.25" customHeight="1" x14ac:dyDescent="0.25">
      <c r="A742" s="76"/>
      <c r="B742" s="76"/>
      <c r="C742" s="76"/>
      <c r="D742" s="76"/>
      <c r="E742" s="76"/>
      <c r="F742" s="76"/>
      <c r="G742" s="76"/>
      <c r="H742" t="str">
        <f t="shared" si="12"/>
        <v/>
      </c>
    </row>
    <row r="743" spans="1:8" s="77" customFormat="1" ht="23.25" customHeight="1" x14ac:dyDescent="0.25">
      <c r="A743" s="76"/>
      <c r="B743" s="76"/>
      <c r="C743" s="76"/>
      <c r="D743" s="76"/>
      <c r="E743" s="76"/>
      <c r="F743" s="76"/>
      <c r="G743" s="76"/>
      <c r="H743" t="str">
        <f t="shared" si="12"/>
        <v/>
      </c>
    </row>
    <row r="744" spans="1:8" s="77" customFormat="1" ht="23.25" customHeight="1" x14ac:dyDescent="0.25">
      <c r="A744" s="76"/>
      <c r="B744" s="76"/>
      <c r="C744" s="76"/>
      <c r="D744" s="76"/>
      <c r="E744" s="76"/>
      <c r="F744" s="76"/>
      <c r="G744" s="76"/>
      <c r="H744" t="str">
        <f t="shared" si="12"/>
        <v/>
      </c>
    </row>
    <row r="745" spans="1:8" s="77" customFormat="1" ht="23.25" customHeight="1" x14ac:dyDescent="0.25">
      <c r="A745" s="76"/>
      <c r="B745" s="76"/>
      <c r="C745" s="76"/>
      <c r="D745" s="76"/>
      <c r="E745" s="76"/>
      <c r="F745" s="76"/>
      <c r="G745" s="76"/>
      <c r="H745" t="str">
        <f t="shared" si="12"/>
        <v/>
      </c>
    </row>
    <row r="746" spans="1:8" s="77" customFormat="1" ht="23.25" customHeight="1" x14ac:dyDescent="0.25">
      <c r="A746" s="76"/>
      <c r="B746" s="76"/>
      <c r="C746" s="76"/>
      <c r="D746" s="76"/>
      <c r="E746" s="76"/>
      <c r="F746" s="76"/>
      <c r="G746" s="76"/>
      <c r="H746" t="str">
        <f t="shared" si="12"/>
        <v/>
      </c>
    </row>
    <row r="747" spans="1:8" s="77" customFormat="1" ht="23.25" customHeight="1" x14ac:dyDescent="0.25">
      <c r="A747" s="76"/>
      <c r="B747" s="76"/>
      <c r="C747" s="76"/>
      <c r="D747" s="76"/>
      <c r="E747" s="76"/>
      <c r="F747" s="76"/>
      <c r="G747" s="76"/>
      <c r="H747" t="str">
        <f t="shared" si="12"/>
        <v/>
      </c>
    </row>
    <row r="748" spans="1:8" s="77" customFormat="1" ht="23.25" customHeight="1" x14ac:dyDescent="0.25">
      <c r="A748" s="76"/>
      <c r="B748" s="76"/>
      <c r="C748" s="76"/>
      <c r="D748" s="76"/>
      <c r="E748" s="76"/>
      <c r="F748" s="76"/>
      <c r="G748" s="76"/>
      <c r="H748" t="str">
        <f t="shared" si="12"/>
        <v/>
      </c>
    </row>
    <row r="749" spans="1:8" s="77" customFormat="1" ht="23.25" customHeight="1" x14ac:dyDescent="0.25">
      <c r="A749" s="76"/>
      <c r="B749" s="76"/>
      <c r="C749" s="76"/>
      <c r="D749" s="76"/>
      <c r="E749" s="76"/>
      <c r="F749" s="76"/>
      <c r="G749" s="76"/>
      <c r="H749" t="str">
        <f t="shared" si="12"/>
        <v/>
      </c>
    </row>
    <row r="750" spans="1:8" s="77" customFormat="1" ht="23.25" customHeight="1" x14ac:dyDescent="0.25">
      <c r="A750" s="76"/>
      <c r="B750" s="76"/>
      <c r="C750" s="76"/>
      <c r="D750" s="76"/>
      <c r="E750" s="76"/>
      <c r="F750" s="76"/>
      <c r="G750" s="76"/>
      <c r="H750" t="str">
        <f t="shared" si="12"/>
        <v/>
      </c>
    </row>
    <row r="751" spans="1:8" s="77" customFormat="1" ht="23.25" customHeight="1" x14ac:dyDescent="0.25">
      <c r="A751" s="76"/>
      <c r="B751" s="76"/>
      <c r="C751" s="76"/>
      <c r="D751" s="76"/>
      <c r="E751" s="76"/>
      <c r="F751" s="76"/>
      <c r="G751" s="76"/>
      <c r="H751" t="str">
        <f t="shared" si="12"/>
        <v/>
      </c>
    </row>
    <row r="752" spans="1:8" s="77" customFormat="1" ht="23.25" customHeight="1" x14ac:dyDescent="0.25">
      <c r="A752" s="76"/>
      <c r="B752" s="76"/>
      <c r="C752" s="76"/>
      <c r="D752" s="76"/>
      <c r="E752" s="76"/>
      <c r="F752" s="76"/>
      <c r="G752" s="76"/>
      <c r="H752" t="str">
        <f t="shared" si="12"/>
        <v/>
      </c>
    </row>
    <row r="753" spans="1:8" s="77" customFormat="1" ht="23.25" customHeight="1" x14ac:dyDescent="0.25">
      <c r="A753" s="76"/>
      <c r="B753" s="76"/>
      <c r="C753" s="76"/>
      <c r="D753" s="76"/>
      <c r="E753" s="76"/>
      <c r="F753" s="76"/>
      <c r="G753" s="76"/>
      <c r="H753" t="str">
        <f t="shared" si="12"/>
        <v/>
      </c>
    </row>
    <row r="754" spans="1:8" s="77" customFormat="1" ht="23.25" customHeight="1" x14ac:dyDescent="0.25">
      <c r="A754" s="76"/>
      <c r="B754" s="76"/>
      <c r="C754" s="76"/>
      <c r="D754" s="76"/>
      <c r="E754" s="76"/>
      <c r="F754" s="76"/>
      <c r="G754" s="76"/>
      <c r="H754" t="str">
        <f t="shared" si="12"/>
        <v/>
      </c>
    </row>
    <row r="755" spans="1:8" s="77" customFormat="1" ht="23.25" customHeight="1" x14ac:dyDescent="0.25">
      <c r="A755" s="76"/>
      <c r="B755" s="76"/>
      <c r="C755" s="76"/>
      <c r="D755" s="76"/>
      <c r="E755" s="76"/>
      <c r="F755" s="76"/>
      <c r="G755" s="76"/>
      <c r="H755" t="str">
        <f t="shared" si="12"/>
        <v/>
      </c>
    </row>
    <row r="756" spans="1:8" s="77" customFormat="1" ht="23.25" customHeight="1" x14ac:dyDescent="0.25">
      <c r="A756" s="76"/>
      <c r="B756" s="76"/>
      <c r="C756" s="76"/>
      <c r="D756" s="76"/>
      <c r="E756" s="76"/>
      <c r="F756" s="76"/>
      <c r="G756" s="76"/>
      <c r="H756" t="str">
        <f t="shared" si="12"/>
        <v/>
      </c>
    </row>
    <row r="757" spans="1:8" s="77" customFormat="1" ht="23.25" customHeight="1" x14ac:dyDescent="0.25">
      <c r="A757" s="76"/>
      <c r="B757" s="76"/>
      <c r="C757" s="76"/>
      <c r="D757" s="76"/>
      <c r="E757" s="76"/>
      <c r="F757" s="76"/>
      <c r="G757" s="76"/>
      <c r="H757" t="str">
        <f t="shared" si="12"/>
        <v/>
      </c>
    </row>
    <row r="758" spans="1:8" s="77" customFormat="1" ht="23.25" customHeight="1" x14ac:dyDescent="0.25">
      <c r="A758" s="76"/>
      <c r="B758" s="76"/>
      <c r="C758" s="76"/>
      <c r="D758" s="76"/>
      <c r="E758" s="76"/>
      <c r="F758" s="76"/>
      <c r="G758" s="76"/>
      <c r="H758" t="str">
        <f t="shared" si="12"/>
        <v/>
      </c>
    </row>
    <row r="759" spans="1:8" s="77" customFormat="1" ht="23.25" customHeight="1" x14ac:dyDescent="0.25">
      <c r="A759" s="76"/>
      <c r="B759" s="76"/>
      <c r="C759" s="76"/>
      <c r="D759" s="76"/>
      <c r="E759" s="76"/>
      <c r="F759" s="76"/>
      <c r="G759" s="76"/>
      <c r="H759" t="str">
        <f t="shared" si="12"/>
        <v/>
      </c>
    </row>
    <row r="760" spans="1:8" s="77" customFormat="1" ht="23.25" customHeight="1" x14ac:dyDescent="0.25">
      <c r="A760" s="76"/>
      <c r="B760" s="76"/>
      <c r="C760" s="76"/>
      <c r="D760" s="76"/>
      <c r="E760" s="76"/>
      <c r="F760" s="76"/>
      <c r="G760" s="76"/>
      <c r="H760" t="str">
        <f t="shared" si="12"/>
        <v/>
      </c>
    </row>
    <row r="761" spans="1:8" s="77" customFormat="1" ht="23.25" customHeight="1" x14ac:dyDescent="0.25">
      <c r="A761" s="76"/>
      <c r="B761" s="76"/>
      <c r="C761" s="76"/>
      <c r="D761" s="76"/>
      <c r="E761" s="76"/>
      <c r="F761" s="76"/>
      <c r="G761" s="76"/>
      <c r="H761" t="str">
        <f t="shared" si="12"/>
        <v/>
      </c>
    </row>
    <row r="762" spans="1:8" s="77" customFormat="1" ht="23.25" customHeight="1" x14ac:dyDescent="0.25">
      <c r="A762" s="76"/>
      <c r="B762" s="76"/>
      <c r="C762" s="76"/>
      <c r="D762" s="76"/>
      <c r="E762" s="76"/>
      <c r="F762" s="76"/>
      <c r="G762" s="76"/>
      <c r="H762" t="str">
        <f t="shared" si="12"/>
        <v/>
      </c>
    </row>
    <row r="763" spans="1:8" s="77" customFormat="1" ht="23.25" customHeight="1" x14ac:dyDescent="0.25">
      <c r="A763" s="76"/>
      <c r="B763" s="76"/>
      <c r="C763" s="76"/>
      <c r="D763" s="76"/>
      <c r="E763" s="76"/>
      <c r="F763" s="76"/>
      <c r="G763" s="76"/>
      <c r="H763" t="str">
        <f t="shared" si="12"/>
        <v/>
      </c>
    </row>
    <row r="764" spans="1:8" s="77" customFormat="1" ht="23.25" customHeight="1" x14ac:dyDescent="0.25">
      <c r="A764" s="76"/>
      <c r="B764" s="76"/>
      <c r="C764" s="76"/>
      <c r="D764" s="76"/>
      <c r="E764" s="76"/>
      <c r="F764" s="76"/>
      <c r="G764" s="76"/>
      <c r="H764" t="str">
        <f t="shared" si="12"/>
        <v/>
      </c>
    </row>
    <row r="765" spans="1:8" s="77" customFormat="1" ht="23.25" customHeight="1" x14ac:dyDescent="0.25">
      <c r="A765" s="76"/>
      <c r="B765" s="76"/>
      <c r="C765" s="76"/>
      <c r="D765" s="76"/>
      <c r="E765" s="76"/>
      <c r="F765" s="76"/>
      <c r="G765" s="76"/>
      <c r="H765" t="str">
        <f t="shared" si="12"/>
        <v/>
      </c>
    </row>
    <row r="766" spans="1:8" s="77" customFormat="1" ht="23.25" customHeight="1" x14ac:dyDescent="0.25">
      <c r="A766" s="76"/>
      <c r="B766" s="76"/>
      <c r="C766" s="76"/>
      <c r="D766" s="76"/>
      <c r="E766" s="76"/>
      <c r="F766" s="76"/>
      <c r="G766" s="76"/>
      <c r="H766" t="str">
        <f t="shared" si="12"/>
        <v/>
      </c>
    </row>
    <row r="767" spans="1:8" s="77" customFormat="1" ht="23.25" customHeight="1" x14ac:dyDescent="0.25">
      <c r="A767" s="76"/>
      <c r="B767" s="76"/>
      <c r="C767" s="76"/>
      <c r="D767" s="76"/>
      <c r="E767" s="76"/>
      <c r="F767" s="76"/>
      <c r="G767" s="76"/>
      <c r="H767" t="str">
        <f t="shared" si="12"/>
        <v/>
      </c>
    </row>
    <row r="768" spans="1:8" s="77" customFormat="1" ht="23.25" customHeight="1" x14ac:dyDescent="0.25">
      <c r="A768" s="76"/>
      <c r="B768" s="76"/>
      <c r="C768" s="76"/>
      <c r="D768" s="76"/>
      <c r="E768" s="76"/>
      <c r="F768" s="76"/>
      <c r="G768" s="76"/>
      <c r="H768" t="str">
        <f t="shared" si="12"/>
        <v/>
      </c>
    </row>
    <row r="769" spans="1:8" s="77" customFormat="1" ht="23.25" customHeight="1" x14ac:dyDescent="0.25">
      <c r="A769" s="76"/>
      <c r="B769" s="76"/>
      <c r="C769" s="76"/>
      <c r="D769" s="76"/>
      <c r="E769" s="76"/>
      <c r="F769" s="76"/>
      <c r="G769" s="76"/>
      <c r="H769" t="str">
        <f t="shared" si="12"/>
        <v/>
      </c>
    </row>
    <row r="770" spans="1:8" s="77" customFormat="1" ht="23.25" customHeight="1" x14ac:dyDescent="0.25">
      <c r="A770" s="76"/>
      <c r="B770" s="76"/>
      <c r="C770" s="76"/>
      <c r="D770" s="76"/>
      <c r="E770" s="76"/>
      <c r="F770" s="76"/>
      <c r="G770" s="76"/>
      <c r="H770" t="str">
        <f t="shared" si="12"/>
        <v/>
      </c>
    </row>
    <row r="771" spans="1:8" s="77" customFormat="1" ht="23.25" customHeight="1" x14ac:dyDescent="0.25">
      <c r="A771" s="76"/>
      <c r="B771" s="76"/>
      <c r="C771" s="76"/>
      <c r="D771" s="76"/>
      <c r="E771" s="76"/>
      <c r="F771" s="76"/>
      <c r="G771" s="76"/>
      <c r="H771" t="str">
        <f t="shared" si="12"/>
        <v/>
      </c>
    </row>
    <row r="772" spans="1:8" s="77" customFormat="1" ht="23.25" customHeight="1" x14ac:dyDescent="0.25">
      <c r="A772" s="76"/>
      <c r="B772" s="76"/>
      <c r="C772" s="76"/>
      <c r="D772" s="76"/>
      <c r="E772" s="76"/>
      <c r="F772" s="76"/>
      <c r="G772" s="76"/>
      <c r="H772" t="str">
        <f t="shared" si="12"/>
        <v/>
      </c>
    </row>
    <row r="773" spans="1:8" s="77" customFormat="1" ht="23.25" customHeight="1" x14ac:dyDescent="0.25">
      <c r="A773" s="76"/>
      <c r="B773" s="76"/>
      <c r="C773" s="76"/>
      <c r="D773" s="76"/>
      <c r="E773" s="76"/>
      <c r="F773" s="76"/>
      <c r="G773" s="76"/>
      <c r="H773" t="str">
        <f t="shared" si="12"/>
        <v/>
      </c>
    </row>
    <row r="774" spans="1:8" s="77" customFormat="1" ht="23.25" customHeight="1" x14ac:dyDescent="0.25">
      <c r="A774" s="76"/>
      <c r="B774" s="76"/>
      <c r="C774" s="76"/>
      <c r="D774" s="76"/>
      <c r="E774" s="76"/>
      <c r="F774" s="76"/>
      <c r="G774" s="76"/>
      <c r="H774" t="str">
        <f t="shared" si="12"/>
        <v/>
      </c>
    </row>
    <row r="775" spans="1:8" s="77" customFormat="1" ht="23.25" customHeight="1" x14ac:dyDescent="0.25">
      <c r="A775" s="76"/>
      <c r="B775" s="76"/>
      <c r="C775" s="76"/>
      <c r="D775" s="76"/>
      <c r="E775" s="76"/>
      <c r="F775" s="76"/>
      <c r="G775" s="76"/>
      <c r="H775" t="str">
        <f t="shared" si="12"/>
        <v/>
      </c>
    </row>
    <row r="776" spans="1:8" s="77" customFormat="1" ht="23.25" customHeight="1" x14ac:dyDescent="0.25">
      <c r="A776" s="76"/>
      <c r="B776" s="76"/>
      <c r="C776" s="76"/>
      <c r="D776" s="76"/>
      <c r="E776" s="76"/>
      <c r="F776" s="76"/>
      <c r="G776" s="76"/>
      <c r="H776" t="str">
        <f t="shared" si="12"/>
        <v/>
      </c>
    </row>
    <row r="777" spans="1:8" s="77" customFormat="1" ht="23.25" customHeight="1" x14ac:dyDescent="0.25">
      <c r="A777" s="76"/>
      <c r="B777" s="76"/>
      <c r="C777" s="76"/>
      <c r="D777" s="76"/>
      <c r="E777" s="76"/>
      <c r="F777" s="76"/>
      <c r="G777" s="76"/>
      <c r="H777" t="str">
        <f t="shared" si="12"/>
        <v/>
      </c>
    </row>
    <row r="778" spans="1:8" s="77" customFormat="1" ht="23.25" customHeight="1" x14ac:dyDescent="0.25">
      <c r="A778" s="76"/>
      <c r="B778" s="76"/>
      <c r="C778" s="76"/>
      <c r="D778" s="76"/>
      <c r="E778" s="76"/>
      <c r="F778" s="76"/>
      <c r="G778" s="76"/>
      <c r="H778" t="str">
        <f t="shared" si="12"/>
        <v/>
      </c>
    </row>
    <row r="779" spans="1:8" s="77" customFormat="1" ht="23.25" customHeight="1" x14ac:dyDescent="0.25">
      <c r="A779" s="76"/>
      <c r="B779" s="76"/>
      <c r="C779" s="76"/>
      <c r="D779" s="76"/>
      <c r="E779" s="76"/>
      <c r="F779" s="76"/>
      <c r="G779" s="76"/>
      <c r="H779" t="str">
        <f t="shared" si="12"/>
        <v/>
      </c>
    </row>
    <row r="780" spans="1:8" s="77" customFormat="1" ht="23.25" customHeight="1" x14ac:dyDescent="0.25">
      <c r="A780" s="76"/>
      <c r="B780" s="76"/>
      <c r="C780" s="76"/>
      <c r="D780" s="76"/>
      <c r="E780" s="76"/>
      <c r="F780" s="76"/>
      <c r="G780" s="76"/>
      <c r="H780" t="str">
        <f t="shared" si="12"/>
        <v/>
      </c>
    </row>
    <row r="781" spans="1:8" s="77" customFormat="1" ht="23.25" customHeight="1" x14ac:dyDescent="0.25">
      <c r="A781" s="76"/>
      <c r="B781" s="76"/>
      <c r="C781" s="76"/>
      <c r="D781" s="76"/>
      <c r="E781" s="76"/>
      <c r="F781" s="76"/>
      <c r="G781" s="76"/>
      <c r="H781" t="str">
        <f t="shared" si="12"/>
        <v/>
      </c>
    </row>
    <row r="782" spans="1:8" s="77" customFormat="1" ht="23.25" customHeight="1" x14ac:dyDescent="0.25">
      <c r="A782" s="76"/>
      <c r="B782" s="76"/>
      <c r="C782" s="76"/>
      <c r="D782" s="76"/>
      <c r="E782" s="76"/>
      <c r="F782" s="76"/>
      <c r="G782" s="76"/>
      <c r="H782" t="str">
        <f t="shared" si="12"/>
        <v/>
      </c>
    </row>
    <row r="783" spans="1:8" s="77" customFormat="1" ht="23.25" customHeight="1" x14ac:dyDescent="0.25">
      <c r="A783" s="76"/>
      <c r="B783" s="76"/>
      <c r="C783" s="76"/>
      <c r="D783" s="76"/>
      <c r="E783" s="76"/>
      <c r="F783" s="76"/>
      <c r="G783" s="76"/>
      <c r="H783" t="str">
        <f t="shared" si="12"/>
        <v/>
      </c>
    </row>
    <row r="784" spans="1:8" s="77" customFormat="1" ht="23.25" customHeight="1" x14ac:dyDescent="0.25">
      <c r="A784" s="76"/>
      <c r="B784" s="76"/>
      <c r="C784" s="76"/>
      <c r="D784" s="76"/>
      <c r="E784" s="76"/>
      <c r="F784" s="76"/>
      <c r="G784" s="76"/>
      <c r="H784" t="str">
        <f t="shared" si="12"/>
        <v/>
      </c>
    </row>
    <row r="785" spans="1:8" s="77" customFormat="1" ht="23.25" customHeight="1" x14ac:dyDescent="0.25">
      <c r="A785" s="76"/>
      <c r="B785" s="76"/>
      <c r="C785" s="76"/>
      <c r="D785" s="76"/>
      <c r="E785" s="76"/>
      <c r="F785" s="76"/>
      <c r="G785" s="76"/>
      <c r="H785" t="str">
        <f t="shared" si="12"/>
        <v/>
      </c>
    </row>
    <row r="786" spans="1:8" s="77" customFormat="1" ht="23.25" customHeight="1" x14ac:dyDescent="0.25">
      <c r="A786" s="76"/>
      <c r="B786" s="76"/>
      <c r="C786" s="76"/>
      <c r="D786" s="76"/>
      <c r="E786" s="76"/>
      <c r="F786" s="76"/>
      <c r="G786" s="76"/>
      <c r="H786" t="str">
        <f t="shared" si="12"/>
        <v/>
      </c>
    </row>
    <row r="787" spans="1:8" s="77" customFormat="1" ht="23.25" customHeight="1" x14ac:dyDescent="0.25">
      <c r="A787" s="76"/>
      <c r="B787" s="76"/>
      <c r="C787" s="76"/>
      <c r="D787" s="76"/>
      <c r="E787" s="76"/>
      <c r="F787" s="76"/>
      <c r="G787" s="76"/>
      <c r="H787" t="str">
        <f t="shared" si="12"/>
        <v/>
      </c>
    </row>
    <row r="788" spans="1:8" s="77" customFormat="1" ht="23.25" customHeight="1" x14ac:dyDescent="0.25">
      <c r="A788" s="76"/>
      <c r="B788" s="76"/>
      <c r="C788" s="76"/>
      <c r="D788" s="76"/>
      <c r="E788" s="76"/>
      <c r="F788" s="76"/>
      <c r="G788" s="76"/>
      <c r="H788" t="str">
        <f t="shared" si="12"/>
        <v/>
      </c>
    </row>
    <row r="789" spans="1:8" s="77" customFormat="1" ht="23.25" customHeight="1" x14ac:dyDescent="0.25">
      <c r="A789" s="76"/>
      <c r="B789" s="76"/>
      <c r="C789" s="76"/>
      <c r="D789" s="76"/>
      <c r="E789" s="76"/>
      <c r="F789" s="76"/>
      <c r="G789" s="76"/>
      <c r="H789" t="str">
        <f t="shared" si="12"/>
        <v/>
      </c>
    </row>
    <row r="790" spans="1:8" s="77" customFormat="1" ht="23.25" customHeight="1" x14ac:dyDescent="0.25">
      <c r="A790" s="76"/>
      <c r="B790" s="76"/>
      <c r="C790" s="76"/>
      <c r="D790" s="76"/>
      <c r="E790" s="76"/>
      <c r="F790" s="76"/>
      <c r="G790" s="76"/>
      <c r="H790" t="str">
        <f t="shared" si="12"/>
        <v/>
      </c>
    </row>
    <row r="791" spans="1:8" s="77" customFormat="1" ht="23.25" customHeight="1" x14ac:dyDescent="0.25">
      <c r="A791" s="76"/>
      <c r="B791" s="76"/>
      <c r="C791" s="76"/>
      <c r="D791" s="76"/>
      <c r="E791" s="76"/>
      <c r="F791" s="76"/>
      <c r="G791" s="76"/>
      <c r="H791" t="str">
        <f t="shared" si="12"/>
        <v/>
      </c>
    </row>
    <row r="792" spans="1:8" s="77" customFormat="1" ht="23.25" customHeight="1" x14ac:dyDescent="0.25">
      <c r="A792" s="76"/>
      <c r="B792" s="76"/>
      <c r="C792" s="76"/>
      <c r="D792" s="76"/>
      <c r="E792" s="76"/>
      <c r="F792" s="76"/>
      <c r="G792" s="76"/>
      <c r="H792" t="str">
        <f t="shared" si="12"/>
        <v/>
      </c>
    </row>
    <row r="793" spans="1:8" s="77" customFormat="1" ht="23.25" customHeight="1" x14ac:dyDescent="0.25">
      <c r="A793" s="76"/>
      <c r="B793" s="76"/>
      <c r="C793" s="76"/>
      <c r="D793" s="76"/>
      <c r="E793" s="76"/>
      <c r="F793" s="76"/>
      <c r="G793" s="76"/>
      <c r="H793" t="str">
        <f t="shared" si="12"/>
        <v/>
      </c>
    </row>
    <row r="794" spans="1:8" s="77" customFormat="1" ht="23.25" customHeight="1" x14ac:dyDescent="0.25">
      <c r="A794" s="76"/>
      <c r="B794" s="76"/>
      <c r="C794" s="76"/>
      <c r="D794" s="76"/>
      <c r="E794" s="76"/>
      <c r="F794" s="76"/>
      <c r="G794" s="76"/>
      <c r="H794" t="str">
        <f t="shared" si="12"/>
        <v/>
      </c>
    </row>
    <row r="795" spans="1:8" s="77" customFormat="1" ht="23.25" customHeight="1" x14ac:dyDescent="0.25">
      <c r="A795" s="76"/>
      <c r="B795" s="76"/>
      <c r="C795" s="76"/>
      <c r="D795" s="76"/>
      <c r="E795" s="76"/>
      <c r="F795" s="76"/>
      <c r="G795" s="76"/>
      <c r="H795" t="str">
        <f t="shared" ref="H795:H800" si="13">IF(ISBLANK(A795),"",SUM(B795:G795))</f>
        <v/>
      </c>
    </row>
    <row r="796" spans="1:8" s="77" customFormat="1" ht="23.25" customHeight="1" x14ac:dyDescent="0.25">
      <c r="A796" s="76"/>
      <c r="B796" s="76"/>
      <c r="C796" s="76"/>
      <c r="D796" s="76"/>
      <c r="E796" s="76"/>
      <c r="F796" s="76"/>
      <c r="G796" s="76"/>
      <c r="H796" t="str">
        <f t="shared" si="13"/>
        <v/>
      </c>
    </row>
    <row r="797" spans="1:8" s="77" customFormat="1" ht="23.25" customHeight="1" x14ac:dyDescent="0.25">
      <c r="A797" s="76"/>
      <c r="B797" s="76"/>
      <c r="C797" s="76"/>
      <c r="D797" s="76"/>
      <c r="E797" s="76"/>
      <c r="F797" s="76"/>
      <c r="G797" s="76"/>
      <c r="H797" t="str">
        <f t="shared" si="13"/>
        <v/>
      </c>
    </row>
    <row r="798" spans="1:8" s="77" customFormat="1" ht="23.25" customHeight="1" x14ac:dyDescent="0.25">
      <c r="A798" s="76"/>
      <c r="B798" s="76"/>
      <c r="C798" s="76"/>
      <c r="D798" s="76"/>
      <c r="E798" s="76"/>
      <c r="F798" s="76"/>
      <c r="G798" s="76"/>
      <c r="H798" t="str">
        <f t="shared" si="13"/>
        <v/>
      </c>
    </row>
    <row r="799" spans="1:8" s="77" customFormat="1" ht="23.25" customHeight="1" x14ac:dyDescent="0.25">
      <c r="A799" s="76"/>
      <c r="B799" s="76"/>
      <c r="C799" s="76"/>
      <c r="D799" s="76"/>
      <c r="E799" s="76"/>
      <c r="F799" s="76"/>
      <c r="G799" s="76"/>
      <c r="H799" t="str">
        <f t="shared" si="13"/>
        <v/>
      </c>
    </row>
    <row r="800" spans="1:8" s="77" customFormat="1" ht="23.25" customHeight="1" x14ac:dyDescent="0.25">
      <c r="A800" s="76"/>
      <c r="B800" s="76"/>
      <c r="C800" s="76"/>
      <c r="D800" s="76"/>
      <c r="E800" s="76"/>
      <c r="F800" s="76"/>
      <c r="G800" s="76"/>
      <c r="H800" t="str">
        <f t="shared" si="13"/>
        <v/>
      </c>
    </row>
    <row r="801" spans="1:8" s="77" customFormat="1" ht="23.25" hidden="1" customHeight="1" x14ac:dyDescent="0.25">
      <c r="A801" s="76"/>
      <c r="B801" s="76"/>
      <c r="C801" s="76"/>
      <c r="D801" s="76"/>
      <c r="E801" s="76"/>
      <c r="F801" s="76"/>
      <c r="G801" s="76"/>
      <c r="H801"/>
    </row>
    <row r="802" spans="1:8" s="77" customFormat="1" ht="23.25" hidden="1" customHeight="1" x14ac:dyDescent="0.25">
      <c r="A802" s="76"/>
      <c r="B802" s="76"/>
      <c r="C802" s="76"/>
      <c r="D802" s="76"/>
      <c r="E802" s="76"/>
      <c r="F802" s="76"/>
      <c r="G802" s="76"/>
      <c r="H802"/>
    </row>
    <row r="803" spans="1:8" s="77" customFormat="1" ht="23.25" hidden="1" customHeight="1" x14ac:dyDescent="0.25">
      <c r="A803" s="76"/>
      <c r="B803" s="76"/>
      <c r="C803" s="76"/>
      <c r="D803" s="76"/>
      <c r="E803" s="76"/>
      <c r="F803" s="76"/>
      <c r="G803" s="76"/>
      <c r="H803"/>
    </row>
    <row r="804" spans="1:8" s="77" customFormat="1" ht="23.25" hidden="1" customHeight="1" x14ac:dyDescent="0.25">
      <c r="A804" s="76"/>
      <c r="B804" s="76"/>
      <c r="C804" s="76"/>
      <c r="D804" s="76"/>
      <c r="E804" s="76"/>
      <c r="F804" s="76"/>
      <c r="G804" s="76"/>
      <c r="H804"/>
    </row>
    <row r="805" spans="1:8" s="77" customFormat="1" ht="23.25" hidden="1" customHeight="1" x14ac:dyDescent="0.25">
      <c r="A805" s="76"/>
      <c r="B805" s="76"/>
      <c r="C805" s="76"/>
      <c r="D805" s="76"/>
      <c r="E805" s="76"/>
      <c r="F805" s="76"/>
      <c r="G805" s="76"/>
      <c r="H805"/>
    </row>
    <row r="806" spans="1:8" s="77" customFormat="1" ht="23.25" hidden="1" customHeight="1" x14ac:dyDescent="0.25">
      <c r="A806" s="76"/>
      <c r="B806" s="76"/>
      <c r="C806" s="76"/>
      <c r="D806" s="76"/>
      <c r="E806" s="76"/>
      <c r="F806" s="76"/>
      <c r="G806" s="76"/>
      <c r="H806"/>
    </row>
    <row r="807" spans="1:8" s="77" customFormat="1" ht="23.25" hidden="1" customHeight="1" x14ac:dyDescent="0.25">
      <c r="A807" s="76"/>
      <c r="B807" s="76"/>
      <c r="C807" s="76"/>
      <c r="D807" s="76"/>
      <c r="E807" s="76"/>
      <c r="F807" s="76"/>
      <c r="G807" s="76"/>
      <c r="H807"/>
    </row>
    <row r="808" spans="1:8" s="77" customFormat="1" ht="23.25" hidden="1" customHeight="1" x14ac:dyDescent="0.25">
      <c r="A808" s="76"/>
      <c r="B808" s="76"/>
      <c r="C808" s="76"/>
      <c r="D808" s="76"/>
      <c r="E808" s="76"/>
      <c r="F808" s="76"/>
      <c r="G808" s="76"/>
      <c r="H808"/>
    </row>
    <row r="809" spans="1:8" s="77" customFormat="1" ht="23.25" hidden="1" customHeight="1" x14ac:dyDescent="0.25">
      <c r="A809" s="76"/>
      <c r="B809" s="76"/>
      <c r="C809" s="76"/>
      <c r="D809" s="76"/>
      <c r="E809" s="76"/>
      <c r="F809" s="76"/>
      <c r="G809" s="76"/>
      <c r="H809"/>
    </row>
    <row r="810" spans="1:8" s="77" customFormat="1" ht="23.25" hidden="1" customHeight="1" x14ac:dyDescent="0.25">
      <c r="A810" s="76"/>
      <c r="B810" s="76"/>
      <c r="C810" s="76"/>
      <c r="D810" s="76"/>
      <c r="E810" s="76"/>
      <c r="F810" s="76"/>
      <c r="G810" s="76"/>
      <c r="H810"/>
    </row>
    <row r="811" spans="1:8" s="77" customFormat="1" ht="23.25" hidden="1" customHeight="1" x14ac:dyDescent="0.25">
      <c r="A811" s="76"/>
      <c r="B811" s="76"/>
      <c r="C811" s="76"/>
      <c r="D811" s="76"/>
      <c r="E811" s="76"/>
      <c r="F811" s="76"/>
      <c r="G811" s="76"/>
      <c r="H811"/>
    </row>
    <row r="812" spans="1:8" s="77" customFormat="1" ht="23.25" hidden="1" customHeight="1" x14ac:dyDescent="0.25">
      <c r="A812" s="76"/>
      <c r="B812" s="76"/>
      <c r="C812" s="76"/>
      <c r="D812" s="76"/>
      <c r="E812" s="76"/>
      <c r="F812" s="76"/>
      <c r="G812" s="76"/>
      <c r="H812"/>
    </row>
    <row r="813" spans="1:8" s="77" customFormat="1" ht="23.25" hidden="1" customHeight="1" x14ac:dyDescent="0.25">
      <c r="A813" s="76"/>
      <c r="B813" s="76"/>
      <c r="C813" s="76"/>
      <c r="D813" s="76"/>
      <c r="E813" s="76"/>
      <c r="F813" s="76"/>
      <c r="G813" s="76"/>
      <c r="H813"/>
    </row>
    <row r="814" spans="1:8" s="77" customFormat="1" ht="23.25" hidden="1" customHeight="1" x14ac:dyDescent="0.25">
      <c r="A814" s="76"/>
      <c r="B814" s="76"/>
      <c r="C814" s="76"/>
      <c r="D814" s="76"/>
      <c r="E814" s="76"/>
      <c r="F814" s="76"/>
      <c r="G814" s="76"/>
      <c r="H814"/>
    </row>
    <row r="815" spans="1:8" s="77" customFormat="1" ht="23.25" hidden="1" customHeight="1" x14ac:dyDescent="0.25">
      <c r="A815" s="76"/>
      <c r="B815" s="76"/>
      <c r="C815" s="76"/>
      <c r="D815" s="76"/>
      <c r="E815" s="76"/>
      <c r="F815" s="76"/>
      <c r="G815" s="76"/>
      <c r="H815"/>
    </row>
    <row r="816" spans="1:8" s="77" customFormat="1" ht="23.25" hidden="1" customHeight="1" x14ac:dyDescent="0.25">
      <c r="A816" s="76"/>
      <c r="B816" s="76"/>
      <c r="C816" s="76"/>
      <c r="D816" s="76"/>
      <c r="E816" s="76"/>
      <c r="F816" s="76"/>
      <c r="G816" s="76"/>
      <c r="H816"/>
    </row>
    <row r="817" spans="1:8" s="77" customFormat="1" ht="23.25" hidden="1" customHeight="1" x14ac:dyDescent="0.25">
      <c r="A817" s="76"/>
      <c r="B817" s="76"/>
      <c r="C817" s="76"/>
      <c r="D817" s="76"/>
      <c r="E817" s="76"/>
      <c r="F817" s="76"/>
      <c r="G817" s="76"/>
      <c r="H817"/>
    </row>
    <row r="818" spans="1:8" s="77" customFormat="1" ht="23.25" hidden="1" customHeight="1" x14ac:dyDescent="0.25">
      <c r="A818" s="76"/>
      <c r="B818" s="76"/>
      <c r="C818" s="76"/>
      <c r="D818" s="76"/>
      <c r="E818" s="76"/>
      <c r="F818" s="76"/>
      <c r="G818" s="76"/>
      <c r="H818"/>
    </row>
    <row r="819" spans="1:8" s="77" customFormat="1" ht="23.25" hidden="1" customHeight="1" x14ac:dyDescent="0.25">
      <c r="A819" s="76"/>
      <c r="B819" s="76"/>
      <c r="C819" s="76"/>
      <c r="D819" s="76"/>
      <c r="E819" s="76"/>
      <c r="F819" s="76"/>
      <c r="G819" s="76"/>
      <c r="H819"/>
    </row>
    <row r="820" spans="1:8" s="77" customFormat="1" ht="23.25" hidden="1" customHeight="1" x14ac:dyDescent="0.25">
      <c r="A820" s="76"/>
      <c r="B820" s="76"/>
      <c r="C820" s="76"/>
      <c r="D820" s="76"/>
      <c r="E820" s="76"/>
      <c r="F820" s="76"/>
      <c r="G820" s="76"/>
      <c r="H820"/>
    </row>
    <row r="821" spans="1:8" s="77" customFormat="1" ht="23.25" hidden="1" customHeight="1" x14ac:dyDescent="0.25">
      <c r="A821" s="76"/>
      <c r="B821" s="76"/>
      <c r="C821" s="76"/>
      <c r="D821" s="76"/>
      <c r="E821" s="76"/>
      <c r="F821" s="76"/>
      <c r="G821" s="76"/>
      <c r="H821"/>
    </row>
    <row r="822" spans="1:8" s="77" customFormat="1" ht="23.25" hidden="1" customHeight="1" x14ac:dyDescent="0.25">
      <c r="A822" s="76"/>
      <c r="B822" s="76"/>
      <c r="C822" s="76"/>
      <c r="D822" s="76"/>
      <c r="E822" s="76"/>
      <c r="F822" s="76"/>
      <c r="G822" s="76"/>
      <c r="H822"/>
    </row>
    <row r="823" spans="1:8" s="77" customFormat="1" ht="23.25" hidden="1" customHeight="1" x14ac:dyDescent="0.25">
      <c r="A823" s="76"/>
      <c r="B823" s="76"/>
      <c r="C823" s="76"/>
      <c r="D823" s="76"/>
      <c r="E823" s="76"/>
      <c r="F823" s="76"/>
      <c r="G823" s="76"/>
      <c r="H823"/>
    </row>
    <row r="824" spans="1:8" s="77" customFormat="1" ht="23.25" hidden="1" customHeight="1" x14ac:dyDescent="0.25">
      <c r="A824" s="76"/>
      <c r="B824" s="76"/>
      <c r="C824" s="76"/>
      <c r="D824" s="76"/>
      <c r="E824" s="76"/>
      <c r="F824" s="76"/>
      <c r="G824" s="76"/>
      <c r="H824"/>
    </row>
    <row r="825" spans="1:8" s="77" customFormat="1" ht="23.25" hidden="1" customHeight="1" x14ac:dyDescent="0.25">
      <c r="A825" s="76"/>
      <c r="B825" s="76"/>
      <c r="C825" s="76"/>
      <c r="D825" s="76"/>
      <c r="E825" s="76"/>
      <c r="F825" s="76"/>
      <c r="G825" s="76"/>
      <c r="H825"/>
    </row>
    <row r="826" spans="1:8" s="77" customFormat="1" ht="23.25" hidden="1" customHeight="1" x14ac:dyDescent="0.25">
      <c r="A826" s="76"/>
      <c r="B826" s="76"/>
      <c r="C826" s="76"/>
      <c r="D826" s="76"/>
      <c r="E826" s="76"/>
      <c r="F826" s="76"/>
      <c r="G826" s="76"/>
      <c r="H826"/>
    </row>
    <row r="827" spans="1:8" s="77" customFormat="1" ht="23.25" hidden="1" customHeight="1" x14ac:dyDescent="0.25">
      <c r="A827" s="76"/>
      <c r="B827" s="76"/>
      <c r="C827" s="76"/>
      <c r="D827" s="76"/>
      <c r="E827" s="76"/>
      <c r="F827" s="76"/>
      <c r="G827" s="76"/>
      <c r="H827"/>
    </row>
    <row r="828" spans="1:8" s="77" customFormat="1" ht="23.25" hidden="1" customHeight="1" x14ac:dyDescent="0.25">
      <c r="A828" s="76"/>
      <c r="B828" s="76"/>
      <c r="C828" s="76"/>
      <c r="D828" s="76"/>
      <c r="E828" s="76"/>
      <c r="F828" s="76"/>
      <c r="G828" s="76"/>
      <c r="H828"/>
    </row>
    <row r="829" spans="1:8" s="77" customFormat="1" ht="23.25" hidden="1" customHeight="1" x14ac:dyDescent="0.25">
      <c r="A829" s="76"/>
      <c r="B829" s="76"/>
      <c r="C829" s="76"/>
      <c r="D829" s="76"/>
      <c r="E829" s="76"/>
      <c r="F829" s="76"/>
      <c r="G829" s="76"/>
      <c r="H829"/>
    </row>
    <row r="830" spans="1:8" s="77" customFormat="1" ht="23.25" hidden="1" customHeight="1" x14ac:dyDescent="0.25">
      <c r="A830" s="76"/>
      <c r="B830" s="76"/>
      <c r="C830" s="76"/>
      <c r="D830" s="76"/>
      <c r="E830" s="76"/>
      <c r="F830" s="76"/>
      <c r="G830" s="76"/>
      <c r="H830"/>
    </row>
    <row r="831" spans="1:8" s="77" customFormat="1" ht="23.25" hidden="1" customHeight="1" x14ac:dyDescent="0.25">
      <c r="A831" s="76"/>
      <c r="B831" s="76"/>
      <c r="C831" s="76"/>
      <c r="D831" s="76"/>
      <c r="E831" s="76"/>
      <c r="F831" s="76"/>
      <c r="G831" s="76"/>
      <c r="H831"/>
    </row>
    <row r="832" spans="1:8" s="77" customFormat="1" ht="23.25" hidden="1" customHeight="1" x14ac:dyDescent="0.25">
      <c r="A832" s="76"/>
      <c r="B832" s="76"/>
      <c r="C832" s="76"/>
      <c r="D832" s="76"/>
      <c r="E832" s="76"/>
      <c r="F832" s="76"/>
      <c r="G832" s="76"/>
      <c r="H832"/>
    </row>
    <row r="833" spans="1:8" s="77" customFormat="1" ht="23.25" hidden="1" customHeight="1" x14ac:dyDescent="0.25">
      <c r="A833" s="76"/>
      <c r="B833" s="76"/>
      <c r="C833" s="76"/>
      <c r="D833" s="76"/>
      <c r="E833" s="76"/>
      <c r="F833" s="76"/>
      <c r="G833" s="76"/>
      <c r="H833"/>
    </row>
    <row r="834" spans="1:8" s="77" customFormat="1" ht="23.25" hidden="1" customHeight="1" x14ac:dyDescent="0.25">
      <c r="A834" s="76"/>
      <c r="B834" s="76"/>
      <c r="C834" s="76"/>
      <c r="D834" s="76"/>
      <c r="E834" s="76"/>
      <c r="F834" s="76"/>
      <c r="G834" s="76"/>
      <c r="H834"/>
    </row>
    <row r="835" spans="1:8" s="77" customFormat="1" ht="23.25" hidden="1" customHeight="1" x14ac:dyDescent="0.25">
      <c r="A835" s="76"/>
      <c r="B835" s="76"/>
      <c r="C835" s="76"/>
      <c r="D835" s="76"/>
      <c r="E835" s="76"/>
      <c r="F835" s="76"/>
      <c r="G835" s="76"/>
      <c r="H835"/>
    </row>
    <row r="836" spans="1:8" s="77" customFormat="1" ht="23.25" hidden="1" customHeight="1" x14ac:dyDescent="0.25">
      <c r="A836" s="76"/>
      <c r="B836" s="76"/>
      <c r="C836" s="76"/>
      <c r="D836" s="76"/>
      <c r="E836" s="76"/>
      <c r="F836" s="76"/>
      <c r="G836" s="76"/>
      <c r="H836"/>
    </row>
    <row r="837" spans="1:8" s="77" customFormat="1" ht="23.25" hidden="1" customHeight="1" x14ac:dyDescent="0.25">
      <c r="A837" s="76"/>
      <c r="B837" s="76"/>
      <c r="C837" s="76"/>
      <c r="D837" s="76"/>
      <c r="E837" s="76"/>
      <c r="F837" s="76"/>
      <c r="G837" s="76"/>
      <c r="H837"/>
    </row>
    <row r="838" spans="1:8" s="77" customFormat="1" ht="23.25" hidden="1" customHeight="1" x14ac:dyDescent="0.25">
      <c r="A838" s="76"/>
      <c r="B838" s="76"/>
      <c r="C838" s="76"/>
      <c r="D838" s="76"/>
      <c r="E838" s="76"/>
      <c r="F838" s="76"/>
      <c r="G838" s="76"/>
      <c r="H838"/>
    </row>
    <row r="839" spans="1:8" s="77" customFormat="1" ht="23.25" hidden="1" customHeight="1" x14ac:dyDescent="0.25">
      <c r="A839" s="76"/>
      <c r="B839" s="76"/>
      <c r="C839" s="76"/>
      <c r="D839" s="76"/>
      <c r="E839" s="76"/>
      <c r="F839" s="76"/>
      <c r="G839" s="76"/>
      <c r="H839"/>
    </row>
    <row r="840" spans="1:8" s="77" customFormat="1" ht="23.25" hidden="1" customHeight="1" x14ac:dyDescent="0.25">
      <c r="A840" s="76"/>
      <c r="B840" s="76"/>
      <c r="C840" s="76"/>
      <c r="D840" s="76"/>
      <c r="E840" s="76"/>
      <c r="F840" s="76"/>
      <c r="G840" s="76"/>
      <c r="H840"/>
    </row>
    <row r="841" spans="1:8" s="77" customFormat="1" ht="23.25" hidden="1" customHeight="1" x14ac:dyDescent="0.25">
      <c r="A841" s="76"/>
      <c r="B841" s="76"/>
      <c r="C841" s="76"/>
      <c r="D841" s="76"/>
      <c r="E841" s="76"/>
      <c r="F841" s="76"/>
      <c r="G841" s="76"/>
      <c r="H841"/>
    </row>
    <row r="842" spans="1:8" s="77" customFormat="1" ht="23.25" hidden="1" customHeight="1" x14ac:dyDescent="0.25">
      <c r="A842" s="76"/>
      <c r="B842" s="76"/>
      <c r="C842" s="76"/>
      <c r="D842" s="76"/>
      <c r="E842" s="76"/>
      <c r="F842" s="76"/>
      <c r="G842" s="76"/>
      <c r="H842"/>
    </row>
    <row r="843" spans="1:8" s="77" customFormat="1" ht="23.25" hidden="1" customHeight="1" x14ac:dyDescent="0.25">
      <c r="A843" s="76"/>
      <c r="B843" s="76"/>
      <c r="C843" s="76"/>
      <c r="D843" s="76"/>
      <c r="E843" s="76"/>
      <c r="F843" s="76"/>
      <c r="G843" s="76"/>
      <c r="H843"/>
    </row>
    <row r="844" spans="1:8" s="77" customFormat="1" ht="23.25" hidden="1" customHeight="1" x14ac:dyDescent="0.25">
      <c r="A844" s="76"/>
      <c r="B844" s="76"/>
      <c r="C844" s="76"/>
      <c r="D844" s="76"/>
      <c r="E844" s="76"/>
      <c r="F844" s="76"/>
      <c r="G844" s="76"/>
      <c r="H844"/>
    </row>
    <row r="845" spans="1:8" s="77" customFormat="1" ht="23.25" hidden="1" customHeight="1" x14ac:dyDescent="0.25">
      <c r="A845" s="76"/>
      <c r="B845" s="76"/>
      <c r="C845" s="76"/>
      <c r="D845" s="76"/>
      <c r="E845" s="76"/>
      <c r="F845" s="76"/>
      <c r="G845" s="76"/>
      <c r="H845"/>
    </row>
    <row r="846" spans="1:8" s="77" customFormat="1" ht="23.25" hidden="1" customHeight="1" x14ac:dyDescent="0.25">
      <c r="A846" s="76"/>
      <c r="B846" s="76"/>
      <c r="C846" s="76"/>
      <c r="D846" s="76"/>
      <c r="E846" s="76"/>
      <c r="F846" s="76"/>
      <c r="G846" s="76"/>
      <c r="H846"/>
    </row>
    <row r="847" spans="1:8" s="77" customFormat="1" ht="23.25" hidden="1" customHeight="1" x14ac:dyDescent="0.25">
      <c r="A847" s="76"/>
      <c r="B847" s="76"/>
      <c r="C847" s="76"/>
      <c r="D847" s="76"/>
      <c r="E847" s="76"/>
      <c r="F847" s="76"/>
      <c r="G847" s="76"/>
      <c r="H847"/>
    </row>
    <row r="848" spans="1:8" s="77" customFormat="1" ht="23.25" hidden="1" customHeight="1" x14ac:dyDescent="0.25">
      <c r="A848" s="76"/>
      <c r="B848" s="76"/>
      <c r="C848" s="76"/>
      <c r="D848" s="76"/>
      <c r="E848" s="76"/>
      <c r="F848" s="76"/>
      <c r="G848" s="76"/>
      <c r="H848"/>
    </row>
    <row r="849" spans="1:8" s="77" customFormat="1" ht="23.25" hidden="1" customHeight="1" x14ac:dyDescent="0.25">
      <c r="A849" s="76"/>
      <c r="B849" s="76"/>
      <c r="C849" s="76"/>
      <c r="D849" s="76"/>
      <c r="E849" s="76"/>
      <c r="F849" s="76"/>
      <c r="G849" s="76"/>
      <c r="H849"/>
    </row>
    <row r="850" spans="1:8" s="77" customFormat="1" ht="23.25" hidden="1" customHeight="1" x14ac:dyDescent="0.25">
      <c r="A850" s="76"/>
      <c r="B850" s="76"/>
      <c r="C850" s="76"/>
      <c r="D850" s="76"/>
      <c r="E850" s="76"/>
      <c r="F850" s="76"/>
      <c r="G850" s="76"/>
      <c r="H850"/>
    </row>
    <row r="851" spans="1:8" s="77" customFormat="1" ht="23.25" hidden="1" customHeight="1" x14ac:dyDescent="0.25">
      <c r="A851" s="76"/>
      <c r="B851" s="76"/>
      <c r="C851" s="76"/>
      <c r="D851" s="76"/>
      <c r="E851" s="76"/>
      <c r="F851" s="76"/>
      <c r="G851" s="76"/>
      <c r="H851"/>
    </row>
    <row r="852" spans="1:8" s="77" customFormat="1" ht="23.25" hidden="1" customHeight="1" x14ac:dyDescent="0.25">
      <c r="A852" s="76"/>
      <c r="B852" s="76"/>
      <c r="C852" s="76"/>
      <c r="D852" s="76"/>
      <c r="E852" s="76"/>
      <c r="F852" s="76"/>
      <c r="G852" s="76"/>
      <c r="H852"/>
    </row>
    <row r="853" spans="1:8" s="77" customFormat="1" ht="23.25" hidden="1" customHeight="1" x14ac:dyDescent="0.25">
      <c r="A853" s="76"/>
      <c r="B853" s="76"/>
      <c r="C853" s="76"/>
      <c r="D853" s="76"/>
      <c r="E853" s="76"/>
      <c r="F853" s="76"/>
      <c r="G853" s="76"/>
      <c r="H853"/>
    </row>
    <row r="854" spans="1:8" s="77" customFormat="1" ht="23.25" hidden="1" customHeight="1" x14ac:dyDescent="0.25">
      <c r="A854" s="76"/>
      <c r="B854" s="76"/>
      <c r="C854" s="76"/>
      <c r="D854" s="76"/>
      <c r="E854" s="76"/>
      <c r="F854" s="76"/>
      <c r="G854" s="76"/>
      <c r="H854"/>
    </row>
    <row r="855" spans="1:8" s="77" customFormat="1" ht="23.25" hidden="1" customHeight="1" x14ac:dyDescent="0.25">
      <c r="A855" s="76"/>
      <c r="B855" s="76"/>
      <c r="C855" s="76"/>
      <c r="D855" s="76"/>
      <c r="E855" s="76"/>
      <c r="F855" s="76"/>
      <c r="G855" s="76"/>
      <c r="H855"/>
    </row>
    <row r="856" spans="1:8" s="77" customFormat="1" ht="23.25" hidden="1" customHeight="1" x14ac:dyDescent="0.25">
      <c r="A856" s="76"/>
      <c r="B856" s="76"/>
      <c r="C856" s="76"/>
      <c r="D856" s="76"/>
      <c r="E856" s="76"/>
      <c r="F856" s="76"/>
      <c r="G856" s="76"/>
      <c r="H856"/>
    </row>
    <row r="857" spans="1:8" s="77" customFormat="1" ht="23.25" hidden="1" customHeight="1" x14ac:dyDescent="0.25">
      <c r="A857" s="76"/>
      <c r="B857" s="76"/>
      <c r="C857" s="76"/>
      <c r="D857" s="76"/>
      <c r="E857" s="76"/>
      <c r="F857" s="76"/>
      <c r="G857" s="76"/>
      <c r="H857"/>
    </row>
    <row r="858" spans="1:8" s="77" customFormat="1" ht="23.25" hidden="1" customHeight="1" x14ac:dyDescent="0.25">
      <c r="A858" s="76"/>
      <c r="B858" s="76"/>
      <c r="C858" s="76"/>
      <c r="D858" s="76"/>
      <c r="E858" s="76"/>
      <c r="F858" s="76"/>
      <c r="G858" s="76"/>
      <c r="H858"/>
    </row>
    <row r="859" spans="1:8" s="77" customFormat="1" ht="23.25" hidden="1" customHeight="1" x14ac:dyDescent="0.25">
      <c r="A859" s="76"/>
      <c r="B859" s="76"/>
      <c r="C859" s="76"/>
      <c r="D859" s="76"/>
      <c r="E859" s="76"/>
      <c r="F859" s="76"/>
      <c r="G859" s="76"/>
      <c r="H859"/>
    </row>
    <row r="860" spans="1:8" s="77" customFormat="1" ht="23.25" hidden="1" customHeight="1" x14ac:dyDescent="0.25">
      <c r="A860" s="76"/>
      <c r="B860" s="76"/>
      <c r="C860" s="76"/>
      <c r="D860" s="76"/>
      <c r="E860" s="76"/>
      <c r="F860" s="76"/>
      <c r="G860" s="76"/>
      <c r="H860"/>
    </row>
    <row r="861" spans="1:8" s="77" customFormat="1" ht="23.25" hidden="1" customHeight="1" x14ac:dyDescent="0.25">
      <c r="A861" s="76"/>
      <c r="B861" s="76"/>
      <c r="C861" s="76"/>
      <c r="D861" s="76"/>
      <c r="E861" s="76"/>
      <c r="F861" s="76"/>
      <c r="G861" s="76"/>
      <c r="H861"/>
    </row>
    <row r="862" spans="1:8" s="77" customFormat="1" ht="23.25" hidden="1" customHeight="1" x14ac:dyDescent="0.25">
      <c r="A862" s="76"/>
      <c r="B862" s="76"/>
      <c r="C862" s="76"/>
      <c r="D862" s="76"/>
      <c r="E862" s="76"/>
      <c r="F862" s="76"/>
      <c r="G862" s="76"/>
      <c r="H862"/>
    </row>
    <row r="863" spans="1:8" s="77" customFormat="1" ht="23.25" hidden="1" customHeight="1" x14ac:dyDescent="0.25">
      <c r="A863" s="76"/>
      <c r="B863" s="76"/>
      <c r="C863" s="76"/>
      <c r="D863" s="76"/>
      <c r="E863" s="76"/>
      <c r="F863" s="76"/>
      <c r="G863" s="76"/>
      <c r="H863"/>
    </row>
    <row r="864" spans="1:8" s="77" customFormat="1" ht="23.25" hidden="1" customHeight="1" x14ac:dyDescent="0.25">
      <c r="A864" s="76"/>
      <c r="B864" s="76"/>
      <c r="C864" s="76"/>
      <c r="D864" s="76"/>
      <c r="E864" s="76"/>
      <c r="F864" s="76"/>
      <c r="G864" s="76"/>
      <c r="H864"/>
    </row>
    <row r="865" spans="1:8" s="77" customFormat="1" ht="23.25" hidden="1" customHeight="1" x14ac:dyDescent="0.25">
      <c r="A865" s="76"/>
      <c r="B865" s="76"/>
      <c r="C865" s="76"/>
      <c r="D865" s="76"/>
      <c r="E865" s="76"/>
      <c r="F865" s="76"/>
      <c r="G865" s="76"/>
      <c r="H865"/>
    </row>
    <row r="866" spans="1:8" s="77" customFormat="1" ht="23.25" hidden="1" customHeight="1" x14ac:dyDescent="0.25">
      <c r="A866" s="76"/>
      <c r="B866" s="76"/>
      <c r="C866" s="76"/>
      <c r="D866" s="76"/>
      <c r="E866" s="76"/>
      <c r="F866" s="76"/>
      <c r="G866" s="76"/>
      <c r="H866"/>
    </row>
    <row r="867" spans="1:8" s="77" customFormat="1" ht="23.25" hidden="1" customHeight="1" x14ac:dyDescent="0.25">
      <c r="A867" s="76"/>
      <c r="B867" s="76"/>
      <c r="C867" s="76"/>
      <c r="D867" s="76"/>
      <c r="E867" s="76"/>
      <c r="F867" s="76"/>
      <c r="G867" s="76"/>
      <c r="H867"/>
    </row>
    <row r="868" spans="1:8" s="77" customFormat="1" ht="23.25" hidden="1" customHeight="1" x14ac:dyDescent="0.25">
      <c r="A868" s="76"/>
      <c r="B868" s="76"/>
      <c r="C868" s="76"/>
      <c r="D868" s="76"/>
      <c r="E868" s="76"/>
      <c r="F868" s="76"/>
      <c r="G868" s="76"/>
      <c r="H868"/>
    </row>
    <row r="869" spans="1:8" s="77" customFormat="1" ht="23.25" hidden="1" customHeight="1" x14ac:dyDescent="0.25">
      <c r="A869" s="76"/>
      <c r="B869" s="76"/>
      <c r="C869" s="76"/>
      <c r="D869" s="76"/>
      <c r="E869" s="76"/>
      <c r="F869" s="76"/>
      <c r="G869" s="76"/>
      <c r="H869"/>
    </row>
    <row r="870" spans="1:8" s="77" customFormat="1" ht="23.25" hidden="1" customHeight="1" x14ac:dyDescent="0.25">
      <c r="A870" s="76"/>
      <c r="B870" s="76"/>
      <c r="C870" s="76"/>
      <c r="D870" s="76"/>
      <c r="E870" s="76"/>
      <c r="F870" s="76"/>
      <c r="G870" s="76"/>
      <c r="H870"/>
    </row>
    <row r="871" spans="1:8" s="77" customFormat="1" ht="23.25" hidden="1" customHeight="1" x14ac:dyDescent="0.25">
      <c r="A871" s="76"/>
      <c r="B871" s="76"/>
      <c r="C871" s="76"/>
      <c r="D871" s="76"/>
      <c r="E871" s="76"/>
      <c r="F871" s="76"/>
      <c r="G871" s="76"/>
      <c r="H871"/>
    </row>
    <row r="872" spans="1:8" s="77" customFormat="1" ht="23.25" hidden="1" customHeight="1" x14ac:dyDescent="0.25">
      <c r="A872" s="76"/>
      <c r="B872" s="76"/>
      <c r="C872" s="76"/>
      <c r="D872" s="76"/>
      <c r="E872" s="76"/>
      <c r="F872" s="76"/>
      <c r="G872" s="76"/>
      <c r="H872"/>
    </row>
    <row r="873" spans="1:8" s="77" customFormat="1" ht="23.25" hidden="1" customHeight="1" x14ac:dyDescent="0.25">
      <c r="A873" s="76"/>
      <c r="B873" s="76"/>
      <c r="C873" s="76"/>
      <c r="D873" s="76"/>
      <c r="E873" s="76"/>
      <c r="F873" s="76"/>
      <c r="G873" s="76"/>
      <c r="H873"/>
    </row>
    <row r="874" spans="1:8" s="77" customFormat="1" ht="23.25" hidden="1" customHeight="1" x14ac:dyDescent="0.25">
      <c r="A874" s="76"/>
      <c r="B874" s="76"/>
      <c r="C874" s="76"/>
      <c r="D874" s="76"/>
      <c r="E874" s="76"/>
      <c r="F874" s="76"/>
      <c r="G874" s="76"/>
      <c r="H874"/>
    </row>
    <row r="875" spans="1:8" s="77" customFormat="1" ht="23.25" hidden="1" customHeight="1" x14ac:dyDescent="0.25">
      <c r="A875" s="76"/>
      <c r="B875" s="76"/>
      <c r="C875" s="76"/>
      <c r="D875" s="76"/>
      <c r="E875" s="76"/>
      <c r="F875" s="76"/>
      <c r="G875" s="76"/>
      <c r="H875"/>
    </row>
    <row r="876" spans="1:8" s="77" customFormat="1" ht="23.25" hidden="1" customHeight="1" x14ac:dyDescent="0.25">
      <c r="A876" s="76"/>
      <c r="B876" s="76"/>
      <c r="C876" s="76"/>
      <c r="D876" s="76"/>
      <c r="E876" s="76"/>
      <c r="F876" s="76"/>
      <c r="G876" s="76"/>
      <c r="H876"/>
    </row>
    <row r="877" spans="1:8" s="77" customFormat="1" ht="23.25" hidden="1" customHeight="1" x14ac:dyDescent="0.25">
      <c r="A877" s="76"/>
      <c r="B877" s="76"/>
      <c r="C877" s="76"/>
      <c r="D877" s="76"/>
      <c r="E877" s="76"/>
      <c r="F877" s="76"/>
      <c r="G877" s="76"/>
      <c r="H877"/>
    </row>
    <row r="878" spans="1:8" s="77" customFormat="1" ht="23.25" hidden="1" customHeight="1" x14ac:dyDescent="0.25">
      <c r="A878" s="76"/>
      <c r="B878" s="76"/>
      <c r="C878" s="76"/>
      <c r="D878" s="76"/>
      <c r="E878" s="76"/>
      <c r="F878" s="76"/>
      <c r="G878" s="76"/>
      <c r="H878"/>
    </row>
    <row r="879" spans="1:8" s="77" customFormat="1" ht="23.25" hidden="1" customHeight="1" x14ac:dyDescent="0.25">
      <c r="A879" s="76"/>
      <c r="B879" s="76"/>
      <c r="C879" s="76"/>
      <c r="D879" s="76"/>
      <c r="E879" s="76"/>
      <c r="F879" s="76"/>
      <c r="G879" s="76"/>
      <c r="H879"/>
    </row>
    <row r="880" spans="1:8" s="77" customFormat="1" ht="23.25" hidden="1" customHeight="1" x14ac:dyDescent="0.25">
      <c r="A880" s="76"/>
      <c r="B880" s="76"/>
      <c r="C880" s="76"/>
      <c r="D880" s="76"/>
      <c r="E880" s="76"/>
      <c r="F880" s="76"/>
      <c r="G880" s="76"/>
      <c r="H880"/>
    </row>
    <row r="881" spans="1:8" s="77" customFormat="1" ht="23.25" hidden="1" customHeight="1" x14ac:dyDescent="0.25">
      <c r="A881" s="76"/>
      <c r="B881" s="76"/>
      <c r="C881" s="76"/>
      <c r="D881" s="76"/>
      <c r="E881" s="76"/>
      <c r="F881" s="76"/>
      <c r="G881" s="76"/>
      <c r="H881"/>
    </row>
    <row r="882" spans="1:8" s="77" customFormat="1" ht="23.25" hidden="1" customHeight="1" x14ac:dyDescent="0.25">
      <c r="A882" s="76"/>
      <c r="B882" s="76"/>
      <c r="C882" s="76"/>
      <c r="D882" s="76"/>
      <c r="E882" s="76"/>
      <c r="F882" s="76"/>
      <c r="G882" s="76"/>
      <c r="H882"/>
    </row>
    <row r="883" spans="1:8" s="77" customFormat="1" ht="23.25" hidden="1" customHeight="1" x14ac:dyDescent="0.25">
      <c r="A883" s="76"/>
      <c r="B883" s="76"/>
      <c r="C883" s="76"/>
      <c r="D883" s="76"/>
      <c r="E883" s="76"/>
      <c r="F883" s="76"/>
      <c r="G883" s="76"/>
      <c r="H883"/>
    </row>
    <row r="884" spans="1:8" s="77" customFormat="1" ht="23.25" hidden="1" customHeight="1" x14ac:dyDescent="0.25">
      <c r="A884" s="76"/>
      <c r="B884" s="76"/>
      <c r="C884" s="76"/>
      <c r="D884" s="76"/>
      <c r="E884" s="76"/>
      <c r="F884" s="76"/>
      <c r="G884" s="76"/>
      <c r="H884"/>
    </row>
    <row r="885" spans="1:8" s="77" customFormat="1" ht="23.25" hidden="1" customHeight="1" x14ac:dyDescent="0.25">
      <c r="A885" s="76"/>
      <c r="B885" s="76"/>
      <c r="C885" s="76"/>
      <c r="D885" s="76"/>
      <c r="E885" s="76"/>
      <c r="F885" s="76"/>
      <c r="G885" s="76"/>
      <c r="H885"/>
    </row>
    <row r="886" spans="1:8" s="77" customFormat="1" ht="23.25" hidden="1" customHeight="1" x14ac:dyDescent="0.25">
      <c r="A886" s="76"/>
      <c r="B886" s="76"/>
      <c r="C886" s="76"/>
      <c r="D886" s="76"/>
      <c r="E886" s="76"/>
      <c r="F886" s="76"/>
      <c r="G886" s="76"/>
      <c r="H886"/>
    </row>
    <row r="887" spans="1:8" s="77" customFormat="1" ht="23.25" hidden="1" customHeight="1" x14ac:dyDescent="0.25">
      <c r="A887" s="76"/>
      <c r="B887" s="76"/>
      <c r="C887" s="76"/>
      <c r="D887" s="76"/>
      <c r="E887" s="76"/>
      <c r="F887" s="76"/>
      <c r="G887" s="76"/>
      <c r="H887"/>
    </row>
    <row r="888" spans="1:8" s="77" customFormat="1" ht="23.25" hidden="1" customHeight="1" x14ac:dyDescent="0.25">
      <c r="A888" s="76"/>
      <c r="B888" s="76"/>
      <c r="C888" s="76"/>
      <c r="D888" s="76"/>
      <c r="E888" s="76"/>
      <c r="F888" s="76"/>
      <c r="G888" s="76"/>
      <c r="H888"/>
    </row>
    <row r="889" spans="1:8" s="77" customFormat="1" ht="23.25" hidden="1" customHeight="1" x14ac:dyDescent="0.25">
      <c r="A889" s="76"/>
      <c r="B889" s="76"/>
      <c r="C889" s="76"/>
      <c r="D889" s="76"/>
      <c r="E889" s="76"/>
      <c r="F889" s="76"/>
      <c r="G889" s="76"/>
      <c r="H889"/>
    </row>
    <row r="890" spans="1:8" s="77" customFormat="1" ht="23.25" hidden="1" customHeight="1" x14ac:dyDescent="0.25">
      <c r="A890" s="76"/>
      <c r="B890" s="76"/>
      <c r="C890" s="76"/>
      <c r="D890" s="76"/>
      <c r="E890" s="76"/>
      <c r="F890" s="76"/>
      <c r="G890" s="76"/>
      <c r="H890"/>
    </row>
    <row r="891" spans="1:8" s="77" customFormat="1" ht="23.25" hidden="1" customHeight="1" x14ac:dyDescent="0.25">
      <c r="A891" s="76"/>
      <c r="B891" s="76"/>
      <c r="C891" s="76"/>
      <c r="D891" s="76"/>
      <c r="E891" s="76"/>
      <c r="F891" s="76"/>
      <c r="G891" s="76"/>
      <c r="H891"/>
    </row>
    <row r="892" spans="1:8" s="77" customFormat="1" ht="23.25" hidden="1" customHeight="1" x14ac:dyDescent="0.25">
      <c r="A892" s="76"/>
      <c r="B892" s="76"/>
      <c r="C892" s="76"/>
      <c r="D892" s="76"/>
      <c r="E892" s="76"/>
      <c r="F892" s="76"/>
      <c r="G892" s="76"/>
      <c r="H892"/>
    </row>
    <row r="893" spans="1:8" s="77" customFormat="1" ht="23.25" hidden="1" customHeight="1" x14ac:dyDescent="0.25">
      <c r="A893" s="76"/>
      <c r="B893" s="76"/>
      <c r="C893" s="76"/>
      <c r="D893" s="76"/>
      <c r="E893" s="76"/>
      <c r="F893" s="76"/>
      <c r="G893" s="76"/>
      <c r="H893"/>
    </row>
    <row r="894" spans="1:8" s="77" customFormat="1" ht="23.25" hidden="1" customHeight="1" x14ac:dyDescent="0.25">
      <c r="A894" s="76"/>
      <c r="B894" s="76"/>
      <c r="C894" s="76"/>
      <c r="D894" s="76"/>
      <c r="E894" s="76"/>
      <c r="F894" s="76"/>
      <c r="G894" s="76"/>
      <c r="H894"/>
    </row>
    <row r="895" spans="1:8" s="77" customFormat="1" ht="23.25" hidden="1" customHeight="1" x14ac:dyDescent="0.25">
      <c r="A895" s="76"/>
      <c r="B895" s="76"/>
      <c r="C895" s="76"/>
      <c r="D895" s="76"/>
      <c r="E895" s="76"/>
      <c r="F895" s="76"/>
      <c r="G895" s="76"/>
      <c r="H895"/>
    </row>
    <row r="896" spans="1:8" s="77" customFormat="1" ht="23.25" hidden="1" customHeight="1" x14ac:dyDescent="0.25">
      <c r="A896" s="76"/>
      <c r="B896" s="76"/>
      <c r="C896" s="76"/>
      <c r="D896" s="76"/>
      <c r="E896" s="76"/>
      <c r="F896" s="76"/>
      <c r="G896" s="76"/>
      <c r="H896"/>
    </row>
    <row r="897" spans="1:8" s="77" customFormat="1" ht="23.25" hidden="1" customHeight="1" x14ac:dyDescent="0.25">
      <c r="A897" s="76"/>
      <c r="B897" s="76"/>
      <c r="C897" s="76"/>
      <c r="D897" s="76"/>
      <c r="E897" s="76"/>
      <c r="F897" s="76"/>
      <c r="G897" s="76"/>
      <c r="H897"/>
    </row>
    <row r="898" spans="1:8" s="77" customFormat="1" ht="23.25" hidden="1" customHeight="1" x14ac:dyDescent="0.25">
      <c r="A898" s="76"/>
      <c r="B898" s="76"/>
      <c r="C898" s="76"/>
      <c r="D898" s="76"/>
      <c r="E898" s="76"/>
      <c r="F898" s="76"/>
      <c r="G898" s="76"/>
      <c r="H898"/>
    </row>
    <row r="899" spans="1:8" s="77" customFormat="1" ht="23.25" hidden="1" customHeight="1" x14ac:dyDescent="0.25">
      <c r="A899" s="76"/>
      <c r="B899" s="76"/>
      <c r="C899" s="76"/>
      <c r="D899" s="76"/>
      <c r="E899" s="76"/>
      <c r="F899" s="76"/>
      <c r="G899" s="76"/>
      <c r="H899"/>
    </row>
    <row r="900" spans="1:8" s="77" customFormat="1" ht="23.25" hidden="1" customHeight="1" x14ac:dyDescent="0.25">
      <c r="A900" s="76"/>
      <c r="B900" s="76"/>
      <c r="C900" s="76"/>
      <c r="D900" s="76"/>
      <c r="E900" s="76"/>
      <c r="F900" s="76"/>
      <c r="G900" s="76"/>
      <c r="H900"/>
    </row>
    <row r="901" spans="1:8" s="77" customFormat="1" ht="23.25" hidden="1" customHeight="1" x14ac:dyDescent="0.25">
      <c r="A901" s="76"/>
      <c r="B901" s="76"/>
      <c r="C901" s="76"/>
      <c r="D901" s="76"/>
      <c r="E901" s="76"/>
      <c r="F901" s="76"/>
      <c r="G901" s="76"/>
      <c r="H901"/>
    </row>
    <row r="902" spans="1:8" s="77" customFormat="1" ht="23.25" hidden="1" customHeight="1" x14ac:dyDescent="0.25">
      <c r="A902" s="76"/>
      <c r="B902" s="76"/>
      <c r="C902" s="76"/>
      <c r="D902" s="76"/>
      <c r="E902" s="76"/>
      <c r="F902" s="76"/>
      <c r="G902" s="76"/>
      <c r="H902"/>
    </row>
    <row r="903" spans="1:8" s="77" customFormat="1" ht="23.25" hidden="1" customHeight="1" x14ac:dyDescent="0.25">
      <c r="A903" s="76"/>
      <c r="B903" s="76"/>
      <c r="C903" s="76"/>
      <c r="D903" s="76"/>
      <c r="E903" s="76"/>
      <c r="F903" s="76"/>
      <c r="G903" s="76"/>
      <c r="H903"/>
    </row>
    <row r="904" spans="1:8" s="77" customFormat="1" ht="23.25" hidden="1" customHeight="1" x14ac:dyDescent="0.25">
      <c r="A904" s="76"/>
      <c r="B904" s="76"/>
      <c r="C904" s="76"/>
      <c r="D904" s="76"/>
      <c r="E904" s="76"/>
      <c r="F904" s="76"/>
      <c r="G904" s="76"/>
      <c r="H904"/>
    </row>
    <row r="905" spans="1:8" s="77" customFormat="1" ht="23.25" hidden="1" customHeight="1" x14ac:dyDescent="0.25">
      <c r="A905" s="76"/>
      <c r="B905" s="76"/>
      <c r="C905" s="76"/>
      <c r="D905" s="76"/>
      <c r="E905" s="76"/>
      <c r="F905" s="76"/>
      <c r="G905" s="76"/>
      <c r="H905"/>
    </row>
    <row r="906" spans="1:8" s="77" customFormat="1" ht="23.25" hidden="1" customHeight="1" x14ac:dyDescent="0.25">
      <c r="A906" s="76"/>
      <c r="B906" s="76"/>
      <c r="C906" s="76"/>
      <c r="D906" s="76"/>
      <c r="E906" s="76"/>
      <c r="F906" s="76"/>
      <c r="G906" s="76"/>
      <c r="H906"/>
    </row>
    <row r="907" spans="1:8" s="77" customFormat="1" ht="23.25" hidden="1" customHeight="1" x14ac:dyDescent="0.25">
      <c r="A907" s="76"/>
      <c r="B907" s="76"/>
      <c r="C907" s="76"/>
      <c r="D907" s="76"/>
      <c r="E907" s="76"/>
      <c r="F907" s="76"/>
      <c r="G907" s="76"/>
      <c r="H907"/>
    </row>
    <row r="908" spans="1:8" s="77" customFormat="1" ht="23.25" hidden="1" customHeight="1" x14ac:dyDescent="0.25">
      <c r="A908" s="76"/>
      <c r="B908" s="76"/>
      <c r="C908" s="76"/>
      <c r="D908" s="76"/>
      <c r="E908" s="76"/>
      <c r="F908" s="76"/>
      <c r="G908" s="76"/>
      <c r="H908"/>
    </row>
    <row r="909" spans="1:8" s="77" customFormat="1" ht="23.25" hidden="1" customHeight="1" x14ac:dyDescent="0.25">
      <c r="A909" s="76"/>
      <c r="B909" s="76"/>
      <c r="C909" s="76"/>
      <c r="D909" s="76"/>
      <c r="E909" s="76"/>
      <c r="F909" s="76"/>
      <c r="G909" s="76"/>
      <c r="H909"/>
    </row>
    <row r="910" spans="1:8" s="77" customFormat="1" ht="23.25" hidden="1" customHeight="1" x14ac:dyDescent="0.25">
      <c r="A910" s="76"/>
      <c r="B910" s="76"/>
      <c r="C910" s="76"/>
      <c r="D910" s="76"/>
      <c r="E910" s="76"/>
      <c r="F910" s="76"/>
      <c r="G910" s="76"/>
      <c r="H910"/>
    </row>
    <row r="911" spans="1:8" s="77" customFormat="1" ht="23.25" hidden="1" customHeight="1" x14ac:dyDescent="0.25">
      <c r="A911" s="76"/>
      <c r="B911" s="76"/>
      <c r="C911" s="76"/>
      <c r="D911" s="76"/>
      <c r="E911" s="76"/>
      <c r="F911" s="76"/>
      <c r="G911" s="76"/>
      <c r="H911"/>
    </row>
    <row r="912" spans="1:8" s="77" customFormat="1" ht="23.25" hidden="1" customHeight="1" x14ac:dyDescent="0.25">
      <c r="A912" s="76"/>
      <c r="B912" s="76"/>
      <c r="C912" s="76"/>
      <c r="D912" s="76"/>
      <c r="E912" s="76"/>
      <c r="F912" s="76"/>
      <c r="G912" s="76"/>
      <c r="H912"/>
    </row>
    <row r="913" spans="1:8" s="77" customFormat="1" ht="23.25" hidden="1" customHeight="1" x14ac:dyDescent="0.25">
      <c r="A913" s="76"/>
      <c r="B913" s="76"/>
      <c r="C913" s="76"/>
      <c r="D913" s="76"/>
      <c r="E913" s="76"/>
      <c r="F913" s="76"/>
      <c r="G913" s="76"/>
      <c r="H913"/>
    </row>
    <row r="914" spans="1:8" s="77" customFormat="1" ht="23.25" hidden="1" customHeight="1" x14ac:dyDescent="0.25">
      <c r="A914" s="76"/>
      <c r="B914" s="76"/>
      <c r="C914" s="76"/>
      <c r="D914" s="76"/>
      <c r="E914" s="76"/>
      <c r="F914" s="76"/>
      <c r="G914" s="76"/>
      <c r="H914"/>
    </row>
    <row r="915" spans="1:8" s="77" customFormat="1" ht="23.25" hidden="1" customHeight="1" x14ac:dyDescent="0.25">
      <c r="A915" s="76"/>
      <c r="B915" s="76"/>
      <c r="C915" s="76"/>
      <c r="D915" s="76"/>
      <c r="E915" s="76"/>
      <c r="F915" s="76"/>
      <c r="G915" s="76"/>
      <c r="H915"/>
    </row>
    <row r="916" spans="1:8" s="77" customFormat="1" ht="23.25" hidden="1" customHeight="1" x14ac:dyDescent="0.25">
      <c r="A916" s="76"/>
      <c r="B916" s="76"/>
      <c r="C916" s="76"/>
      <c r="D916" s="76"/>
      <c r="E916" s="76"/>
      <c r="F916" s="76"/>
      <c r="G916" s="76"/>
      <c r="H916"/>
    </row>
    <row r="917" spans="1:8" s="77" customFormat="1" ht="23.25" hidden="1" customHeight="1" x14ac:dyDescent="0.25">
      <c r="A917" s="76"/>
      <c r="B917" s="76"/>
      <c r="C917" s="76"/>
      <c r="D917" s="76"/>
      <c r="E917" s="76"/>
      <c r="F917" s="76"/>
      <c r="G917" s="76"/>
      <c r="H917"/>
    </row>
    <row r="918" spans="1:8" s="77" customFormat="1" ht="23.25" hidden="1" customHeight="1" x14ac:dyDescent="0.25">
      <c r="A918" s="76"/>
      <c r="B918" s="76"/>
      <c r="C918" s="76"/>
      <c r="D918" s="76"/>
      <c r="E918" s="76"/>
      <c r="F918" s="76"/>
      <c r="G918" s="76"/>
      <c r="H918"/>
    </row>
    <row r="919" spans="1:8" s="77" customFormat="1" ht="23.25" hidden="1" customHeight="1" x14ac:dyDescent="0.25">
      <c r="A919" s="76"/>
      <c r="B919" s="76"/>
      <c r="C919" s="76"/>
      <c r="D919" s="76"/>
      <c r="E919" s="76"/>
      <c r="F919" s="76"/>
      <c r="G919" s="76"/>
      <c r="H919"/>
    </row>
    <row r="920" spans="1:8" s="77" customFormat="1" ht="23.25" hidden="1" customHeight="1" x14ac:dyDescent="0.25">
      <c r="A920" s="76"/>
      <c r="B920" s="76"/>
      <c r="C920" s="76"/>
      <c r="D920" s="76"/>
      <c r="E920" s="76"/>
      <c r="F920" s="76"/>
      <c r="G920" s="76"/>
      <c r="H920"/>
    </row>
    <row r="921" spans="1:8" s="77" customFormat="1" ht="23.25" hidden="1" customHeight="1" x14ac:dyDescent="0.25">
      <c r="A921" s="76"/>
      <c r="B921" s="76"/>
      <c r="C921" s="76"/>
      <c r="D921" s="76"/>
      <c r="E921" s="76"/>
      <c r="F921" s="76"/>
      <c r="G921" s="76"/>
      <c r="H921"/>
    </row>
    <row r="922" spans="1:8" s="77" customFormat="1" ht="23.25" hidden="1" customHeight="1" x14ac:dyDescent="0.25">
      <c r="A922" s="76"/>
      <c r="B922" s="76"/>
      <c r="C922" s="76"/>
      <c r="D922" s="76"/>
      <c r="E922" s="76"/>
      <c r="F922" s="76"/>
      <c r="G922" s="76"/>
      <c r="H922"/>
    </row>
    <row r="923" spans="1:8" s="77" customFormat="1" ht="23.25" hidden="1" customHeight="1" x14ac:dyDescent="0.25">
      <c r="A923" s="76"/>
      <c r="B923" s="76"/>
      <c r="C923" s="76"/>
      <c r="D923" s="76"/>
      <c r="E923" s="76"/>
      <c r="F923" s="76"/>
      <c r="G923" s="76"/>
      <c r="H923"/>
    </row>
    <row r="924" spans="1:8" s="77" customFormat="1" ht="23.25" hidden="1" customHeight="1" x14ac:dyDescent="0.25">
      <c r="A924" s="76"/>
      <c r="B924" s="76"/>
      <c r="C924" s="76"/>
      <c r="D924" s="76"/>
      <c r="E924" s="76"/>
      <c r="F924" s="76"/>
      <c r="G924" s="76"/>
      <c r="H924"/>
    </row>
    <row r="925" spans="1:8" s="77" customFormat="1" ht="23.25" hidden="1" customHeight="1" x14ac:dyDescent="0.25">
      <c r="A925" s="76"/>
      <c r="B925" s="76"/>
      <c r="C925" s="76"/>
      <c r="D925" s="76"/>
      <c r="E925" s="76"/>
      <c r="F925" s="76"/>
      <c r="G925" s="76"/>
      <c r="H925"/>
    </row>
    <row r="926" spans="1:8" s="77" customFormat="1" ht="23.25" hidden="1" customHeight="1" x14ac:dyDescent="0.25">
      <c r="A926" s="76"/>
      <c r="B926" s="76"/>
      <c r="C926" s="76"/>
      <c r="D926" s="76"/>
      <c r="E926" s="76"/>
      <c r="F926" s="76"/>
      <c r="G926" s="76"/>
      <c r="H926"/>
    </row>
    <row r="927" spans="1:8" s="77" customFormat="1" ht="23.25" hidden="1" customHeight="1" x14ac:dyDescent="0.25">
      <c r="A927" s="76"/>
      <c r="B927" s="76"/>
      <c r="C927" s="76"/>
      <c r="D927" s="76"/>
      <c r="E927" s="76"/>
      <c r="F927" s="76"/>
      <c r="G927" s="76"/>
      <c r="H927"/>
    </row>
    <row r="928" spans="1:8" s="77" customFormat="1" ht="23.25" hidden="1" customHeight="1" x14ac:dyDescent="0.25">
      <c r="A928" s="76"/>
      <c r="B928" s="76"/>
      <c r="C928" s="76"/>
      <c r="D928" s="76"/>
      <c r="E928" s="76"/>
      <c r="F928" s="76"/>
      <c r="G928" s="76"/>
      <c r="H928"/>
    </row>
    <row r="929" spans="1:8" s="77" customFormat="1" ht="23.25" hidden="1" customHeight="1" x14ac:dyDescent="0.25">
      <c r="A929" s="76"/>
      <c r="B929" s="76"/>
      <c r="C929" s="76"/>
      <c r="D929" s="76"/>
      <c r="E929" s="76"/>
      <c r="F929" s="76"/>
      <c r="G929" s="76"/>
      <c r="H929"/>
    </row>
    <row r="930" spans="1:8" s="77" customFormat="1" ht="23.25" hidden="1" customHeight="1" x14ac:dyDescent="0.25">
      <c r="A930" s="76"/>
      <c r="B930" s="76"/>
      <c r="C930" s="76"/>
      <c r="D930" s="76"/>
      <c r="E930" s="76"/>
      <c r="F930" s="76"/>
      <c r="G930" s="76"/>
      <c r="H930"/>
    </row>
    <row r="931" spans="1:8" s="77" customFormat="1" ht="23.25" hidden="1" customHeight="1" x14ac:dyDescent="0.25">
      <c r="A931" s="76"/>
      <c r="B931" s="76"/>
      <c r="C931" s="76"/>
      <c r="D931" s="76"/>
      <c r="E931" s="76"/>
      <c r="F931" s="76"/>
      <c r="G931" s="76"/>
      <c r="H931"/>
    </row>
    <row r="932" spans="1:8" s="77" customFormat="1" ht="23.25" hidden="1" customHeight="1" x14ac:dyDescent="0.25">
      <c r="A932" s="76"/>
      <c r="B932" s="76"/>
      <c r="C932" s="76"/>
      <c r="D932" s="76"/>
      <c r="E932" s="76"/>
      <c r="F932" s="76"/>
      <c r="G932" s="76"/>
      <c r="H932"/>
    </row>
    <row r="933" spans="1:8" s="77" customFormat="1" ht="23.25" hidden="1" customHeight="1" x14ac:dyDescent="0.25">
      <c r="A933" s="76"/>
      <c r="B933" s="76"/>
      <c r="C933" s="76"/>
      <c r="D933" s="76"/>
      <c r="E933" s="76"/>
      <c r="F933" s="76"/>
      <c r="G933" s="76"/>
      <c r="H933"/>
    </row>
    <row r="934" spans="1:8" s="77" customFormat="1" ht="23.25" hidden="1" customHeight="1" x14ac:dyDescent="0.25">
      <c r="A934" s="76"/>
      <c r="B934" s="76"/>
      <c r="C934" s="76"/>
      <c r="D934" s="76"/>
      <c r="E934" s="76"/>
      <c r="F934" s="76"/>
      <c r="G934" s="76"/>
      <c r="H934"/>
    </row>
    <row r="935" spans="1:8" s="77" customFormat="1" ht="23.25" hidden="1" customHeight="1" x14ac:dyDescent="0.25">
      <c r="A935" s="76"/>
      <c r="B935" s="76"/>
      <c r="C935" s="76"/>
      <c r="D935" s="76"/>
      <c r="E935" s="76"/>
      <c r="F935" s="76"/>
      <c r="G935" s="76"/>
      <c r="H935"/>
    </row>
    <row r="936" spans="1:8" s="77" customFormat="1" ht="23.25" hidden="1" customHeight="1" x14ac:dyDescent="0.25">
      <c r="A936" s="76"/>
      <c r="B936" s="76"/>
      <c r="C936" s="76"/>
      <c r="D936" s="76"/>
      <c r="E936" s="76"/>
      <c r="F936" s="76"/>
      <c r="G936" s="76"/>
      <c r="H936"/>
    </row>
    <row r="937" spans="1:8" s="77" customFormat="1" ht="23.25" hidden="1" customHeight="1" x14ac:dyDescent="0.25">
      <c r="A937" s="76"/>
      <c r="B937" s="76"/>
      <c r="C937" s="76"/>
      <c r="D937" s="76"/>
      <c r="E937" s="76"/>
      <c r="F937" s="76"/>
      <c r="G937" s="76"/>
      <c r="H937"/>
    </row>
    <row r="938" spans="1:8" s="77" customFormat="1" ht="23.25" hidden="1" customHeight="1" x14ac:dyDescent="0.25">
      <c r="A938" s="76"/>
      <c r="B938" s="76"/>
      <c r="C938" s="76"/>
      <c r="D938" s="76"/>
      <c r="E938" s="76"/>
      <c r="F938" s="76"/>
      <c r="G938" s="76"/>
      <c r="H938"/>
    </row>
    <row r="939" spans="1:8" s="77" customFormat="1" ht="23.25" hidden="1" customHeight="1" x14ac:dyDescent="0.25">
      <c r="A939" s="76"/>
      <c r="B939" s="76"/>
      <c r="C939" s="76"/>
      <c r="D939" s="76"/>
      <c r="E939" s="76"/>
      <c r="F939" s="76"/>
      <c r="G939" s="76"/>
      <c r="H939"/>
    </row>
    <row r="940" spans="1:8" s="77" customFormat="1" ht="23.25" hidden="1" customHeight="1" x14ac:dyDescent="0.25">
      <c r="A940" s="76"/>
      <c r="B940" s="76"/>
      <c r="C940" s="76"/>
      <c r="D940" s="76"/>
      <c r="E940" s="76"/>
      <c r="F940" s="76"/>
      <c r="G940" s="76"/>
      <c r="H940"/>
    </row>
    <row r="941" spans="1:8" s="77" customFormat="1" ht="23.25" hidden="1" customHeight="1" x14ac:dyDescent="0.25">
      <c r="A941" s="76"/>
      <c r="B941" s="76"/>
      <c r="C941" s="76"/>
      <c r="D941" s="76"/>
      <c r="E941" s="76"/>
      <c r="F941" s="76"/>
      <c r="G941" s="76"/>
      <c r="H941"/>
    </row>
    <row r="942" spans="1:8" s="77" customFormat="1" ht="23.25" hidden="1" customHeight="1" x14ac:dyDescent="0.25">
      <c r="A942" s="76"/>
      <c r="B942" s="76"/>
      <c r="C942" s="76"/>
      <c r="D942" s="76"/>
      <c r="E942" s="76"/>
      <c r="F942" s="76"/>
      <c r="G942" s="76"/>
      <c r="H942"/>
    </row>
    <row r="943" spans="1:8" s="77" customFormat="1" ht="23.25" hidden="1" customHeight="1" x14ac:dyDescent="0.25">
      <c r="A943" s="76"/>
      <c r="B943" s="76"/>
      <c r="C943" s="76"/>
      <c r="D943" s="76"/>
      <c r="E943" s="76"/>
      <c r="F943" s="76"/>
      <c r="G943" s="76"/>
      <c r="H943"/>
    </row>
    <row r="944" spans="1:8" s="77" customFormat="1" ht="23.25" hidden="1" customHeight="1" x14ac:dyDescent="0.25">
      <c r="A944" s="76"/>
      <c r="B944" s="76"/>
      <c r="C944" s="76"/>
      <c r="D944" s="76"/>
      <c r="E944" s="76"/>
      <c r="F944" s="76"/>
      <c r="G944" s="76"/>
      <c r="H944"/>
    </row>
    <row r="945" spans="1:8" s="77" customFormat="1" ht="23.25" hidden="1" customHeight="1" x14ac:dyDescent="0.25">
      <c r="A945" s="76"/>
      <c r="B945" s="76"/>
      <c r="C945" s="76"/>
      <c r="D945" s="76"/>
      <c r="E945" s="76"/>
      <c r="F945" s="76"/>
      <c r="G945" s="76"/>
      <c r="H945"/>
    </row>
    <row r="946" spans="1:8" s="77" customFormat="1" ht="23.25" hidden="1" customHeight="1" x14ac:dyDescent="0.25">
      <c r="A946" s="76"/>
      <c r="B946" s="76"/>
      <c r="C946" s="76"/>
      <c r="D946" s="76"/>
      <c r="E946" s="76"/>
      <c r="F946" s="76"/>
      <c r="G946" s="76"/>
      <c r="H946"/>
    </row>
    <row r="947" spans="1:8" s="77" customFormat="1" ht="23.25" hidden="1" customHeight="1" x14ac:dyDescent="0.25">
      <c r="A947" s="76"/>
      <c r="B947" s="76"/>
      <c r="C947" s="76"/>
      <c r="D947" s="76"/>
      <c r="E947" s="76"/>
      <c r="F947" s="76"/>
      <c r="G947" s="76"/>
      <c r="H947"/>
    </row>
    <row r="948" spans="1:8" s="77" customFormat="1" ht="23.25" hidden="1" customHeight="1" x14ac:dyDescent="0.25">
      <c r="A948" s="76"/>
      <c r="B948" s="76"/>
      <c r="C948" s="76"/>
      <c r="D948" s="76"/>
      <c r="E948" s="76"/>
      <c r="F948" s="76"/>
      <c r="G948" s="76"/>
      <c r="H948"/>
    </row>
    <row r="949" spans="1:8" s="77" customFormat="1" ht="23.25" hidden="1" customHeight="1" x14ac:dyDescent="0.25">
      <c r="A949" s="76"/>
      <c r="B949" s="76"/>
      <c r="C949" s="76"/>
      <c r="D949" s="76"/>
      <c r="E949" s="76"/>
      <c r="F949" s="76"/>
      <c r="G949" s="76"/>
      <c r="H949"/>
    </row>
    <row r="950" spans="1:8" s="77" customFormat="1" ht="23.25" hidden="1" customHeight="1" x14ac:dyDescent="0.25">
      <c r="A950" s="76"/>
      <c r="B950" s="76"/>
      <c r="C950" s="76"/>
      <c r="D950" s="76"/>
      <c r="E950" s="76"/>
      <c r="F950" s="76"/>
      <c r="G950" s="76"/>
      <c r="H950"/>
    </row>
    <row r="951" spans="1:8" s="77" customFormat="1" ht="23.25" hidden="1" customHeight="1" x14ac:dyDescent="0.25">
      <c r="A951" s="76"/>
      <c r="B951" s="76"/>
      <c r="C951" s="76"/>
      <c r="D951" s="76"/>
      <c r="E951" s="76"/>
      <c r="F951" s="76"/>
      <c r="G951" s="76"/>
      <c r="H951"/>
    </row>
    <row r="952" spans="1:8" s="77" customFormat="1" ht="23.25" hidden="1" customHeight="1" x14ac:dyDescent="0.25">
      <c r="A952" s="76"/>
      <c r="B952" s="76"/>
      <c r="C952" s="76"/>
      <c r="D952" s="76"/>
      <c r="E952" s="76"/>
      <c r="F952" s="76"/>
      <c r="G952" s="76"/>
      <c r="H952"/>
    </row>
    <row r="953" spans="1:8" s="77" customFormat="1" ht="23.25" hidden="1" customHeight="1" x14ac:dyDescent="0.25">
      <c r="A953" s="76"/>
      <c r="B953" s="76"/>
      <c r="C953" s="76"/>
      <c r="D953" s="76"/>
      <c r="E953" s="76"/>
      <c r="F953" s="76"/>
      <c r="G953" s="76"/>
      <c r="H953"/>
    </row>
    <row r="954" spans="1:8" s="77" customFormat="1" ht="23.25" hidden="1" customHeight="1" x14ac:dyDescent="0.25">
      <c r="A954" s="76"/>
      <c r="B954" s="76"/>
      <c r="C954" s="76"/>
      <c r="D954" s="76"/>
      <c r="E954" s="76"/>
      <c r="F954" s="76"/>
      <c r="G954" s="76"/>
      <c r="H954"/>
    </row>
    <row r="955" spans="1:8" s="77" customFormat="1" ht="23.25" hidden="1" customHeight="1" x14ac:dyDescent="0.25">
      <c r="A955" s="76"/>
      <c r="B955" s="76"/>
      <c r="C955" s="76"/>
      <c r="D955" s="76"/>
      <c r="E955" s="76"/>
      <c r="F955" s="76"/>
      <c r="G955" s="76"/>
      <c r="H955"/>
    </row>
    <row r="956" spans="1:8" s="77" customFormat="1" ht="23.25" hidden="1" customHeight="1" x14ac:dyDescent="0.25">
      <c r="A956" s="76"/>
      <c r="B956" s="76"/>
      <c r="C956" s="76"/>
      <c r="D956" s="76"/>
      <c r="E956" s="76"/>
      <c r="F956" s="76"/>
      <c r="G956" s="76"/>
      <c r="H956"/>
    </row>
    <row r="957" spans="1:8" s="77" customFormat="1" ht="23.25" hidden="1" customHeight="1" x14ac:dyDescent="0.25">
      <c r="A957" s="76"/>
      <c r="B957" s="76"/>
      <c r="C957" s="76"/>
      <c r="D957" s="76"/>
      <c r="E957" s="76"/>
      <c r="F957" s="76"/>
      <c r="G957" s="76"/>
      <c r="H957"/>
    </row>
    <row r="958" spans="1:8" s="77" customFormat="1" ht="23.25" hidden="1" customHeight="1" x14ac:dyDescent="0.25">
      <c r="A958" s="76"/>
      <c r="B958" s="76"/>
      <c r="C958" s="76"/>
      <c r="D958" s="76"/>
      <c r="E958" s="76"/>
      <c r="F958" s="76"/>
      <c r="G958" s="76"/>
      <c r="H958"/>
    </row>
    <row r="959" spans="1:8" s="77" customFormat="1" ht="23.25" hidden="1" customHeight="1" x14ac:dyDescent="0.25">
      <c r="A959" s="76"/>
      <c r="B959" s="76"/>
      <c r="C959" s="76"/>
      <c r="D959" s="76"/>
      <c r="E959" s="76"/>
      <c r="F959" s="76"/>
      <c r="G959" s="76"/>
      <c r="H959"/>
    </row>
    <row r="960" spans="1:8" s="77" customFormat="1" ht="23.25" hidden="1" customHeight="1" x14ac:dyDescent="0.25">
      <c r="A960" s="76"/>
      <c r="B960" s="76"/>
      <c r="C960" s="76"/>
      <c r="D960" s="76"/>
      <c r="E960" s="76"/>
      <c r="F960" s="76"/>
      <c r="G960" s="76"/>
      <c r="H960"/>
    </row>
    <row r="961" spans="1:8" s="77" customFormat="1" ht="23.25" hidden="1" customHeight="1" x14ac:dyDescent="0.25">
      <c r="A961" s="76"/>
      <c r="B961" s="76"/>
      <c r="C961" s="76"/>
      <c r="D961" s="76"/>
      <c r="E961" s="76"/>
      <c r="F961" s="76"/>
      <c r="G961" s="76"/>
      <c r="H961"/>
    </row>
    <row r="962" spans="1:8" s="77" customFormat="1" ht="23.25" hidden="1" customHeight="1" x14ac:dyDescent="0.25">
      <c r="A962" s="76"/>
      <c r="B962" s="76"/>
      <c r="C962" s="76"/>
      <c r="D962" s="76"/>
      <c r="E962" s="76"/>
      <c r="F962" s="76"/>
      <c r="G962" s="76"/>
      <c r="H962"/>
    </row>
    <row r="963" spans="1:8" s="77" customFormat="1" ht="23.25" hidden="1" customHeight="1" x14ac:dyDescent="0.25">
      <c r="A963" s="76"/>
      <c r="B963" s="76"/>
      <c r="C963" s="76"/>
      <c r="D963" s="76"/>
      <c r="E963" s="76"/>
      <c r="F963" s="76"/>
      <c r="G963" s="76"/>
      <c r="H963"/>
    </row>
    <row r="964" spans="1:8" s="77" customFormat="1" ht="23.25" hidden="1" customHeight="1" x14ac:dyDescent="0.25">
      <c r="A964" s="76"/>
      <c r="B964" s="76"/>
      <c r="C964" s="76"/>
      <c r="D964" s="76"/>
      <c r="E964" s="76"/>
      <c r="F964" s="76"/>
      <c r="G964" s="76"/>
      <c r="H964"/>
    </row>
    <row r="965" spans="1:8" s="77" customFormat="1" ht="23.25" hidden="1" customHeight="1" x14ac:dyDescent="0.25">
      <c r="A965" s="76"/>
      <c r="B965" s="76"/>
      <c r="C965" s="76"/>
      <c r="D965" s="76"/>
      <c r="E965" s="76"/>
      <c r="F965" s="76"/>
      <c r="G965" s="76"/>
      <c r="H965"/>
    </row>
    <row r="966" spans="1:8" s="77" customFormat="1" ht="23.25" hidden="1" customHeight="1" x14ac:dyDescent="0.25">
      <c r="A966" s="76"/>
      <c r="B966" s="76"/>
      <c r="C966" s="76"/>
      <c r="D966" s="76"/>
      <c r="E966" s="76"/>
      <c r="F966" s="76"/>
      <c r="G966" s="76"/>
      <c r="H966"/>
    </row>
    <row r="967" spans="1:8" s="77" customFormat="1" ht="23.25" hidden="1" customHeight="1" x14ac:dyDescent="0.25">
      <c r="A967" s="76"/>
      <c r="B967" s="76"/>
      <c r="C967" s="76"/>
      <c r="D967" s="76"/>
      <c r="E967" s="76"/>
      <c r="F967" s="76"/>
      <c r="G967" s="76"/>
      <c r="H967"/>
    </row>
    <row r="968" spans="1:8" s="77" customFormat="1" ht="23.25" hidden="1" customHeight="1" x14ac:dyDescent="0.25">
      <c r="A968" s="76"/>
      <c r="B968" s="76"/>
      <c r="C968" s="76"/>
      <c r="D968" s="76"/>
      <c r="E968" s="76"/>
      <c r="F968" s="76"/>
      <c r="G968" s="76"/>
      <c r="H968"/>
    </row>
    <row r="969" spans="1:8" s="77" customFormat="1" ht="23.25" hidden="1" customHeight="1" x14ac:dyDescent="0.25">
      <c r="A969" s="76"/>
      <c r="B969" s="76"/>
      <c r="C969" s="76"/>
      <c r="D969" s="76"/>
      <c r="E969" s="76"/>
      <c r="F969" s="76"/>
      <c r="G969" s="76"/>
      <c r="H969"/>
    </row>
    <row r="970" spans="1:8" s="77" customFormat="1" ht="23.25" hidden="1" customHeight="1" x14ac:dyDescent="0.25">
      <c r="A970" s="76"/>
      <c r="B970" s="76"/>
      <c r="C970" s="76"/>
      <c r="D970" s="76"/>
      <c r="E970" s="76"/>
      <c r="F970" s="76"/>
      <c r="G970" s="76"/>
      <c r="H970"/>
    </row>
    <row r="971" spans="1:8" s="77" customFormat="1" ht="23.25" hidden="1" customHeight="1" x14ac:dyDescent="0.25">
      <c r="A971" s="76"/>
      <c r="B971" s="76"/>
      <c r="C971" s="76"/>
      <c r="D971" s="76"/>
      <c r="E971" s="76"/>
      <c r="F971" s="76"/>
      <c r="G971" s="76"/>
      <c r="H971"/>
    </row>
    <row r="972" spans="1:8" s="77" customFormat="1" ht="23.25" hidden="1" customHeight="1" x14ac:dyDescent="0.25">
      <c r="A972" s="76"/>
      <c r="B972" s="76"/>
      <c r="C972" s="76"/>
      <c r="D972" s="76"/>
      <c r="E972" s="76"/>
      <c r="F972" s="76"/>
      <c r="G972" s="76"/>
      <c r="H972"/>
    </row>
    <row r="973" spans="1:8" s="77" customFormat="1" ht="23.25" hidden="1" customHeight="1" x14ac:dyDescent="0.25">
      <c r="A973" s="76"/>
      <c r="B973" s="76"/>
      <c r="C973" s="76"/>
      <c r="D973" s="76"/>
      <c r="E973" s="76"/>
      <c r="F973" s="76"/>
      <c r="G973" s="76"/>
      <c r="H973"/>
    </row>
    <row r="974" spans="1:8" s="77" customFormat="1" ht="23.25" hidden="1" customHeight="1" x14ac:dyDescent="0.25">
      <c r="A974" s="76"/>
      <c r="B974" s="76"/>
      <c r="C974" s="76"/>
      <c r="D974" s="76"/>
      <c r="E974" s="76"/>
      <c r="F974" s="76"/>
      <c r="G974" s="76"/>
      <c r="H974"/>
    </row>
    <row r="975" spans="1:8" s="77" customFormat="1" ht="23.25" hidden="1" customHeight="1" x14ac:dyDescent="0.25">
      <c r="A975" s="76"/>
      <c r="B975" s="76"/>
      <c r="C975" s="76"/>
      <c r="D975" s="76"/>
      <c r="E975" s="76"/>
      <c r="F975" s="76"/>
      <c r="G975" s="76"/>
      <c r="H975"/>
    </row>
    <row r="976" spans="1:8" s="77" customFormat="1" ht="23.25" hidden="1" customHeight="1" x14ac:dyDescent="0.25">
      <c r="A976" s="76"/>
      <c r="B976" s="76"/>
      <c r="C976" s="76"/>
      <c r="D976" s="76"/>
      <c r="E976" s="76"/>
      <c r="F976" s="76"/>
      <c r="G976" s="76"/>
      <c r="H976"/>
    </row>
    <row r="977" spans="1:8" s="77" customFormat="1" ht="23.25" hidden="1" customHeight="1" x14ac:dyDescent="0.25">
      <c r="A977" s="76"/>
      <c r="B977" s="76"/>
      <c r="C977" s="76"/>
      <c r="D977" s="76"/>
      <c r="E977" s="76"/>
      <c r="F977" s="76"/>
      <c r="G977" s="76"/>
      <c r="H977"/>
    </row>
    <row r="978" spans="1:8" s="77" customFormat="1" ht="23.25" hidden="1" customHeight="1" x14ac:dyDescent="0.25">
      <c r="A978" s="76"/>
      <c r="B978" s="76"/>
      <c r="C978" s="76"/>
      <c r="D978" s="76"/>
      <c r="E978" s="76"/>
      <c r="F978" s="76"/>
      <c r="G978" s="76"/>
      <c r="H978"/>
    </row>
    <row r="979" spans="1:8" s="77" customFormat="1" ht="23.25" hidden="1" customHeight="1" x14ac:dyDescent="0.25">
      <c r="A979" s="76"/>
      <c r="B979" s="76"/>
      <c r="C979" s="76"/>
      <c r="D979" s="76"/>
      <c r="E979" s="76"/>
      <c r="F979" s="76"/>
      <c r="G979" s="76"/>
      <c r="H979"/>
    </row>
    <row r="980" spans="1:8" s="77" customFormat="1" ht="23.25" hidden="1" customHeight="1" x14ac:dyDescent="0.25">
      <c r="A980" s="76"/>
      <c r="B980" s="76"/>
      <c r="C980" s="76"/>
      <c r="D980" s="76"/>
      <c r="E980" s="76"/>
      <c r="F980" s="76"/>
      <c r="G980" s="76"/>
      <c r="H980"/>
    </row>
    <row r="981" spans="1:8" s="77" customFormat="1" ht="23.25" hidden="1" customHeight="1" x14ac:dyDescent="0.25">
      <c r="A981" s="76"/>
      <c r="B981" s="76"/>
      <c r="C981" s="76"/>
      <c r="D981" s="76"/>
      <c r="E981" s="76"/>
      <c r="F981" s="76"/>
      <c r="G981" s="76"/>
      <c r="H981"/>
    </row>
    <row r="982" spans="1:8" s="77" customFormat="1" ht="23.25" hidden="1" customHeight="1" x14ac:dyDescent="0.25">
      <c r="A982" s="76"/>
      <c r="B982" s="76"/>
      <c r="C982" s="76"/>
      <c r="D982" s="76"/>
      <c r="E982" s="76"/>
      <c r="F982" s="76"/>
      <c r="G982" s="76"/>
      <c r="H982"/>
    </row>
    <row r="983" spans="1:8" s="77" customFormat="1" ht="23.25" hidden="1" customHeight="1" x14ac:dyDescent="0.25">
      <c r="A983" s="76"/>
      <c r="B983" s="76"/>
      <c r="C983" s="76"/>
      <c r="D983" s="76"/>
      <c r="E983" s="76"/>
      <c r="F983" s="76"/>
      <c r="G983" s="76"/>
      <c r="H983"/>
    </row>
    <row r="984" spans="1:8" s="77" customFormat="1" ht="23.25" hidden="1" customHeight="1" x14ac:dyDescent="0.25">
      <c r="A984" s="76"/>
      <c r="B984" s="76"/>
      <c r="C984" s="76"/>
      <c r="D984" s="76"/>
      <c r="E984" s="76"/>
      <c r="F984" s="76"/>
      <c r="G984" s="76"/>
      <c r="H984"/>
    </row>
    <row r="985" spans="1:8" s="77" customFormat="1" ht="23.25" hidden="1" customHeight="1" x14ac:dyDescent="0.25">
      <c r="A985" s="76"/>
      <c r="B985" s="76"/>
      <c r="C985" s="76"/>
      <c r="D985" s="76"/>
      <c r="E985" s="76"/>
      <c r="F985" s="76"/>
      <c r="G985" s="76"/>
      <c r="H985"/>
    </row>
    <row r="986" spans="1:8" s="77" customFormat="1" ht="23.25" hidden="1" customHeight="1" x14ac:dyDescent="0.25">
      <c r="A986" s="76"/>
      <c r="B986" s="76"/>
      <c r="C986" s="76"/>
      <c r="D986" s="76"/>
      <c r="E986" s="76"/>
      <c r="F986" s="76"/>
      <c r="G986" s="76"/>
      <c r="H986"/>
    </row>
    <row r="987" spans="1:8" s="77" customFormat="1" ht="23.25" hidden="1" customHeight="1" x14ac:dyDescent="0.25">
      <c r="A987" s="76"/>
      <c r="B987" s="76"/>
      <c r="C987" s="76"/>
      <c r="D987" s="76"/>
      <c r="E987" s="76"/>
      <c r="F987" s="76"/>
      <c r="G987" s="76"/>
      <c r="H987"/>
    </row>
    <row r="988" spans="1:8" s="77" customFormat="1" ht="23.25" hidden="1" customHeight="1" x14ac:dyDescent="0.25">
      <c r="A988" s="76"/>
      <c r="B988" s="76"/>
      <c r="C988" s="76"/>
      <c r="D988" s="76"/>
      <c r="E988" s="76"/>
      <c r="F988" s="76"/>
      <c r="G988" s="76"/>
      <c r="H988"/>
    </row>
    <row r="989" spans="1:8" s="77" customFormat="1" ht="23.25" hidden="1" customHeight="1" x14ac:dyDescent="0.25">
      <c r="A989" s="76"/>
      <c r="B989" s="76"/>
      <c r="C989" s="76"/>
      <c r="D989" s="76"/>
      <c r="E989" s="76"/>
      <c r="F989" s="76"/>
      <c r="G989" s="76"/>
      <c r="H989"/>
    </row>
    <row r="990" spans="1:8" s="77" customFormat="1" ht="23.25" hidden="1" customHeight="1" x14ac:dyDescent="0.25">
      <c r="A990" s="76"/>
      <c r="B990" s="76"/>
      <c r="C990" s="76"/>
      <c r="D990" s="76"/>
      <c r="E990" s="76"/>
      <c r="F990" s="76"/>
      <c r="G990" s="76"/>
      <c r="H990"/>
    </row>
    <row r="991" spans="1:8" s="77" customFormat="1" ht="23.25" hidden="1" customHeight="1" x14ac:dyDescent="0.25">
      <c r="A991" s="76"/>
      <c r="B991" s="76"/>
      <c r="C991" s="76"/>
      <c r="D991" s="76"/>
      <c r="E991" s="76"/>
      <c r="F991" s="76"/>
      <c r="G991" s="76"/>
      <c r="H991"/>
    </row>
    <row r="992" spans="1:8" s="77" customFormat="1" ht="23.25" hidden="1" customHeight="1" x14ac:dyDescent="0.25">
      <c r="A992" s="76"/>
      <c r="B992" s="76"/>
      <c r="C992" s="76"/>
      <c r="D992" s="76"/>
      <c r="E992" s="76"/>
      <c r="F992" s="76"/>
      <c r="G992" s="76"/>
      <c r="H992"/>
    </row>
    <row r="993" spans="1:8" s="77" customFormat="1" ht="23.25" hidden="1" customHeight="1" x14ac:dyDescent="0.25">
      <c r="A993" s="76"/>
      <c r="B993" s="76"/>
      <c r="C993" s="76"/>
      <c r="D993" s="76"/>
      <c r="E993" s="76"/>
      <c r="F993" s="76"/>
      <c r="G993" s="76"/>
      <c r="H993"/>
    </row>
    <row r="994" spans="1:8" s="77" customFormat="1" ht="23.25" hidden="1" customHeight="1" x14ac:dyDescent="0.25">
      <c r="A994" s="76"/>
      <c r="B994" s="76"/>
      <c r="C994" s="76"/>
      <c r="D994" s="76"/>
      <c r="E994" s="76"/>
      <c r="F994" s="76"/>
      <c r="G994" s="76"/>
      <c r="H994"/>
    </row>
    <row r="995" spans="1:8" s="77" customFormat="1" ht="23.25" hidden="1" customHeight="1" x14ac:dyDescent="0.25">
      <c r="A995" s="76"/>
      <c r="B995" s="76"/>
      <c r="C995" s="76"/>
      <c r="D995" s="76"/>
      <c r="E995" s="76"/>
      <c r="F995" s="76"/>
      <c r="G995" s="76"/>
      <c r="H995"/>
    </row>
    <row r="996" spans="1:8" s="77" customFormat="1" ht="23.25" hidden="1" customHeight="1" x14ac:dyDescent="0.25">
      <c r="A996" s="76"/>
      <c r="B996" s="76"/>
      <c r="C996" s="76"/>
      <c r="D996" s="76"/>
      <c r="E996" s="76"/>
      <c r="F996" s="76"/>
      <c r="G996" s="76"/>
      <c r="H996"/>
    </row>
    <row r="997" spans="1:8" s="77" customFormat="1" ht="23.25" hidden="1" customHeight="1" x14ac:dyDescent="0.25">
      <c r="A997" s="76"/>
      <c r="B997" s="76"/>
      <c r="C997" s="76"/>
      <c r="D997" s="76"/>
      <c r="E997" s="76"/>
      <c r="F997" s="76"/>
      <c r="G997" s="76"/>
      <c r="H997"/>
    </row>
    <row r="998" spans="1:8" s="77" customFormat="1" ht="23.25" hidden="1" customHeight="1" x14ac:dyDescent="0.25">
      <c r="A998" s="76"/>
      <c r="B998" s="76"/>
      <c r="C998" s="76"/>
      <c r="D998" s="76"/>
      <c r="E998" s="76"/>
      <c r="F998" s="76"/>
      <c r="G998" s="76"/>
      <c r="H998"/>
    </row>
    <row r="999" spans="1:8" s="77" customFormat="1" ht="23.25" hidden="1" customHeight="1" x14ac:dyDescent="0.25">
      <c r="A999" s="76"/>
      <c r="B999" s="76"/>
      <c r="C999" s="76"/>
      <c r="D999" s="76"/>
      <c r="E999" s="76"/>
      <c r="F999" s="76"/>
      <c r="G999" s="76"/>
      <c r="H999"/>
    </row>
    <row r="1000" spans="1:8" s="77" customFormat="1" ht="23.25" hidden="1" customHeight="1" x14ac:dyDescent="0.25">
      <c r="A1000" s="76"/>
      <c r="B1000" s="76"/>
      <c r="C1000" s="76"/>
      <c r="D1000" s="76"/>
      <c r="E1000" s="76"/>
      <c r="F1000" s="76"/>
      <c r="G1000" s="76"/>
      <c r="H1000"/>
    </row>
    <row r="1001" spans="1:8" s="77" customFormat="1" ht="23.25" hidden="1" customHeight="1" x14ac:dyDescent="0.25">
      <c r="A1001" s="76"/>
      <c r="B1001" s="76"/>
      <c r="C1001" s="76"/>
      <c r="D1001" s="76"/>
      <c r="E1001" s="76"/>
      <c r="F1001" s="76"/>
      <c r="G1001" s="76"/>
      <c r="H1001"/>
    </row>
    <row r="1002" spans="1:8" s="77" customFormat="1" ht="23.25" hidden="1" customHeight="1" x14ac:dyDescent="0.25">
      <c r="A1002" s="76"/>
      <c r="B1002" s="76"/>
      <c r="C1002" s="76"/>
      <c r="D1002" s="76"/>
      <c r="E1002" s="76"/>
      <c r="F1002" s="76"/>
      <c r="G1002" s="76"/>
      <c r="H1002"/>
    </row>
    <row r="1003" spans="1:8" s="77" customFormat="1" ht="23.25" hidden="1" customHeight="1" x14ac:dyDescent="0.25">
      <c r="A1003" s="76"/>
      <c r="B1003" s="76"/>
      <c r="C1003" s="76"/>
      <c r="D1003" s="76"/>
      <c r="E1003" s="76"/>
      <c r="F1003" s="76"/>
      <c r="G1003" s="76"/>
      <c r="H1003"/>
    </row>
    <row r="1004" spans="1:8" s="77" customFormat="1" ht="23.25" hidden="1" customHeight="1" x14ac:dyDescent="0.25">
      <c r="A1004" s="76"/>
      <c r="B1004" s="76"/>
      <c r="C1004" s="76"/>
      <c r="D1004" s="76"/>
      <c r="E1004" s="76"/>
      <c r="F1004" s="76"/>
      <c r="G1004" s="76"/>
      <c r="H1004"/>
    </row>
    <row r="1005" spans="1:8" s="77" customFormat="1" ht="23.25" hidden="1" customHeight="1" x14ac:dyDescent="0.25">
      <c r="A1005" s="76"/>
      <c r="B1005" s="76"/>
      <c r="C1005" s="76"/>
      <c r="D1005" s="76"/>
      <c r="E1005" s="76"/>
      <c r="F1005" s="76"/>
      <c r="G1005" s="76"/>
      <c r="H1005"/>
    </row>
    <row r="1006" spans="1:8" s="77" customFormat="1" ht="23.25" hidden="1" customHeight="1" x14ac:dyDescent="0.25">
      <c r="A1006" s="76"/>
      <c r="B1006" s="76"/>
      <c r="C1006" s="76"/>
      <c r="D1006" s="76"/>
      <c r="E1006" s="76"/>
      <c r="F1006" s="76"/>
      <c r="G1006" s="76"/>
      <c r="H1006"/>
    </row>
    <row r="1007" spans="1:8" s="77" customFormat="1" ht="23.25" hidden="1" customHeight="1" x14ac:dyDescent="0.25">
      <c r="A1007" s="76"/>
      <c r="B1007" s="76"/>
      <c r="C1007" s="76"/>
      <c r="D1007" s="76"/>
      <c r="E1007" s="76"/>
      <c r="F1007" s="76"/>
      <c r="G1007" s="76"/>
      <c r="H1007"/>
    </row>
    <row r="1008" spans="1:8" s="77" customFormat="1" ht="23.25" hidden="1" customHeight="1" x14ac:dyDescent="0.25">
      <c r="A1008" s="76"/>
      <c r="B1008" s="76"/>
      <c r="C1008" s="76"/>
      <c r="D1008" s="76"/>
      <c r="E1008" s="76"/>
      <c r="F1008" s="76"/>
      <c r="G1008" s="76"/>
      <c r="H1008"/>
    </row>
    <row r="1009" spans="1:8" s="77" customFormat="1" ht="23.25" hidden="1" customHeight="1" x14ac:dyDescent="0.25">
      <c r="A1009" s="76"/>
      <c r="B1009" s="76"/>
      <c r="C1009" s="76"/>
      <c r="D1009" s="76"/>
      <c r="E1009" s="76"/>
      <c r="F1009" s="76"/>
      <c r="G1009" s="76"/>
      <c r="H1009"/>
    </row>
    <row r="1010" spans="1:8" s="77" customFormat="1" ht="23.25" hidden="1" customHeight="1" x14ac:dyDescent="0.25">
      <c r="A1010" s="76"/>
      <c r="B1010" s="76"/>
      <c r="C1010" s="76"/>
      <c r="D1010" s="76"/>
      <c r="E1010" s="76"/>
      <c r="F1010" s="76"/>
      <c r="G1010" s="76"/>
      <c r="H1010"/>
    </row>
    <row r="1011" spans="1:8" s="77" customFormat="1" ht="23.25" hidden="1" customHeight="1" x14ac:dyDescent="0.25">
      <c r="A1011" s="76"/>
      <c r="B1011" s="76"/>
      <c r="C1011" s="76"/>
      <c r="D1011" s="76"/>
      <c r="E1011" s="76"/>
      <c r="F1011" s="76"/>
      <c r="G1011" s="76"/>
      <c r="H1011"/>
    </row>
    <row r="1012" spans="1:8" s="77" customFormat="1" ht="23.25" hidden="1" customHeight="1" x14ac:dyDescent="0.25">
      <c r="A1012" s="76"/>
      <c r="B1012" s="76"/>
      <c r="C1012" s="76"/>
      <c r="D1012" s="76"/>
      <c r="E1012" s="76"/>
      <c r="F1012" s="76"/>
      <c r="G1012" s="76"/>
      <c r="H1012"/>
    </row>
    <row r="1013" spans="1:8" s="77" customFormat="1" ht="23.25" hidden="1" customHeight="1" x14ac:dyDescent="0.25">
      <c r="A1013" s="76"/>
      <c r="B1013" s="76"/>
      <c r="C1013" s="76"/>
      <c r="D1013" s="76"/>
      <c r="E1013" s="76"/>
      <c r="F1013" s="76"/>
      <c r="G1013" s="76"/>
      <c r="H1013"/>
    </row>
    <row r="1014" spans="1:8" s="77" customFormat="1" ht="23.25" hidden="1" customHeight="1" x14ac:dyDescent="0.25">
      <c r="A1014" s="76"/>
      <c r="B1014" s="76"/>
      <c r="C1014" s="76"/>
      <c r="D1014" s="76"/>
      <c r="E1014" s="76"/>
      <c r="F1014" s="76"/>
      <c r="G1014" s="76"/>
      <c r="H1014"/>
    </row>
    <row r="1015" spans="1:8" s="77" customFormat="1" ht="23.25" hidden="1" customHeight="1" x14ac:dyDescent="0.25">
      <c r="A1015" s="76"/>
      <c r="B1015" s="76"/>
      <c r="C1015" s="76"/>
      <c r="D1015" s="76"/>
      <c r="E1015" s="76"/>
      <c r="F1015" s="76"/>
      <c r="G1015" s="76"/>
      <c r="H1015"/>
    </row>
    <row r="1016" spans="1:8" s="77" customFormat="1" ht="23.25" hidden="1" customHeight="1" x14ac:dyDescent="0.25">
      <c r="A1016" s="76"/>
      <c r="B1016" s="76"/>
      <c r="C1016" s="76"/>
      <c r="D1016" s="76"/>
      <c r="E1016" s="76"/>
      <c r="F1016" s="76"/>
      <c r="G1016" s="76"/>
      <c r="H1016"/>
    </row>
    <row r="1017" spans="1:8" s="77" customFormat="1" ht="23.25" hidden="1" customHeight="1" x14ac:dyDescent="0.25">
      <c r="A1017" s="76"/>
      <c r="B1017" s="76"/>
      <c r="C1017" s="76"/>
      <c r="D1017" s="76"/>
      <c r="E1017" s="76"/>
      <c r="F1017" s="76"/>
      <c r="G1017" s="76"/>
      <c r="H1017"/>
    </row>
    <row r="1018" spans="1:8" s="77" customFormat="1" ht="23.25" hidden="1" customHeight="1" x14ac:dyDescent="0.25">
      <c r="A1018" s="76"/>
      <c r="B1018" s="76"/>
      <c r="C1018" s="76"/>
      <c r="D1018" s="76"/>
      <c r="E1018" s="76"/>
      <c r="F1018" s="76"/>
      <c r="G1018" s="76"/>
      <c r="H1018"/>
    </row>
    <row r="1019" spans="1:8" s="77" customFormat="1" ht="23.25" hidden="1" customHeight="1" x14ac:dyDescent="0.25">
      <c r="A1019" s="76"/>
      <c r="B1019" s="76"/>
      <c r="C1019" s="76"/>
      <c r="D1019" s="76"/>
      <c r="E1019" s="76"/>
      <c r="F1019" s="76"/>
      <c r="G1019" s="76"/>
      <c r="H1019"/>
    </row>
    <row r="1020" spans="1:8" s="77" customFormat="1" ht="23.25" hidden="1" customHeight="1" x14ac:dyDescent="0.25">
      <c r="A1020" s="76"/>
      <c r="B1020" s="76"/>
      <c r="C1020" s="76"/>
      <c r="D1020" s="76"/>
      <c r="E1020" s="76"/>
      <c r="F1020" s="76"/>
      <c r="G1020" s="76"/>
      <c r="H1020"/>
    </row>
    <row r="1021" spans="1:8" s="77" customFormat="1" ht="23.25" hidden="1" customHeight="1" x14ac:dyDescent="0.25">
      <c r="A1021" s="76"/>
      <c r="B1021" s="76"/>
      <c r="C1021" s="76"/>
      <c r="D1021" s="76"/>
      <c r="E1021" s="76"/>
      <c r="F1021" s="76"/>
      <c r="G1021" s="76"/>
      <c r="H1021"/>
    </row>
    <row r="1022" spans="1:8" s="77" customFormat="1" ht="23.25" hidden="1" customHeight="1" x14ac:dyDescent="0.25">
      <c r="A1022" s="76"/>
      <c r="B1022" s="76"/>
      <c r="C1022" s="76"/>
      <c r="D1022" s="76"/>
      <c r="E1022" s="76"/>
      <c r="F1022" s="76"/>
      <c r="G1022" s="76"/>
      <c r="H1022"/>
    </row>
    <row r="1023" spans="1:8" s="77" customFormat="1" ht="23.25" hidden="1" customHeight="1" x14ac:dyDescent="0.25">
      <c r="A1023" s="76"/>
      <c r="B1023" s="76"/>
      <c r="C1023" s="76"/>
      <c r="D1023" s="76"/>
      <c r="E1023" s="76"/>
      <c r="F1023" s="76"/>
      <c r="G1023" s="76"/>
      <c r="H1023"/>
    </row>
    <row r="1024" spans="1:8" s="77" customFormat="1" ht="23.25" hidden="1" customHeight="1" x14ac:dyDescent="0.25">
      <c r="A1024" s="76"/>
      <c r="B1024" s="76"/>
      <c r="C1024" s="76"/>
      <c r="D1024" s="76"/>
      <c r="E1024" s="76"/>
      <c r="F1024" s="76"/>
      <c r="G1024" s="76"/>
      <c r="H1024"/>
    </row>
    <row r="1025" spans="1:8" s="77" customFormat="1" ht="23.25" hidden="1" customHeight="1" x14ac:dyDescent="0.25">
      <c r="A1025" s="76"/>
      <c r="B1025" s="76"/>
      <c r="C1025" s="76"/>
      <c r="D1025" s="76"/>
      <c r="E1025" s="76"/>
      <c r="F1025" s="76"/>
      <c r="G1025" s="76"/>
      <c r="H1025"/>
    </row>
    <row r="1026" spans="1:8" s="77" customFormat="1" ht="23.25" hidden="1" customHeight="1" x14ac:dyDescent="0.25">
      <c r="A1026" s="76"/>
      <c r="B1026" s="76"/>
      <c r="C1026" s="76"/>
      <c r="D1026" s="76"/>
      <c r="E1026" s="76"/>
      <c r="F1026" s="76"/>
      <c r="G1026" s="76"/>
      <c r="H1026"/>
    </row>
    <row r="1027" spans="1:8" s="77" customFormat="1" ht="23.25" hidden="1" customHeight="1" x14ac:dyDescent="0.25">
      <c r="A1027" s="76"/>
      <c r="B1027" s="76"/>
      <c r="C1027" s="76"/>
      <c r="D1027" s="76"/>
      <c r="E1027" s="76"/>
      <c r="F1027" s="76"/>
      <c r="G1027" s="76"/>
      <c r="H1027"/>
    </row>
    <row r="1028" spans="1:8" s="77" customFormat="1" ht="23.25" hidden="1" customHeight="1" x14ac:dyDescent="0.25">
      <c r="A1028" s="76"/>
      <c r="B1028" s="76"/>
      <c r="C1028" s="76"/>
      <c r="D1028" s="76"/>
      <c r="E1028" s="76"/>
      <c r="F1028" s="76"/>
      <c r="G1028" s="76"/>
      <c r="H1028"/>
    </row>
    <row r="1029" spans="1:8" s="77" customFormat="1" ht="23.25" hidden="1" customHeight="1" x14ac:dyDescent="0.25">
      <c r="A1029" s="76"/>
      <c r="B1029" s="76"/>
      <c r="C1029" s="76"/>
      <c r="D1029" s="76"/>
      <c r="E1029" s="76"/>
      <c r="F1029" s="76"/>
      <c r="G1029" s="76"/>
      <c r="H1029"/>
    </row>
    <row r="1030" spans="1:8" s="77" customFormat="1" ht="23.25" hidden="1" customHeight="1" x14ac:dyDescent="0.25">
      <c r="A1030" s="76"/>
      <c r="B1030" s="76"/>
      <c r="C1030" s="76"/>
      <c r="D1030" s="76"/>
      <c r="E1030" s="76"/>
      <c r="F1030" s="76"/>
      <c r="G1030" s="76"/>
      <c r="H1030"/>
    </row>
    <row r="1031" spans="1:8" s="77" customFormat="1" ht="23.25" hidden="1" customHeight="1" x14ac:dyDescent="0.25">
      <c r="A1031" s="76"/>
      <c r="B1031" s="76"/>
      <c r="C1031" s="76"/>
      <c r="D1031" s="76"/>
      <c r="E1031" s="76"/>
      <c r="F1031" s="76"/>
      <c r="G1031" s="76"/>
      <c r="H1031"/>
    </row>
    <row r="1032" spans="1:8" s="77" customFormat="1" ht="23.25" hidden="1" customHeight="1" x14ac:dyDescent="0.25">
      <c r="A1032" s="76"/>
      <c r="B1032" s="76"/>
      <c r="C1032" s="76"/>
      <c r="D1032" s="76"/>
      <c r="E1032" s="76"/>
      <c r="F1032" s="76"/>
      <c r="G1032" s="76"/>
      <c r="H1032"/>
    </row>
    <row r="1033" spans="1:8" s="77" customFormat="1" ht="23.25" hidden="1" customHeight="1" x14ac:dyDescent="0.25">
      <c r="A1033" s="76"/>
      <c r="B1033" s="76"/>
      <c r="C1033" s="76"/>
      <c r="D1033" s="76"/>
      <c r="E1033" s="76"/>
      <c r="F1033" s="76"/>
      <c r="G1033" s="76"/>
      <c r="H1033"/>
    </row>
    <row r="1034" spans="1:8" s="77" customFormat="1" ht="23.25" hidden="1" customHeight="1" x14ac:dyDescent="0.25">
      <c r="A1034" s="76"/>
      <c r="B1034" s="76"/>
      <c r="C1034" s="76"/>
      <c r="D1034" s="76"/>
      <c r="E1034" s="76"/>
      <c r="F1034" s="76"/>
      <c r="G1034" s="76"/>
      <c r="H1034"/>
    </row>
    <row r="1035" spans="1:8" s="77" customFormat="1" ht="23.25" hidden="1" customHeight="1" x14ac:dyDescent="0.25">
      <c r="A1035" s="76"/>
      <c r="B1035" s="76"/>
      <c r="C1035" s="76"/>
      <c r="D1035" s="76"/>
      <c r="E1035" s="76"/>
      <c r="F1035" s="76"/>
      <c r="G1035" s="76"/>
      <c r="H1035"/>
    </row>
    <row r="1036" spans="1:8" s="77" customFormat="1" ht="23.25" hidden="1" customHeight="1" x14ac:dyDescent="0.25">
      <c r="A1036" s="76"/>
      <c r="B1036" s="76"/>
      <c r="C1036" s="76"/>
      <c r="D1036" s="76"/>
      <c r="E1036" s="76"/>
      <c r="F1036" s="76"/>
      <c r="G1036" s="76"/>
      <c r="H1036"/>
    </row>
    <row r="1037" spans="1:8" s="77" customFormat="1" ht="23.25" hidden="1" customHeight="1" x14ac:dyDescent="0.25">
      <c r="A1037" s="76"/>
      <c r="B1037" s="76"/>
      <c r="C1037" s="76"/>
      <c r="D1037" s="76"/>
      <c r="E1037" s="76"/>
      <c r="F1037" s="76"/>
      <c r="G1037" s="76"/>
      <c r="H1037"/>
    </row>
    <row r="1038" spans="1:8" s="77" customFormat="1" ht="23.25" hidden="1" customHeight="1" x14ac:dyDescent="0.25">
      <c r="A1038" s="76"/>
      <c r="B1038" s="76"/>
      <c r="C1038" s="76"/>
      <c r="D1038" s="76"/>
      <c r="E1038" s="76"/>
      <c r="F1038" s="76"/>
      <c r="G1038" s="76"/>
      <c r="H1038"/>
    </row>
    <row r="1039" spans="1:8" s="77" customFormat="1" ht="23.25" hidden="1" customHeight="1" x14ac:dyDescent="0.25">
      <c r="A1039" s="76"/>
      <c r="B1039" s="76"/>
      <c r="C1039" s="76"/>
      <c r="D1039" s="76"/>
      <c r="E1039" s="76"/>
      <c r="F1039" s="76"/>
      <c r="G1039" s="76"/>
      <c r="H1039"/>
    </row>
    <row r="1040" spans="1:8" s="77" customFormat="1" ht="23.25" hidden="1" customHeight="1" x14ac:dyDescent="0.25">
      <c r="A1040" s="76"/>
      <c r="B1040" s="76"/>
      <c r="C1040" s="76"/>
      <c r="D1040" s="76"/>
      <c r="E1040" s="76"/>
      <c r="F1040" s="76"/>
      <c r="G1040" s="76"/>
      <c r="H1040"/>
    </row>
    <row r="1041" spans="1:8" s="77" customFormat="1" ht="23.25" hidden="1" customHeight="1" x14ac:dyDescent="0.25">
      <c r="A1041" s="76"/>
      <c r="B1041" s="76"/>
      <c r="C1041" s="76"/>
      <c r="D1041" s="76"/>
      <c r="E1041" s="76"/>
      <c r="F1041" s="76"/>
      <c r="G1041" s="76"/>
      <c r="H1041"/>
    </row>
    <row r="1042" spans="1:8" s="77" customFormat="1" ht="23.25" hidden="1" customHeight="1" x14ac:dyDescent="0.25">
      <c r="A1042" s="76"/>
      <c r="B1042" s="76"/>
      <c r="C1042" s="76"/>
      <c r="D1042" s="76"/>
      <c r="E1042" s="76"/>
      <c r="F1042" s="76"/>
      <c r="G1042" s="76"/>
      <c r="H1042"/>
    </row>
    <row r="1043" spans="1:8" s="77" customFormat="1" ht="23.25" hidden="1" customHeight="1" x14ac:dyDescent="0.25">
      <c r="A1043" s="76"/>
      <c r="B1043" s="76"/>
      <c r="C1043" s="76"/>
      <c r="D1043" s="76"/>
      <c r="E1043" s="76"/>
      <c r="F1043" s="76"/>
      <c r="G1043" s="76"/>
      <c r="H1043"/>
    </row>
    <row r="1044" spans="1:8" s="77" customFormat="1" ht="23.25" hidden="1" customHeight="1" x14ac:dyDescent="0.25">
      <c r="A1044" s="76"/>
      <c r="B1044" s="76"/>
      <c r="C1044" s="76"/>
      <c r="D1044" s="76"/>
      <c r="E1044" s="76"/>
      <c r="F1044" s="76"/>
      <c r="G1044" s="76"/>
      <c r="H1044"/>
    </row>
    <row r="1045" spans="1:8" s="77" customFormat="1" ht="23.25" hidden="1" customHeight="1" x14ac:dyDescent="0.25">
      <c r="A1045" s="76"/>
      <c r="B1045" s="76"/>
      <c r="C1045" s="76"/>
      <c r="D1045" s="76"/>
      <c r="E1045" s="76"/>
      <c r="F1045" s="76"/>
      <c r="G1045" s="76"/>
      <c r="H1045"/>
    </row>
    <row r="1046" spans="1:8" s="77" customFormat="1" ht="23.25" hidden="1" customHeight="1" x14ac:dyDescent="0.25">
      <c r="A1046" s="76"/>
      <c r="B1046" s="76"/>
      <c r="C1046" s="76"/>
      <c r="D1046" s="76"/>
      <c r="E1046" s="76"/>
      <c r="F1046" s="76"/>
      <c r="G1046" s="76"/>
      <c r="H1046"/>
    </row>
    <row r="1047" spans="1:8" s="77" customFormat="1" ht="23.25" hidden="1" customHeight="1" x14ac:dyDescent="0.25">
      <c r="A1047" s="76"/>
      <c r="B1047" s="76"/>
      <c r="C1047" s="76"/>
      <c r="D1047" s="76"/>
      <c r="E1047" s="76"/>
      <c r="F1047" s="76"/>
      <c r="G1047" s="76"/>
      <c r="H1047"/>
    </row>
    <row r="1048" spans="1:8" s="77" customFormat="1" ht="23.25" hidden="1" customHeight="1" x14ac:dyDescent="0.25">
      <c r="A1048" s="76"/>
      <c r="B1048" s="76"/>
      <c r="C1048" s="76"/>
      <c r="D1048" s="76"/>
      <c r="E1048" s="76"/>
      <c r="F1048" s="76"/>
      <c r="G1048" s="76"/>
      <c r="H1048"/>
    </row>
    <row r="1049" spans="1:8" s="77" customFormat="1" ht="23.25" hidden="1" customHeight="1" x14ac:dyDescent="0.25">
      <c r="A1049" s="76"/>
      <c r="B1049" s="76"/>
      <c r="C1049" s="76"/>
      <c r="D1049" s="76"/>
      <c r="E1049" s="76"/>
      <c r="F1049" s="76"/>
      <c r="G1049" s="76"/>
      <c r="H1049"/>
    </row>
    <row r="1050" spans="1:8" s="77" customFormat="1" ht="23.25" hidden="1" customHeight="1" x14ac:dyDescent="0.25">
      <c r="A1050" s="76"/>
      <c r="B1050" s="76"/>
      <c r="C1050" s="76"/>
      <c r="D1050" s="76"/>
      <c r="E1050" s="76"/>
      <c r="F1050" s="76"/>
      <c r="G1050" s="76"/>
      <c r="H1050"/>
    </row>
    <row r="1051" spans="1:8" s="77" customFormat="1" ht="23.25" hidden="1" customHeight="1" x14ac:dyDescent="0.25">
      <c r="A1051" s="76"/>
      <c r="B1051" s="76"/>
      <c r="C1051" s="76"/>
      <c r="D1051" s="76"/>
      <c r="E1051" s="76"/>
      <c r="F1051" s="76"/>
      <c r="G1051" s="76"/>
      <c r="H1051"/>
    </row>
    <row r="1052" spans="1:8" s="77" customFormat="1" ht="23.25" hidden="1" customHeight="1" x14ac:dyDescent="0.25">
      <c r="A1052" s="76"/>
      <c r="B1052" s="76"/>
      <c r="C1052" s="76"/>
      <c r="D1052" s="76"/>
      <c r="E1052" s="76"/>
      <c r="F1052" s="76"/>
      <c r="G1052" s="76"/>
      <c r="H1052"/>
    </row>
    <row r="1053" spans="1:8" s="77" customFormat="1" ht="23.25" hidden="1" customHeight="1" x14ac:dyDescent="0.25">
      <c r="A1053" s="76"/>
      <c r="B1053" s="76"/>
      <c r="C1053" s="76"/>
      <c r="D1053" s="76"/>
      <c r="E1053" s="76"/>
      <c r="F1053" s="76"/>
      <c r="G1053" s="76"/>
      <c r="H1053"/>
    </row>
    <row r="1054" spans="1:8" s="77" customFormat="1" ht="23.25" hidden="1" customHeight="1" x14ac:dyDescent="0.25">
      <c r="A1054" s="76"/>
      <c r="B1054" s="76"/>
      <c r="C1054" s="76"/>
      <c r="D1054" s="76"/>
      <c r="E1054" s="76"/>
      <c r="F1054" s="76"/>
      <c r="G1054" s="76"/>
      <c r="H1054"/>
    </row>
    <row r="1055" spans="1:8" s="77" customFormat="1" ht="23.25" hidden="1" customHeight="1" x14ac:dyDescent="0.25">
      <c r="A1055" s="76"/>
      <c r="B1055" s="76"/>
      <c r="C1055" s="76"/>
      <c r="D1055" s="76"/>
      <c r="E1055" s="76"/>
      <c r="F1055" s="76"/>
      <c r="G1055" s="76"/>
      <c r="H1055"/>
    </row>
    <row r="1056" spans="1:8" s="77" customFormat="1" ht="23.25" hidden="1" customHeight="1" x14ac:dyDescent="0.25">
      <c r="A1056" s="76"/>
      <c r="B1056" s="76"/>
      <c r="C1056" s="76"/>
      <c r="D1056" s="76"/>
      <c r="E1056" s="76"/>
      <c r="F1056" s="76"/>
      <c r="G1056" s="76"/>
      <c r="H1056"/>
    </row>
    <row r="1057" spans="1:8" s="77" customFormat="1" ht="23.25" hidden="1" customHeight="1" x14ac:dyDescent="0.25">
      <c r="A1057" s="76"/>
      <c r="B1057" s="76"/>
      <c r="C1057" s="76"/>
      <c r="D1057" s="76"/>
      <c r="E1057" s="76"/>
      <c r="F1057" s="76"/>
      <c r="G1057" s="76"/>
      <c r="H1057"/>
    </row>
    <row r="1058" spans="1:8" s="77" customFormat="1" ht="23.25" hidden="1" customHeight="1" x14ac:dyDescent="0.25">
      <c r="A1058" s="76"/>
      <c r="B1058" s="76"/>
      <c r="C1058" s="76"/>
      <c r="D1058" s="76"/>
      <c r="E1058" s="76"/>
      <c r="F1058" s="76"/>
      <c r="G1058" s="76"/>
      <c r="H1058"/>
    </row>
    <row r="1059" spans="1:8" s="77" customFormat="1" ht="23.25" hidden="1" customHeight="1" x14ac:dyDescent="0.25">
      <c r="A1059" s="76"/>
      <c r="B1059" s="76"/>
      <c r="C1059" s="76"/>
      <c r="D1059" s="76"/>
      <c r="E1059" s="76"/>
      <c r="F1059" s="76"/>
      <c r="G1059" s="76"/>
      <c r="H1059"/>
    </row>
    <row r="1060" spans="1:8" s="77" customFormat="1" ht="23.25" hidden="1" customHeight="1" x14ac:dyDescent="0.25">
      <c r="A1060" s="76"/>
      <c r="B1060" s="76"/>
      <c r="C1060" s="76"/>
      <c r="D1060" s="76"/>
      <c r="E1060" s="76"/>
      <c r="F1060" s="76"/>
      <c r="G1060" s="76"/>
      <c r="H1060"/>
    </row>
    <row r="1061" spans="1:8" s="77" customFormat="1" ht="23.25" hidden="1" customHeight="1" x14ac:dyDescent="0.25">
      <c r="A1061" s="76"/>
      <c r="B1061" s="76"/>
      <c r="C1061" s="76"/>
      <c r="D1061" s="76"/>
      <c r="E1061" s="76"/>
      <c r="F1061" s="76"/>
      <c r="G1061" s="76"/>
      <c r="H1061"/>
    </row>
    <row r="1062" spans="1:8" s="77" customFormat="1" ht="23.25" hidden="1" customHeight="1" x14ac:dyDescent="0.25">
      <c r="A1062" s="76"/>
      <c r="B1062" s="76"/>
      <c r="C1062" s="76"/>
      <c r="D1062" s="76"/>
      <c r="E1062" s="76"/>
      <c r="F1062" s="76"/>
      <c r="G1062" s="76"/>
      <c r="H1062"/>
    </row>
    <row r="1063" spans="1:8" s="77" customFormat="1" ht="23.25" hidden="1" customHeight="1" x14ac:dyDescent="0.25">
      <c r="A1063" s="76"/>
      <c r="B1063" s="76"/>
      <c r="C1063" s="76"/>
      <c r="D1063" s="76"/>
      <c r="E1063" s="76"/>
      <c r="F1063" s="76"/>
      <c r="G1063" s="76"/>
      <c r="H1063"/>
    </row>
    <row r="1064" spans="1:8" s="77" customFormat="1" ht="23.25" hidden="1" customHeight="1" x14ac:dyDescent="0.25">
      <c r="A1064" s="76"/>
      <c r="B1064" s="76"/>
      <c r="C1064" s="76"/>
      <c r="D1064" s="76"/>
      <c r="E1064" s="76"/>
      <c r="F1064" s="76"/>
      <c r="G1064" s="76"/>
      <c r="H1064"/>
    </row>
    <row r="1065" spans="1:8" s="77" customFormat="1" ht="23.25" hidden="1" customHeight="1" x14ac:dyDescent="0.25">
      <c r="A1065" s="76"/>
      <c r="B1065" s="76"/>
      <c r="C1065" s="76"/>
      <c r="D1065" s="76"/>
      <c r="E1065" s="76"/>
      <c r="F1065" s="76"/>
      <c r="G1065" s="76"/>
      <c r="H1065"/>
    </row>
    <row r="1066" spans="1:8" s="77" customFormat="1" ht="23.25" hidden="1" customHeight="1" x14ac:dyDescent="0.25">
      <c r="A1066" s="76"/>
      <c r="B1066" s="76"/>
      <c r="C1066" s="76"/>
      <c r="D1066" s="76"/>
      <c r="E1066" s="76"/>
      <c r="F1066" s="76"/>
      <c r="G1066" s="76"/>
      <c r="H1066"/>
    </row>
    <row r="1067" spans="1:8" s="77" customFormat="1" ht="23.25" hidden="1" customHeight="1" x14ac:dyDescent="0.25">
      <c r="A1067" s="76"/>
      <c r="B1067" s="76"/>
      <c r="C1067" s="76"/>
      <c r="D1067" s="76"/>
      <c r="E1067" s="76"/>
      <c r="F1067" s="76"/>
      <c r="G1067" s="76"/>
      <c r="H1067"/>
    </row>
    <row r="1068" spans="1:8" s="77" customFormat="1" ht="23.25" hidden="1" customHeight="1" x14ac:dyDescent="0.25">
      <c r="A1068" s="76"/>
      <c r="B1068" s="76"/>
      <c r="C1068" s="76"/>
      <c r="D1068" s="76"/>
      <c r="E1068" s="76"/>
      <c r="F1068" s="76"/>
      <c r="G1068" s="76"/>
      <c r="H1068"/>
    </row>
    <row r="1069" spans="1:8" s="77" customFormat="1" ht="23.25" hidden="1" customHeight="1" x14ac:dyDescent="0.25">
      <c r="A1069" s="76"/>
      <c r="B1069" s="76"/>
      <c r="C1069" s="76"/>
      <c r="D1069" s="76"/>
      <c r="E1069" s="76"/>
      <c r="F1069" s="76"/>
      <c r="G1069" s="76"/>
      <c r="H1069"/>
    </row>
    <row r="1070" spans="1:8" s="77" customFormat="1" ht="23.25" hidden="1" customHeight="1" x14ac:dyDescent="0.25">
      <c r="A1070" s="76"/>
      <c r="B1070" s="76"/>
      <c r="C1070" s="76"/>
      <c r="D1070" s="76"/>
      <c r="E1070" s="76"/>
      <c r="F1070" s="76"/>
      <c r="G1070" s="76"/>
      <c r="H1070"/>
    </row>
    <row r="1071" spans="1:8" s="77" customFormat="1" ht="23.25" hidden="1" customHeight="1" x14ac:dyDescent="0.25">
      <c r="A1071" s="76"/>
      <c r="B1071" s="76"/>
      <c r="C1071" s="76"/>
      <c r="D1071" s="76"/>
      <c r="E1071" s="76"/>
      <c r="F1071" s="76"/>
      <c r="G1071" s="76"/>
      <c r="H1071"/>
    </row>
    <row r="1072" spans="1:8" s="77" customFormat="1" ht="23.25" hidden="1" customHeight="1" x14ac:dyDescent="0.25">
      <c r="A1072" s="76"/>
      <c r="B1072" s="76"/>
      <c r="C1072" s="76"/>
      <c r="D1072" s="76"/>
      <c r="E1072" s="76"/>
      <c r="F1072" s="76"/>
      <c r="G1072" s="76"/>
      <c r="H1072"/>
    </row>
    <row r="1073" spans="1:8" s="77" customFormat="1" ht="23.25" hidden="1" customHeight="1" x14ac:dyDescent="0.25">
      <c r="A1073" s="76"/>
      <c r="B1073" s="76"/>
      <c r="C1073" s="76"/>
      <c r="D1073" s="76"/>
      <c r="E1073" s="76"/>
      <c r="F1073" s="76"/>
      <c r="G1073" s="76"/>
      <c r="H1073"/>
    </row>
    <row r="1074" spans="1:8" s="77" customFormat="1" ht="23.25" hidden="1" customHeight="1" x14ac:dyDescent="0.25">
      <c r="A1074" s="76"/>
      <c r="B1074" s="76"/>
      <c r="C1074" s="76"/>
      <c r="D1074" s="76"/>
      <c r="E1074" s="76"/>
      <c r="F1074" s="76"/>
      <c r="G1074" s="76"/>
      <c r="H1074"/>
    </row>
    <row r="1075" spans="1:8" s="77" customFormat="1" ht="23.25" hidden="1" customHeight="1" x14ac:dyDescent="0.25">
      <c r="A1075" s="76"/>
      <c r="B1075" s="76"/>
      <c r="C1075" s="76"/>
      <c r="D1075" s="76"/>
      <c r="E1075" s="76"/>
      <c r="F1075" s="76"/>
      <c r="G1075" s="76"/>
      <c r="H1075"/>
    </row>
    <row r="1076" spans="1:8" s="77" customFormat="1" ht="23.25" hidden="1" customHeight="1" x14ac:dyDescent="0.25">
      <c r="A1076" s="76"/>
      <c r="B1076" s="76"/>
      <c r="C1076" s="76"/>
      <c r="D1076" s="76"/>
      <c r="E1076" s="76"/>
      <c r="F1076" s="76"/>
      <c r="G1076" s="76"/>
      <c r="H1076"/>
    </row>
    <row r="1077" spans="1:8" s="77" customFormat="1" ht="23.25" hidden="1" customHeight="1" x14ac:dyDescent="0.25">
      <c r="A1077" s="76"/>
      <c r="B1077" s="76"/>
      <c r="C1077" s="76"/>
      <c r="D1077" s="76"/>
      <c r="E1077" s="76"/>
      <c r="F1077" s="76"/>
      <c r="G1077" s="76"/>
      <c r="H1077"/>
    </row>
    <row r="1078" spans="1:8" s="77" customFormat="1" ht="23.25" hidden="1" customHeight="1" x14ac:dyDescent="0.25">
      <c r="A1078" s="76"/>
      <c r="B1078" s="76"/>
      <c r="C1078" s="76"/>
      <c r="D1078" s="76"/>
      <c r="E1078" s="76"/>
      <c r="F1078" s="76"/>
      <c r="G1078" s="76"/>
      <c r="H1078"/>
    </row>
    <row r="1079" spans="1:8" s="77" customFormat="1" ht="23.25" hidden="1" customHeight="1" x14ac:dyDescent="0.25">
      <c r="A1079" s="76"/>
      <c r="B1079" s="76"/>
      <c r="C1079" s="76"/>
      <c r="D1079" s="76"/>
      <c r="E1079" s="76"/>
      <c r="F1079" s="76"/>
      <c r="G1079" s="76"/>
      <c r="H1079"/>
    </row>
    <row r="1080" spans="1:8" s="77" customFormat="1" ht="23.25" hidden="1" customHeight="1" x14ac:dyDescent="0.25">
      <c r="A1080" s="76"/>
      <c r="B1080" s="76"/>
      <c r="C1080" s="76"/>
      <c r="D1080" s="76"/>
      <c r="E1080" s="76"/>
      <c r="F1080" s="76"/>
      <c r="G1080" s="76"/>
      <c r="H1080"/>
    </row>
    <row r="1081" spans="1:8" s="77" customFormat="1" ht="23.25" hidden="1" customHeight="1" x14ac:dyDescent="0.25">
      <c r="A1081" s="76"/>
      <c r="B1081" s="76"/>
      <c r="C1081" s="76"/>
      <c r="D1081" s="76"/>
      <c r="E1081" s="76"/>
      <c r="F1081" s="76"/>
      <c r="G1081" s="76"/>
      <c r="H1081"/>
    </row>
    <row r="1082" spans="1:8" s="77" customFormat="1" ht="23.25" hidden="1" customHeight="1" x14ac:dyDescent="0.25">
      <c r="A1082" s="76"/>
      <c r="B1082" s="76"/>
      <c r="C1082" s="76"/>
      <c r="D1082" s="76"/>
      <c r="E1082" s="76"/>
      <c r="F1082" s="76"/>
      <c r="G1082" s="76"/>
      <c r="H1082"/>
    </row>
    <row r="1083" spans="1:8" s="77" customFormat="1" ht="23.25" hidden="1" customHeight="1" x14ac:dyDescent="0.25">
      <c r="A1083" s="76"/>
      <c r="B1083" s="76"/>
      <c r="C1083" s="76"/>
      <c r="D1083" s="76"/>
      <c r="E1083" s="76"/>
      <c r="F1083" s="76"/>
      <c r="G1083" s="76"/>
      <c r="H1083"/>
    </row>
    <row r="1084" spans="1:8" s="77" customFormat="1" ht="23.25" hidden="1" customHeight="1" x14ac:dyDescent="0.25">
      <c r="A1084" s="76"/>
      <c r="B1084" s="76"/>
      <c r="C1084" s="76"/>
      <c r="D1084" s="76"/>
      <c r="E1084" s="76"/>
      <c r="F1084" s="76"/>
      <c r="G1084" s="76"/>
      <c r="H1084"/>
    </row>
    <row r="1085" spans="1:8" s="77" customFormat="1" ht="23.25" hidden="1" customHeight="1" x14ac:dyDescent="0.25">
      <c r="A1085" s="76"/>
      <c r="B1085" s="76"/>
      <c r="C1085" s="76"/>
      <c r="D1085" s="76"/>
      <c r="E1085" s="76"/>
      <c r="F1085" s="76"/>
      <c r="G1085" s="76"/>
      <c r="H1085"/>
    </row>
    <row r="1086" spans="1:8" s="77" customFormat="1" ht="23.25" hidden="1" customHeight="1" x14ac:dyDescent="0.25">
      <c r="A1086" s="76"/>
      <c r="B1086" s="76"/>
      <c r="C1086" s="76"/>
      <c r="D1086" s="76"/>
      <c r="E1086" s="76"/>
      <c r="F1086" s="76"/>
      <c r="G1086" s="76"/>
      <c r="H1086"/>
    </row>
    <row r="1087" spans="1:8" s="77" customFormat="1" ht="23.25" hidden="1" customHeight="1" x14ac:dyDescent="0.25">
      <c r="A1087" s="76"/>
      <c r="B1087" s="76"/>
      <c r="C1087" s="76"/>
      <c r="D1087" s="76"/>
      <c r="E1087" s="76"/>
      <c r="F1087" s="76"/>
      <c r="G1087" s="76"/>
      <c r="H1087"/>
    </row>
    <row r="1088" spans="1:8" s="77" customFormat="1" ht="23.25" hidden="1" customHeight="1" x14ac:dyDescent="0.25">
      <c r="A1088" s="76"/>
      <c r="B1088" s="76"/>
      <c r="C1088" s="76"/>
      <c r="D1088" s="76"/>
      <c r="E1088" s="76"/>
      <c r="F1088" s="76"/>
      <c r="G1088" s="76"/>
      <c r="H1088"/>
    </row>
    <row r="1089" spans="1:8" s="77" customFormat="1" ht="23.25" hidden="1" customHeight="1" x14ac:dyDescent="0.25">
      <c r="A1089" s="76"/>
      <c r="B1089" s="76"/>
      <c r="C1089" s="76"/>
      <c r="D1089" s="76"/>
      <c r="E1089" s="76"/>
      <c r="F1089" s="76"/>
      <c r="G1089" s="76"/>
      <c r="H1089"/>
    </row>
    <row r="1090" spans="1:8" s="77" customFormat="1" ht="23.25" hidden="1" customHeight="1" x14ac:dyDescent="0.25">
      <c r="A1090" s="76"/>
      <c r="B1090" s="76"/>
      <c r="C1090" s="76"/>
      <c r="D1090" s="76"/>
      <c r="E1090" s="76"/>
      <c r="F1090" s="76"/>
      <c r="G1090" s="76"/>
      <c r="H1090"/>
    </row>
    <row r="1091" spans="1:8" s="77" customFormat="1" ht="23.25" hidden="1" customHeight="1" x14ac:dyDescent="0.25">
      <c r="A1091" s="76"/>
      <c r="B1091" s="76"/>
      <c r="C1091" s="76"/>
      <c r="D1091" s="76"/>
      <c r="E1091" s="76"/>
      <c r="F1091" s="76"/>
      <c r="G1091" s="76"/>
      <c r="H1091"/>
    </row>
    <row r="1092" spans="1:8" s="77" customFormat="1" ht="23.25" hidden="1" customHeight="1" x14ac:dyDescent="0.25">
      <c r="A1092" s="76"/>
      <c r="B1092" s="76"/>
      <c r="C1092" s="76"/>
      <c r="D1092" s="76"/>
      <c r="E1092" s="76"/>
      <c r="F1092" s="76"/>
      <c r="G1092" s="76"/>
      <c r="H1092"/>
    </row>
    <row r="1093" spans="1:8" s="77" customFormat="1" ht="23.25" hidden="1" customHeight="1" x14ac:dyDescent="0.25">
      <c r="A1093" s="76"/>
      <c r="B1093" s="76"/>
      <c r="C1093" s="76"/>
      <c r="D1093" s="76"/>
      <c r="E1093" s="76"/>
      <c r="F1093" s="76"/>
      <c r="G1093" s="76"/>
      <c r="H1093"/>
    </row>
    <row r="1094" spans="1:8" s="77" customFormat="1" ht="23.25" hidden="1" customHeight="1" x14ac:dyDescent="0.25">
      <c r="A1094" s="76"/>
      <c r="B1094" s="76"/>
      <c r="C1094" s="76"/>
      <c r="D1094" s="76"/>
      <c r="E1094" s="76"/>
      <c r="F1094" s="76"/>
      <c r="G1094" s="76"/>
      <c r="H1094"/>
    </row>
    <row r="1095" spans="1:8" s="77" customFormat="1" ht="23.25" hidden="1" customHeight="1" x14ac:dyDescent="0.25">
      <c r="A1095" s="76"/>
      <c r="B1095" s="76"/>
      <c r="C1095" s="76"/>
      <c r="D1095" s="76"/>
      <c r="E1095" s="76"/>
      <c r="F1095" s="76"/>
      <c r="G1095" s="76"/>
      <c r="H1095"/>
    </row>
    <row r="1096" spans="1:8" s="77" customFormat="1" ht="23.25" hidden="1" customHeight="1" x14ac:dyDescent="0.25">
      <c r="A1096" s="76"/>
      <c r="B1096" s="76"/>
      <c r="C1096" s="76"/>
      <c r="D1096" s="76"/>
      <c r="E1096" s="76"/>
      <c r="F1096" s="76"/>
      <c r="G1096" s="76"/>
      <c r="H1096"/>
    </row>
    <row r="1097" spans="1:8" s="77" customFormat="1" ht="23.25" hidden="1" customHeight="1" x14ac:dyDescent="0.25">
      <c r="A1097" s="76"/>
      <c r="B1097" s="76"/>
      <c r="C1097" s="76"/>
      <c r="D1097" s="76"/>
      <c r="E1097" s="76"/>
      <c r="F1097" s="76"/>
      <c r="G1097" s="76"/>
      <c r="H1097"/>
    </row>
    <row r="1098" spans="1:8" s="77" customFormat="1" ht="23.25" hidden="1" customHeight="1" x14ac:dyDescent="0.25">
      <c r="A1098" s="76"/>
      <c r="B1098" s="76"/>
      <c r="C1098" s="76"/>
      <c r="D1098" s="76"/>
      <c r="E1098" s="76"/>
      <c r="F1098" s="76"/>
      <c r="G1098" s="76"/>
      <c r="H1098"/>
    </row>
    <row r="1099" spans="1:8" s="77" customFormat="1" ht="23.25" hidden="1" customHeight="1" x14ac:dyDescent="0.25">
      <c r="A1099" s="76"/>
      <c r="B1099" s="76"/>
      <c r="C1099" s="76"/>
      <c r="D1099" s="76"/>
      <c r="E1099" s="76"/>
      <c r="F1099" s="76"/>
      <c r="G1099" s="76"/>
      <c r="H1099"/>
    </row>
    <row r="1100" spans="1:8" s="77" customFormat="1" ht="23.25" hidden="1" customHeight="1" x14ac:dyDescent="0.25">
      <c r="A1100" s="76"/>
      <c r="B1100" s="76"/>
      <c r="C1100" s="76"/>
      <c r="D1100" s="76"/>
      <c r="E1100" s="76"/>
      <c r="F1100" s="76"/>
      <c r="G1100" s="76"/>
      <c r="H1100"/>
    </row>
    <row r="1101" spans="1:8" s="77" customFormat="1" ht="23.25" hidden="1" customHeight="1" x14ac:dyDescent="0.25">
      <c r="A1101" s="76"/>
      <c r="B1101" s="76"/>
      <c r="C1101" s="76"/>
      <c r="D1101" s="76"/>
      <c r="E1101" s="76"/>
      <c r="F1101" s="76"/>
      <c r="G1101" s="76"/>
      <c r="H1101"/>
    </row>
    <row r="1102" spans="1:8" s="77" customFormat="1" ht="23.25" hidden="1" customHeight="1" x14ac:dyDescent="0.25">
      <c r="A1102" s="76"/>
      <c r="B1102" s="76"/>
      <c r="C1102" s="76"/>
      <c r="D1102" s="76"/>
      <c r="E1102" s="76"/>
      <c r="F1102" s="76"/>
      <c r="G1102" s="76"/>
      <c r="H1102"/>
    </row>
    <row r="1103" spans="1:8" s="77" customFormat="1" ht="23.25" hidden="1" customHeight="1" x14ac:dyDescent="0.25">
      <c r="A1103" s="76"/>
      <c r="B1103" s="76"/>
      <c r="C1103" s="76"/>
      <c r="D1103" s="76"/>
      <c r="E1103" s="76"/>
      <c r="F1103" s="76"/>
      <c r="G1103" s="76"/>
      <c r="H1103"/>
    </row>
    <row r="1104" spans="1:8" s="77" customFormat="1" ht="23.25" hidden="1" customHeight="1" x14ac:dyDescent="0.25">
      <c r="A1104" s="76"/>
      <c r="B1104" s="76"/>
      <c r="C1104" s="76"/>
      <c r="D1104" s="76"/>
      <c r="E1104" s="76"/>
      <c r="F1104" s="76"/>
      <c r="G1104" s="76"/>
      <c r="H1104"/>
    </row>
    <row r="1105" spans="1:8" s="77" customFormat="1" ht="23.25" hidden="1" customHeight="1" x14ac:dyDescent="0.25">
      <c r="A1105" s="76"/>
      <c r="B1105" s="76"/>
      <c r="C1105" s="76"/>
      <c r="D1105" s="76"/>
      <c r="E1105" s="76"/>
      <c r="F1105" s="76"/>
      <c r="G1105" s="76"/>
      <c r="H1105"/>
    </row>
    <row r="1106" spans="1:8" s="77" customFormat="1" ht="23.25" hidden="1" customHeight="1" x14ac:dyDescent="0.25">
      <c r="A1106" s="76"/>
      <c r="B1106" s="76"/>
      <c r="C1106" s="76"/>
      <c r="D1106" s="76"/>
      <c r="E1106" s="76"/>
      <c r="F1106" s="76"/>
      <c r="G1106" s="76"/>
      <c r="H1106"/>
    </row>
    <row r="1107" spans="1:8" s="77" customFormat="1" ht="23.25" hidden="1" customHeight="1" x14ac:dyDescent="0.25">
      <c r="A1107" s="76"/>
      <c r="B1107" s="76"/>
      <c r="C1107" s="76"/>
      <c r="D1107" s="76"/>
      <c r="E1107" s="76"/>
      <c r="F1107" s="76"/>
      <c r="G1107" s="76"/>
      <c r="H1107"/>
    </row>
    <row r="1108" spans="1:8" s="77" customFormat="1" ht="23.25" hidden="1" customHeight="1" x14ac:dyDescent="0.25">
      <c r="A1108" s="76"/>
      <c r="B1108" s="76"/>
      <c r="C1108" s="76"/>
      <c r="D1108" s="76"/>
      <c r="E1108" s="76"/>
      <c r="F1108" s="76"/>
      <c r="G1108" s="76"/>
      <c r="H1108"/>
    </row>
    <row r="1109" spans="1:8" s="77" customFormat="1" ht="23.25" hidden="1" customHeight="1" x14ac:dyDescent="0.25">
      <c r="A1109" s="76"/>
      <c r="B1109" s="76"/>
      <c r="C1109" s="76"/>
      <c r="D1109" s="76"/>
      <c r="E1109" s="76"/>
      <c r="F1109" s="76"/>
      <c r="G1109" s="76"/>
      <c r="H1109"/>
    </row>
    <row r="1110" spans="1:8" s="77" customFormat="1" ht="23.25" hidden="1" customHeight="1" x14ac:dyDescent="0.25">
      <c r="A1110" s="76"/>
      <c r="B1110" s="76"/>
      <c r="C1110" s="76"/>
      <c r="D1110" s="76"/>
      <c r="E1110" s="76"/>
      <c r="F1110" s="76"/>
      <c r="G1110" s="76"/>
      <c r="H1110"/>
    </row>
    <row r="1111" spans="1:8" s="77" customFormat="1" ht="23.25" hidden="1" customHeight="1" x14ac:dyDescent="0.25">
      <c r="A1111" s="76"/>
      <c r="B1111" s="76"/>
      <c r="C1111" s="76"/>
      <c r="D1111" s="76"/>
      <c r="E1111" s="76"/>
      <c r="F1111" s="76"/>
      <c r="G1111" s="76"/>
      <c r="H1111"/>
    </row>
    <row r="1112" spans="1:8" s="77" customFormat="1" ht="23.25" hidden="1" customHeight="1" x14ac:dyDescent="0.25">
      <c r="A1112" s="76"/>
      <c r="B1112" s="76"/>
      <c r="C1112" s="76"/>
      <c r="D1112" s="76"/>
      <c r="E1112" s="76"/>
      <c r="F1112" s="76"/>
      <c r="G1112" s="76"/>
      <c r="H1112"/>
    </row>
    <row r="1113" spans="1:8" s="77" customFormat="1" ht="23.25" hidden="1" customHeight="1" x14ac:dyDescent="0.25">
      <c r="A1113" s="76"/>
      <c r="B1113" s="76"/>
      <c r="C1113" s="76"/>
      <c r="D1113" s="76"/>
      <c r="E1113" s="76"/>
      <c r="F1113" s="76"/>
      <c r="G1113" s="76"/>
      <c r="H1113"/>
    </row>
    <row r="1114" spans="1:8" s="77" customFormat="1" ht="23.25" hidden="1" customHeight="1" x14ac:dyDescent="0.25">
      <c r="A1114" s="76"/>
      <c r="B1114" s="76"/>
      <c r="C1114" s="76"/>
      <c r="D1114" s="76"/>
      <c r="E1114" s="76"/>
      <c r="F1114" s="76"/>
      <c r="G1114" s="76"/>
      <c r="H1114"/>
    </row>
    <row r="1115" spans="1:8" s="77" customFormat="1" ht="23.25" hidden="1" customHeight="1" x14ac:dyDescent="0.25">
      <c r="A1115" s="76"/>
      <c r="B1115" s="76"/>
      <c r="C1115" s="76"/>
      <c r="D1115" s="76"/>
      <c r="E1115" s="76"/>
      <c r="F1115" s="76"/>
      <c r="G1115" s="76"/>
      <c r="H1115"/>
    </row>
    <row r="1116" spans="1:8" s="77" customFormat="1" ht="23.25" hidden="1" customHeight="1" x14ac:dyDescent="0.25">
      <c r="A1116" s="76"/>
      <c r="B1116" s="76"/>
      <c r="C1116" s="76"/>
      <c r="D1116" s="76"/>
      <c r="E1116" s="76"/>
      <c r="F1116" s="76"/>
      <c r="G1116" s="76"/>
      <c r="H1116"/>
    </row>
    <row r="1117" spans="1:8" s="77" customFormat="1" ht="23.25" hidden="1" customHeight="1" x14ac:dyDescent="0.25">
      <c r="A1117" s="76"/>
      <c r="B1117" s="76"/>
      <c r="C1117" s="76"/>
      <c r="D1117" s="76"/>
      <c r="E1117" s="76"/>
      <c r="F1117" s="76"/>
      <c r="G1117" s="76"/>
      <c r="H1117"/>
    </row>
    <row r="1118" spans="1:8" s="77" customFormat="1" ht="23.25" hidden="1" customHeight="1" x14ac:dyDescent="0.25">
      <c r="A1118" s="76"/>
      <c r="B1118" s="76"/>
      <c r="C1118" s="76"/>
      <c r="D1118" s="76"/>
      <c r="E1118" s="76"/>
      <c r="F1118" s="76"/>
      <c r="G1118" s="76"/>
      <c r="H1118"/>
    </row>
    <row r="1119" spans="1:8" s="77" customFormat="1" ht="23.25" hidden="1" customHeight="1" x14ac:dyDescent="0.25">
      <c r="A1119" s="76"/>
      <c r="B1119" s="76"/>
      <c r="C1119" s="76"/>
      <c r="D1119" s="76"/>
      <c r="E1119" s="76"/>
      <c r="F1119" s="76"/>
      <c r="G1119" s="76"/>
      <c r="H1119"/>
    </row>
    <row r="1120" spans="1:8" s="77" customFormat="1" ht="23.25" hidden="1" customHeight="1" x14ac:dyDescent="0.25">
      <c r="A1120" s="76"/>
      <c r="B1120" s="76"/>
      <c r="C1120" s="76"/>
      <c r="D1120" s="76"/>
      <c r="E1120" s="76"/>
      <c r="F1120" s="76"/>
      <c r="G1120" s="76"/>
      <c r="H1120"/>
    </row>
    <row r="1121" spans="1:8" s="77" customFormat="1" ht="23.25" hidden="1" customHeight="1" x14ac:dyDescent="0.25">
      <c r="A1121" s="76"/>
      <c r="B1121" s="76"/>
      <c r="C1121" s="76"/>
      <c r="D1121" s="76"/>
      <c r="E1121" s="76"/>
      <c r="F1121" s="76"/>
      <c r="G1121" s="76"/>
      <c r="H1121"/>
    </row>
    <row r="1122" spans="1:8" s="77" customFormat="1" ht="23.25" hidden="1" customHeight="1" x14ac:dyDescent="0.25">
      <c r="A1122" s="76"/>
      <c r="B1122" s="76"/>
      <c r="C1122" s="76"/>
      <c r="D1122" s="76"/>
      <c r="E1122" s="76"/>
      <c r="F1122" s="76"/>
      <c r="G1122" s="76"/>
      <c r="H1122"/>
    </row>
    <row r="1123" spans="1:8" s="77" customFormat="1" ht="23.25" hidden="1" customHeight="1" x14ac:dyDescent="0.25">
      <c r="A1123" s="76"/>
      <c r="B1123" s="76"/>
      <c r="C1123" s="76"/>
      <c r="D1123" s="76"/>
      <c r="E1123" s="76"/>
      <c r="F1123" s="76"/>
      <c r="G1123" s="76"/>
      <c r="H1123"/>
    </row>
    <row r="1124" spans="1:8" s="77" customFormat="1" ht="23.25" hidden="1" customHeight="1" x14ac:dyDescent="0.25">
      <c r="A1124" s="76"/>
      <c r="B1124" s="76"/>
      <c r="C1124" s="76"/>
      <c r="D1124" s="76"/>
      <c r="E1124" s="76"/>
      <c r="F1124" s="76"/>
      <c r="G1124" s="76"/>
      <c r="H1124"/>
    </row>
    <row r="1125" spans="1:8" s="77" customFormat="1" ht="23.25" hidden="1" customHeight="1" x14ac:dyDescent="0.25">
      <c r="A1125" s="76"/>
      <c r="B1125" s="76"/>
      <c r="C1125" s="76"/>
      <c r="D1125" s="76"/>
      <c r="E1125" s="76"/>
      <c r="F1125" s="76"/>
      <c r="G1125" s="76"/>
      <c r="H1125"/>
    </row>
    <row r="1126" spans="1:8" s="77" customFormat="1" ht="23.25" hidden="1" customHeight="1" x14ac:dyDescent="0.25">
      <c r="A1126" s="76"/>
      <c r="B1126" s="76"/>
      <c r="C1126" s="76"/>
      <c r="D1126" s="76"/>
      <c r="E1126" s="76"/>
      <c r="F1126" s="76"/>
      <c r="G1126" s="76"/>
      <c r="H1126"/>
    </row>
    <row r="1127" spans="1:8" s="77" customFormat="1" ht="23.25" hidden="1" customHeight="1" x14ac:dyDescent="0.25">
      <c r="A1127" s="76"/>
      <c r="B1127" s="76"/>
      <c r="C1127" s="76"/>
      <c r="D1127" s="76"/>
      <c r="E1127" s="76"/>
      <c r="F1127" s="76"/>
      <c r="G1127" s="76"/>
      <c r="H1127"/>
    </row>
    <row r="1128" spans="1:8" s="77" customFormat="1" ht="23.25" hidden="1" customHeight="1" x14ac:dyDescent="0.25">
      <c r="A1128" s="76"/>
      <c r="B1128" s="76"/>
      <c r="C1128" s="76"/>
      <c r="D1128" s="76"/>
      <c r="E1128" s="76"/>
      <c r="F1128" s="76"/>
      <c r="G1128" s="76"/>
      <c r="H1128"/>
    </row>
    <row r="1129" spans="1:8" s="77" customFormat="1" ht="23.25" hidden="1" customHeight="1" x14ac:dyDescent="0.25">
      <c r="A1129" s="76"/>
      <c r="B1129" s="76"/>
      <c r="C1129" s="76"/>
      <c r="D1129" s="76"/>
      <c r="E1129" s="76"/>
      <c r="F1129" s="76"/>
      <c r="G1129" s="76"/>
      <c r="H1129"/>
    </row>
    <row r="1130" spans="1:8" s="77" customFormat="1" ht="23.25" hidden="1" customHeight="1" x14ac:dyDescent="0.25">
      <c r="A1130" s="76"/>
      <c r="B1130" s="76"/>
      <c r="C1130" s="76"/>
      <c r="D1130" s="76"/>
      <c r="E1130" s="76"/>
      <c r="F1130" s="76"/>
      <c r="G1130" s="76"/>
      <c r="H1130"/>
    </row>
    <row r="1131" spans="1:8" s="77" customFormat="1" ht="23.25" hidden="1" customHeight="1" x14ac:dyDescent="0.25">
      <c r="A1131" s="76"/>
      <c r="B1131" s="76"/>
      <c r="C1131" s="76"/>
      <c r="D1131" s="76"/>
      <c r="E1131" s="76"/>
      <c r="F1131" s="76"/>
      <c r="G1131" s="76"/>
      <c r="H1131"/>
    </row>
    <row r="1132" spans="1:8" s="77" customFormat="1" ht="23.25" hidden="1" customHeight="1" x14ac:dyDescent="0.25">
      <c r="A1132" s="76"/>
      <c r="B1132" s="76"/>
      <c r="C1132" s="76"/>
      <c r="D1132" s="76"/>
      <c r="E1132" s="76"/>
      <c r="F1132" s="76"/>
      <c r="G1132" s="76"/>
      <c r="H1132"/>
    </row>
    <row r="1133" spans="1:8" s="77" customFormat="1" ht="23.25" hidden="1" customHeight="1" x14ac:dyDescent="0.25">
      <c r="A1133" s="76"/>
      <c r="B1133" s="76"/>
      <c r="C1133" s="76"/>
      <c r="D1133" s="76"/>
      <c r="E1133" s="76"/>
      <c r="F1133" s="76"/>
      <c r="G1133" s="76"/>
      <c r="H1133"/>
    </row>
    <row r="1134" spans="1:8" s="77" customFormat="1" ht="23.25" hidden="1" customHeight="1" x14ac:dyDescent="0.25">
      <c r="A1134" s="76"/>
      <c r="B1134" s="76"/>
      <c r="C1134" s="76"/>
      <c r="D1134" s="76"/>
      <c r="E1134" s="76"/>
      <c r="F1134" s="76"/>
      <c r="G1134" s="76"/>
      <c r="H1134"/>
    </row>
    <row r="1135" spans="1:8" s="77" customFormat="1" ht="23.25" hidden="1" customHeight="1" x14ac:dyDescent="0.25">
      <c r="A1135" s="76"/>
      <c r="B1135" s="76"/>
      <c r="C1135" s="76"/>
      <c r="D1135" s="76"/>
      <c r="E1135" s="76"/>
      <c r="F1135" s="76"/>
      <c r="G1135" s="76"/>
      <c r="H1135"/>
    </row>
    <row r="1136" spans="1:8" s="77" customFormat="1" ht="23.25" hidden="1" customHeight="1" x14ac:dyDescent="0.25">
      <c r="A1136" s="76"/>
      <c r="B1136" s="76"/>
      <c r="C1136" s="76"/>
      <c r="D1136" s="76"/>
      <c r="E1136" s="76"/>
      <c r="F1136" s="76"/>
      <c r="G1136" s="76"/>
      <c r="H1136"/>
    </row>
    <row r="1137" spans="1:8" s="77" customFormat="1" ht="23.25" hidden="1" customHeight="1" x14ac:dyDescent="0.25">
      <c r="A1137" s="76"/>
      <c r="B1137" s="76"/>
      <c r="C1137" s="76"/>
      <c r="D1137" s="76"/>
      <c r="E1137" s="76"/>
      <c r="F1137" s="76"/>
      <c r="G1137" s="76"/>
      <c r="H1137"/>
    </row>
    <row r="1138" spans="1:8" s="77" customFormat="1" ht="23.25" hidden="1" customHeight="1" x14ac:dyDescent="0.25">
      <c r="A1138" s="76"/>
      <c r="B1138" s="76"/>
      <c r="C1138" s="76"/>
      <c r="D1138" s="76"/>
      <c r="E1138" s="76"/>
      <c r="F1138" s="76"/>
      <c r="G1138" s="76"/>
      <c r="H1138"/>
    </row>
    <row r="1139" spans="1:8" s="77" customFormat="1" ht="23.25" hidden="1" customHeight="1" x14ac:dyDescent="0.25">
      <c r="A1139" s="76"/>
      <c r="B1139" s="76"/>
      <c r="C1139" s="76"/>
      <c r="D1139" s="76"/>
      <c r="E1139" s="76"/>
      <c r="F1139" s="76"/>
      <c r="G1139" s="76"/>
      <c r="H1139"/>
    </row>
    <row r="1140" spans="1:8" s="77" customFormat="1" ht="23.25" hidden="1" customHeight="1" x14ac:dyDescent="0.25">
      <c r="A1140" s="76"/>
      <c r="B1140" s="76"/>
      <c r="C1140" s="76"/>
      <c r="D1140" s="76"/>
      <c r="E1140" s="76"/>
      <c r="F1140" s="76"/>
      <c r="G1140" s="76"/>
      <c r="H1140"/>
    </row>
    <row r="1141" spans="1:8" s="77" customFormat="1" ht="23.25" hidden="1" customHeight="1" x14ac:dyDescent="0.25">
      <c r="A1141" s="76"/>
      <c r="B1141" s="76"/>
      <c r="C1141" s="76"/>
      <c r="D1141" s="76"/>
      <c r="E1141" s="76"/>
      <c r="F1141" s="76"/>
      <c r="G1141" s="76"/>
      <c r="H1141"/>
    </row>
    <row r="1142" spans="1:8" s="77" customFormat="1" ht="23.25" hidden="1" customHeight="1" x14ac:dyDescent="0.25">
      <c r="A1142" s="76"/>
      <c r="B1142" s="76"/>
      <c r="C1142" s="76"/>
      <c r="D1142" s="76"/>
      <c r="E1142" s="76"/>
      <c r="F1142" s="76"/>
      <c r="G1142" s="76"/>
      <c r="H1142"/>
    </row>
    <row r="1143" spans="1:8" s="77" customFormat="1" ht="23.25" hidden="1" customHeight="1" x14ac:dyDescent="0.25">
      <c r="A1143" s="76"/>
      <c r="B1143" s="76"/>
      <c r="C1143" s="76"/>
      <c r="D1143" s="76"/>
      <c r="E1143" s="76"/>
      <c r="F1143" s="76"/>
      <c r="G1143" s="76"/>
      <c r="H1143"/>
    </row>
    <row r="1144" spans="1:8" s="77" customFormat="1" ht="23.25" hidden="1" customHeight="1" x14ac:dyDescent="0.25">
      <c r="A1144" s="76"/>
      <c r="B1144" s="76"/>
      <c r="C1144" s="76"/>
      <c r="D1144" s="76"/>
      <c r="E1144" s="76"/>
      <c r="F1144" s="76"/>
      <c r="G1144" s="76"/>
      <c r="H1144"/>
    </row>
    <row r="1145" spans="1:8" s="77" customFormat="1" ht="23.25" hidden="1" customHeight="1" x14ac:dyDescent="0.25">
      <c r="A1145" s="76"/>
      <c r="B1145" s="76"/>
      <c r="C1145" s="76"/>
      <c r="D1145" s="76"/>
      <c r="E1145" s="76"/>
      <c r="F1145" s="76"/>
      <c r="G1145" s="76"/>
      <c r="H1145"/>
    </row>
    <row r="1146" spans="1:8" s="77" customFormat="1" ht="23.25" hidden="1" customHeight="1" x14ac:dyDescent="0.25">
      <c r="A1146" s="76"/>
      <c r="B1146" s="76"/>
      <c r="C1146" s="76"/>
      <c r="D1146" s="76"/>
      <c r="E1146" s="76"/>
      <c r="F1146" s="76"/>
      <c r="G1146" s="76"/>
      <c r="H1146"/>
    </row>
    <row r="1147" spans="1:8" s="77" customFormat="1" ht="23.25" hidden="1" customHeight="1" x14ac:dyDescent="0.25">
      <c r="A1147" s="76"/>
      <c r="B1147" s="76"/>
      <c r="C1147" s="76"/>
      <c r="D1147" s="76"/>
      <c r="E1147" s="76"/>
      <c r="F1147" s="76"/>
      <c r="G1147" s="76"/>
      <c r="H1147"/>
    </row>
    <row r="1148" spans="1:8" s="77" customFormat="1" ht="23.25" hidden="1" customHeight="1" x14ac:dyDescent="0.25">
      <c r="A1148" s="76"/>
      <c r="B1148" s="76"/>
      <c r="C1148" s="76"/>
      <c r="D1148" s="76"/>
      <c r="E1148" s="76"/>
      <c r="F1148" s="76"/>
      <c r="G1148" s="76"/>
      <c r="H1148"/>
    </row>
    <row r="1149" spans="1:8" s="77" customFormat="1" ht="23.25" hidden="1" customHeight="1" x14ac:dyDescent="0.25">
      <c r="A1149" s="76"/>
      <c r="B1149" s="76"/>
      <c r="C1149" s="76"/>
      <c r="D1149" s="76"/>
      <c r="E1149" s="76"/>
      <c r="F1149" s="76"/>
      <c r="G1149" s="76"/>
      <c r="H1149"/>
    </row>
    <row r="1150" spans="1:8" s="77" customFormat="1" ht="23.25" hidden="1" customHeight="1" x14ac:dyDescent="0.25">
      <c r="A1150" s="76"/>
      <c r="B1150" s="76"/>
      <c r="C1150" s="76"/>
      <c r="D1150" s="76"/>
      <c r="E1150" s="76"/>
      <c r="F1150" s="76"/>
      <c r="G1150" s="76"/>
      <c r="H1150"/>
    </row>
    <row r="1151" spans="1:8" s="77" customFormat="1" ht="23.25" hidden="1" customHeight="1" x14ac:dyDescent="0.25">
      <c r="A1151" s="76"/>
      <c r="B1151" s="76"/>
      <c r="C1151" s="76"/>
      <c r="D1151" s="76"/>
      <c r="E1151" s="76"/>
      <c r="F1151" s="76"/>
      <c r="G1151" s="76"/>
      <c r="H1151"/>
    </row>
    <row r="1152" spans="1:8" s="77" customFormat="1" ht="23.25" hidden="1" customHeight="1" x14ac:dyDescent="0.25">
      <c r="A1152" s="76"/>
      <c r="B1152" s="76"/>
      <c r="C1152" s="76"/>
      <c r="D1152" s="76"/>
      <c r="E1152" s="76"/>
      <c r="F1152" s="76"/>
      <c r="G1152" s="76"/>
      <c r="H1152"/>
    </row>
    <row r="1153" spans="1:8" s="77" customFormat="1" ht="23.25" hidden="1" customHeight="1" x14ac:dyDescent="0.25">
      <c r="A1153" s="76"/>
      <c r="B1153" s="76"/>
      <c r="C1153" s="76"/>
      <c r="D1153" s="76"/>
      <c r="E1153" s="76"/>
      <c r="F1153" s="76"/>
      <c r="G1153" s="76"/>
      <c r="H1153"/>
    </row>
    <row r="1154" spans="1:8" s="77" customFormat="1" ht="23.25" hidden="1" customHeight="1" x14ac:dyDescent="0.25">
      <c r="A1154" s="76"/>
      <c r="B1154" s="76"/>
      <c r="C1154" s="76"/>
      <c r="D1154" s="76"/>
      <c r="E1154" s="76"/>
      <c r="F1154" s="76"/>
      <c r="G1154" s="76"/>
      <c r="H1154"/>
    </row>
    <row r="1155" spans="1:8" s="77" customFormat="1" ht="23.25" hidden="1" customHeight="1" x14ac:dyDescent="0.25">
      <c r="A1155" s="76"/>
      <c r="B1155" s="76"/>
      <c r="C1155" s="76"/>
      <c r="D1155" s="76"/>
      <c r="E1155" s="76"/>
      <c r="F1155" s="76"/>
      <c r="G1155" s="76"/>
      <c r="H1155"/>
    </row>
    <row r="1156" spans="1:8" s="77" customFormat="1" ht="23.25" hidden="1" customHeight="1" x14ac:dyDescent="0.25">
      <c r="A1156" s="76"/>
      <c r="B1156" s="76"/>
      <c r="C1156" s="76"/>
      <c r="D1156" s="76"/>
      <c r="E1156" s="76"/>
      <c r="F1156" s="76"/>
      <c r="G1156" s="76"/>
      <c r="H1156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CA7A3-E485-446E-9763-792A92020B24}">
  <dimension ref="A1:R57"/>
  <sheetViews>
    <sheetView workbookViewId="0"/>
  </sheetViews>
  <sheetFormatPr defaultRowHeight="15" x14ac:dyDescent="0.25"/>
  <cols>
    <col min="1" max="1" width="23" style="95" bestFit="1" customWidth="1"/>
    <col min="2" max="2" width="14.5703125" bestFit="1" customWidth="1"/>
    <col min="3" max="3" width="11.42578125" bestFit="1" customWidth="1"/>
    <col min="4" max="4" width="31.85546875" bestFit="1" customWidth="1"/>
    <col min="5" max="5" width="9.5703125" bestFit="1" customWidth="1"/>
    <col min="6" max="6" width="5" bestFit="1" customWidth="1"/>
    <col min="7" max="7" width="15.5703125" bestFit="1" customWidth="1"/>
    <col min="8" max="8" width="13.140625" bestFit="1" customWidth="1"/>
    <col min="9" max="9" width="9.5703125" bestFit="1" customWidth="1"/>
    <col min="10" max="10" width="23.140625" bestFit="1" customWidth="1"/>
    <col min="11" max="11" width="18.42578125" bestFit="1" customWidth="1"/>
    <col min="12" max="12" width="5.7109375" bestFit="1" customWidth="1"/>
    <col min="13" max="13" width="20.140625" bestFit="1" customWidth="1"/>
    <col min="14" max="14" width="13.7109375" bestFit="1" customWidth="1"/>
    <col min="15" max="15" width="11.5703125" bestFit="1" customWidth="1"/>
    <col min="16" max="16" width="24.85546875" bestFit="1" customWidth="1"/>
  </cols>
  <sheetData>
    <row r="1" spans="1:18" x14ac:dyDescent="0.25">
      <c r="A1" s="101" t="s">
        <v>1249</v>
      </c>
      <c r="B1" s="100" t="s">
        <v>39</v>
      </c>
    </row>
    <row r="2" spans="1:18" x14ac:dyDescent="0.25">
      <c r="A2" s="101" t="s">
        <v>1307</v>
      </c>
      <c r="B2" s="100">
        <v>271828</v>
      </c>
    </row>
    <row r="3" spans="1:18" x14ac:dyDescent="0.25">
      <c r="A3" s="101" t="s">
        <v>1305</v>
      </c>
      <c r="B3" s="100">
        <f>VLOOKUP(B2, '90'!A:E, 5, 0)</f>
        <v>22</v>
      </c>
    </row>
    <row r="4" spans="1:18" x14ac:dyDescent="0.25">
      <c r="A4" s="101" t="s">
        <v>1306</v>
      </c>
      <c r="B4" s="100" t="str">
        <f>IFERROR(VLOOKUP(B2, NPS!B:H, 7, 0), 0)</f>
        <v>3P</v>
      </c>
    </row>
    <row r="5" spans="1:18" x14ac:dyDescent="0.25">
      <c r="A5" s="101" t="s">
        <v>1257</v>
      </c>
      <c r="B5" s="100">
        <f>IFERROR(VLOOKUP(B2, NPS!B:H, 3, 0), 0)</f>
        <v>4</v>
      </c>
    </row>
    <row r="6" spans="1:18" x14ac:dyDescent="0.25">
      <c r="A6" s="101" t="s">
        <v>1447</v>
      </c>
      <c r="B6" s="103">
        <f>VLOOKUP(14, 'Look Up Table'!A:B, 2, TRUE)</f>
        <v>0.04</v>
      </c>
    </row>
    <row r="7" spans="1:18" ht="50.1" customHeight="1" x14ac:dyDescent="0.25">
      <c r="A7" s="102" t="s">
        <v>43</v>
      </c>
      <c r="B7" s="80" t="s">
        <v>1308</v>
      </c>
      <c r="C7" s="80" t="s">
        <v>1309</v>
      </c>
      <c r="D7" s="80" t="s">
        <v>48</v>
      </c>
      <c r="E7" s="80" t="s">
        <v>1310</v>
      </c>
      <c r="F7" s="80" t="s">
        <v>1311</v>
      </c>
      <c r="G7" s="80" t="s">
        <v>1312</v>
      </c>
      <c r="H7" s="80" t="s">
        <v>1313</v>
      </c>
      <c r="I7" s="80" t="s">
        <v>51</v>
      </c>
      <c r="J7" s="80" t="s">
        <v>1314</v>
      </c>
      <c r="K7" s="80" t="s">
        <v>1315</v>
      </c>
      <c r="L7" s="80" t="s">
        <v>54</v>
      </c>
      <c r="M7" s="80" t="s">
        <v>55</v>
      </c>
      <c r="N7" s="80" t="s">
        <v>1316</v>
      </c>
      <c r="O7" s="80" t="s">
        <v>1317</v>
      </c>
      <c r="P7" s="80" t="s">
        <v>1318</v>
      </c>
    </row>
    <row r="8" spans="1:18" x14ac:dyDescent="0.25">
      <c r="A8" s="96">
        <v>45721</v>
      </c>
      <c r="B8" s="93">
        <v>9325</v>
      </c>
      <c r="C8" s="93">
        <v>267026</v>
      </c>
      <c r="D8" s="93" t="s">
        <v>216</v>
      </c>
      <c r="E8" s="93" t="s">
        <v>217</v>
      </c>
      <c r="F8" s="93">
        <v>22</v>
      </c>
      <c r="G8" s="93" t="s">
        <v>1321</v>
      </c>
      <c r="H8" s="93" t="s">
        <v>1349</v>
      </c>
      <c r="I8" s="93" t="s">
        <v>86</v>
      </c>
      <c r="J8" s="107">
        <v>4659.16</v>
      </c>
      <c r="K8" s="107">
        <v>-597.78</v>
      </c>
      <c r="L8" s="93">
        <v>0.5</v>
      </c>
      <c r="M8" s="107">
        <v>100</v>
      </c>
      <c r="N8" s="107">
        <f>IF(M8&lt;=251, VLOOKUP(B3, 'Look Up Table'!I:J, 2, TRUE) * L8, 0)</f>
        <v>175</v>
      </c>
      <c r="O8" s="107">
        <f>IF(N8&gt;0, N8 - M8, 0)</f>
        <v>75</v>
      </c>
      <c r="P8" s="107">
        <f>IF(N8 = 0, K8 * B6, 0)</f>
        <v>0</v>
      </c>
      <c r="Q8" s="93"/>
      <c r="R8" s="93"/>
    </row>
    <row r="9" spans="1:18" x14ac:dyDescent="0.25">
      <c r="A9" s="96">
        <v>45729</v>
      </c>
      <c r="B9" s="93">
        <v>9360</v>
      </c>
      <c r="C9" s="93">
        <v>23633</v>
      </c>
      <c r="D9" s="93" t="s">
        <v>1117</v>
      </c>
      <c r="E9" s="93" t="s">
        <v>1118</v>
      </c>
      <c r="F9" s="93">
        <v>22</v>
      </c>
      <c r="G9" s="93" t="s">
        <v>1319</v>
      </c>
      <c r="H9" s="93" t="s">
        <v>1399</v>
      </c>
      <c r="I9" s="93" t="s">
        <v>86</v>
      </c>
      <c r="J9" s="107">
        <v>5011.76</v>
      </c>
      <c r="K9" s="107">
        <v>750</v>
      </c>
      <c r="L9" s="93">
        <v>1</v>
      </c>
      <c r="M9" s="107">
        <v>200</v>
      </c>
      <c r="N9" s="107">
        <f>IF(M9&lt;=251, VLOOKUP(B3, 'Look Up Table'!I:J, 2, TRUE) * L9, 0)</f>
        <v>350</v>
      </c>
      <c r="O9" s="107">
        <f>IF(N9&gt;0, N9 - M9, 0)</f>
        <v>150</v>
      </c>
      <c r="P9" s="107">
        <f>IF(N9 = 0, K9 * B6, 0)</f>
        <v>0</v>
      </c>
      <c r="Q9" s="93"/>
      <c r="R9" s="93"/>
    </row>
    <row r="10" spans="1:18" x14ac:dyDescent="0.25">
      <c r="A10" s="96">
        <v>45730</v>
      </c>
      <c r="B10" s="93">
        <v>9444</v>
      </c>
      <c r="C10" s="93">
        <v>21981</v>
      </c>
      <c r="D10" s="93" t="s">
        <v>343</v>
      </c>
      <c r="E10" s="93" t="s">
        <v>344</v>
      </c>
      <c r="F10" s="93">
        <v>25</v>
      </c>
      <c r="G10" s="93" t="s">
        <v>1321</v>
      </c>
      <c r="H10" s="93" t="s">
        <v>1364</v>
      </c>
      <c r="I10" s="93" t="s">
        <v>59</v>
      </c>
      <c r="J10" s="107">
        <v>0</v>
      </c>
      <c r="K10" s="107">
        <v>6356.62</v>
      </c>
      <c r="L10" s="93">
        <v>0.5</v>
      </c>
      <c r="M10" s="107">
        <v>1144.19</v>
      </c>
      <c r="N10" s="107">
        <f>IF(M10&lt;=251, VLOOKUP(B3, 'Look Up Table'!I:J, 2, TRUE) * L10, 0)</f>
        <v>0</v>
      </c>
      <c r="O10" s="107">
        <f>IF(N10&gt;0, N10 - M10, 0)</f>
        <v>0</v>
      </c>
      <c r="P10" s="107">
        <f>IF(N10 = 0, K10 * B6, 0)</f>
        <v>254.26480000000001</v>
      </c>
      <c r="Q10" s="93"/>
      <c r="R10" s="93"/>
    </row>
    <row r="11" spans="1:18" x14ac:dyDescent="0.25">
      <c r="A11" s="96">
        <v>45730</v>
      </c>
      <c r="B11" s="93">
        <v>9492</v>
      </c>
      <c r="C11" s="93">
        <v>23838</v>
      </c>
      <c r="D11" s="93" t="s">
        <v>1120</v>
      </c>
      <c r="E11" s="93" t="s">
        <v>1121</v>
      </c>
      <c r="F11" s="93">
        <v>25</v>
      </c>
      <c r="G11" s="93" t="s">
        <v>1319</v>
      </c>
      <c r="H11" s="93" t="s">
        <v>1352</v>
      </c>
      <c r="I11" s="93" t="s">
        <v>59</v>
      </c>
      <c r="J11" s="107">
        <v>262</v>
      </c>
      <c r="K11" s="107">
        <v>-2339.79</v>
      </c>
      <c r="L11" s="93">
        <v>1</v>
      </c>
      <c r="M11" s="107">
        <v>200</v>
      </c>
      <c r="N11" s="107">
        <f>IF(M11&lt;=251, VLOOKUP(B3, 'Look Up Table'!I:J, 2, TRUE) * L11, 0)</f>
        <v>350</v>
      </c>
      <c r="O11" s="107">
        <f>IF(N11&gt;0, N11 - M11, 0)</f>
        <v>150</v>
      </c>
      <c r="P11" s="107">
        <f>IF(N11 = 0, K11 * B6, 0)</f>
        <v>0</v>
      </c>
      <c r="Q11" s="93"/>
      <c r="R11" s="93"/>
    </row>
    <row r="12" spans="1:18" x14ac:dyDescent="0.25">
      <c r="A12" s="96">
        <v>45733</v>
      </c>
      <c r="B12" s="93">
        <v>9476</v>
      </c>
      <c r="C12" s="93">
        <v>23820</v>
      </c>
      <c r="D12" s="93" t="s">
        <v>1122</v>
      </c>
      <c r="E12" s="93" t="s">
        <v>1123</v>
      </c>
      <c r="F12" s="93">
        <v>22</v>
      </c>
      <c r="G12" s="93" t="s">
        <v>1319</v>
      </c>
      <c r="H12" s="93" t="s">
        <v>1399</v>
      </c>
      <c r="I12" s="93" t="s">
        <v>86</v>
      </c>
      <c r="J12" s="107">
        <v>9994.66</v>
      </c>
      <c r="K12" s="107">
        <v>259.18</v>
      </c>
      <c r="L12" s="93">
        <v>1</v>
      </c>
      <c r="M12" s="107">
        <v>200</v>
      </c>
      <c r="N12" s="107">
        <f>IF(M12&lt;=251, VLOOKUP(B3, 'Look Up Table'!I:J, 2, TRUE) * L12, 0)</f>
        <v>350</v>
      </c>
      <c r="O12" s="107">
        <f>IF(N12&gt;0, N12 - M12, 0)</f>
        <v>150</v>
      </c>
      <c r="P12" s="107">
        <f>IF(N12 = 0, K12 * B6, 0)</f>
        <v>0</v>
      </c>
      <c r="Q12" s="93"/>
      <c r="R12" s="93"/>
    </row>
    <row r="13" spans="1:18" x14ac:dyDescent="0.25">
      <c r="A13" s="96">
        <v>45741</v>
      </c>
      <c r="B13" s="93">
        <v>9567</v>
      </c>
      <c r="C13" s="93">
        <v>23998</v>
      </c>
      <c r="D13" s="93" t="s">
        <v>590</v>
      </c>
      <c r="E13" s="93" t="s">
        <v>591</v>
      </c>
      <c r="F13" s="93">
        <v>22</v>
      </c>
      <c r="G13" s="93" t="s">
        <v>1319</v>
      </c>
      <c r="H13" s="93" t="s">
        <v>1351</v>
      </c>
      <c r="I13" s="93" t="s">
        <v>86</v>
      </c>
      <c r="J13" s="107">
        <v>1553.22</v>
      </c>
      <c r="K13" s="107">
        <v>-42.28</v>
      </c>
      <c r="L13" s="93">
        <v>0.5</v>
      </c>
      <c r="M13" s="107">
        <v>100</v>
      </c>
      <c r="N13" s="107">
        <f>IF(M13&lt;=251, VLOOKUP(B3, 'Look Up Table'!I:J, 2, TRUE) * L13, 0)</f>
        <v>175</v>
      </c>
      <c r="O13" s="107">
        <f>IF(N13&gt;0, N13 - M13, 0)</f>
        <v>75</v>
      </c>
      <c r="P13" s="107">
        <f>IF(N13 = 0, K13 * B6, 0)</f>
        <v>0</v>
      </c>
      <c r="Q13" s="93"/>
      <c r="R13" s="93"/>
    </row>
    <row r="14" spans="1:18" x14ac:dyDescent="0.25">
      <c r="A14" s="96">
        <v>45742</v>
      </c>
      <c r="B14" s="93">
        <v>9671</v>
      </c>
      <c r="C14" s="93">
        <v>24169</v>
      </c>
      <c r="D14" s="93" t="s">
        <v>1126</v>
      </c>
      <c r="E14" s="93" t="s">
        <v>1127</v>
      </c>
      <c r="F14" s="93">
        <v>22</v>
      </c>
      <c r="G14" s="93" t="s">
        <v>1371</v>
      </c>
      <c r="H14" s="93" t="s">
        <v>1433</v>
      </c>
      <c r="I14" s="93" t="s">
        <v>86</v>
      </c>
      <c r="J14" s="107">
        <v>4867.28</v>
      </c>
      <c r="K14" s="107">
        <v>-3155.47</v>
      </c>
      <c r="L14" s="93">
        <v>1</v>
      </c>
      <c r="M14" s="107">
        <v>200</v>
      </c>
      <c r="N14" s="107">
        <f>IF(M14&lt;=251, VLOOKUP(B3, 'Look Up Table'!I:J, 2, TRUE) * L14, 0)</f>
        <v>350</v>
      </c>
      <c r="O14" s="107">
        <f>IF(N14&gt;0, N14 - M14, 0)</f>
        <v>150</v>
      </c>
      <c r="P14" s="107">
        <f>IF(N14 = 0, K14 * B6, 0)</f>
        <v>0</v>
      </c>
      <c r="Q14" s="93"/>
      <c r="R14" s="93"/>
    </row>
    <row r="15" spans="1:18" x14ac:dyDescent="0.25">
      <c r="A15" s="96">
        <v>45743</v>
      </c>
      <c r="B15" s="93">
        <v>9707</v>
      </c>
      <c r="C15" s="93">
        <v>279960</v>
      </c>
      <c r="D15" s="93" t="s">
        <v>1129</v>
      </c>
      <c r="E15" s="93" t="s">
        <v>1130</v>
      </c>
      <c r="F15" s="93">
        <v>22</v>
      </c>
      <c r="G15" s="93" t="s">
        <v>1321</v>
      </c>
      <c r="H15" s="93" t="s">
        <v>1365</v>
      </c>
      <c r="I15" s="93" t="s">
        <v>86</v>
      </c>
      <c r="J15" s="107">
        <v>0</v>
      </c>
      <c r="K15" s="107">
        <v>750</v>
      </c>
      <c r="L15" s="93">
        <v>1</v>
      </c>
      <c r="M15" s="107">
        <v>200</v>
      </c>
      <c r="N15" s="107">
        <f>IF(M15&lt;=251, VLOOKUP(B3, 'Look Up Table'!I:J, 2, TRUE) * L15, 0)</f>
        <v>350</v>
      </c>
      <c r="O15" s="107">
        <f>IF(N15&gt;0, N15 - M15, 0)</f>
        <v>150</v>
      </c>
      <c r="P15" s="107">
        <f>IF(N15 = 0, K15 * B6, 0)</f>
        <v>0</v>
      </c>
      <c r="Q15" s="93"/>
      <c r="R15" s="93"/>
    </row>
    <row r="16" spans="1:18" x14ac:dyDescent="0.25">
      <c r="A16" s="96">
        <v>45744</v>
      </c>
      <c r="B16" s="93">
        <v>9678</v>
      </c>
      <c r="C16" s="93">
        <v>278398</v>
      </c>
      <c r="D16" s="93" t="s">
        <v>1132</v>
      </c>
      <c r="E16" s="93" t="s">
        <v>1133</v>
      </c>
      <c r="F16" s="93">
        <v>25</v>
      </c>
      <c r="G16" s="93" t="s">
        <v>1319</v>
      </c>
      <c r="H16" s="93" t="s">
        <v>1345</v>
      </c>
      <c r="I16" s="93" t="s">
        <v>59</v>
      </c>
      <c r="J16" s="107">
        <v>3549.42</v>
      </c>
      <c r="K16" s="107">
        <v>1100</v>
      </c>
      <c r="L16" s="93">
        <v>1</v>
      </c>
      <c r="M16" s="107">
        <v>200</v>
      </c>
      <c r="N16" s="107">
        <f>IF(M16&lt;=251, VLOOKUP(B3, 'Look Up Table'!I:J, 2, TRUE) * L16, 0)</f>
        <v>350</v>
      </c>
      <c r="O16" s="107">
        <f>IF(N16&gt;0, N16 - M16, 0)</f>
        <v>150</v>
      </c>
      <c r="P16" s="107">
        <f>IF(N16 = 0, K16 * B6, 0)</f>
        <v>0</v>
      </c>
      <c r="Q16" s="93"/>
      <c r="R16" s="93"/>
    </row>
    <row r="17" spans="1:18" x14ac:dyDescent="0.25">
      <c r="A17" s="96">
        <v>45744</v>
      </c>
      <c r="B17" s="93">
        <v>9631</v>
      </c>
      <c r="C17" s="93">
        <v>24087</v>
      </c>
      <c r="D17" s="93" t="s">
        <v>1135</v>
      </c>
      <c r="E17" s="93" t="s">
        <v>1136</v>
      </c>
      <c r="F17" s="93">
        <v>22</v>
      </c>
      <c r="G17" s="93" t="s">
        <v>1319</v>
      </c>
      <c r="H17" s="93" t="s">
        <v>1367</v>
      </c>
      <c r="I17" s="93" t="s">
        <v>86</v>
      </c>
      <c r="J17" s="107">
        <v>1590.85</v>
      </c>
      <c r="K17" s="107">
        <v>-28.53</v>
      </c>
      <c r="L17" s="93">
        <v>0.5</v>
      </c>
      <c r="M17" s="107">
        <v>100</v>
      </c>
      <c r="N17" s="107">
        <f>IF(M17&lt;=251, VLOOKUP(B3, 'Look Up Table'!I:J, 2, TRUE) * L17, 0)</f>
        <v>175</v>
      </c>
      <c r="O17" s="107">
        <f>IF(N17&gt;0, N17 - M17, 0)</f>
        <v>75</v>
      </c>
      <c r="P17" s="107">
        <f>IF(N17 = 0, K17 * B6, 0)</f>
        <v>0</v>
      </c>
      <c r="Q17" s="93"/>
      <c r="R17" s="93"/>
    </row>
    <row r="18" spans="1:18" x14ac:dyDescent="0.25">
      <c r="A18" s="96">
        <v>45747</v>
      </c>
      <c r="B18" s="93">
        <v>9745</v>
      </c>
      <c r="C18" s="93">
        <v>24263</v>
      </c>
      <c r="D18" s="93" t="s">
        <v>1138</v>
      </c>
      <c r="E18" s="93" t="s">
        <v>1139</v>
      </c>
      <c r="F18" s="93">
        <v>25</v>
      </c>
      <c r="G18" s="93" t="s">
        <v>1319</v>
      </c>
      <c r="H18" s="93" t="s">
        <v>1409</v>
      </c>
      <c r="I18" s="93" t="s">
        <v>59</v>
      </c>
      <c r="J18" s="107">
        <v>3804.92</v>
      </c>
      <c r="K18" s="107">
        <v>2420</v>
      </c>
      <c r="L18" s="93">
        <v>1</v>
      </c>
      <c r="M18" s="107">
        <v>435.6</v>
      </c>
      <c r="N18" s="107">
        <f>IF(M18&lt;=251, VLOOKUP(B3, 'Look Up Table'!I:J, 2, TRUE) * L18, 0)</f>
        <v>0</v>
      </c>
      <c r="O18" s="107">
        <f>IF(N18&gt;0, N18 - M18, 0)</f>
        <v>0</v>
      </c>
      <c r="P18" s="107">
        <f>IF(N18 = 0, K18 * B6, 0)</f>
        <v>96.8</v>
      </c>
      <c r="Q18" s="93"/>
      <c r="R18" s="93"/>
    </row>
    <row r="19" spans="1:18" x14ac:dyDescent="0.25">
      <c r="A19" s="96">
        <v>45747</v>
      </c>
      <c r="B19" s="93">
        <v>9865</v>
      </c>
      <c r="C19" s="93">
        <v>24408</v>
      </c>
      <c r="D19" s="93" t="s">
        <v>1140</v>
      </c>
      <c r="E19" s="93" t="s">
        <v>362</v>
      </c>
      <c r="F19" s="93">
        <v>23</v>
      </c>
      <c r="G19" s="93" t="s">
        <v>1319</v>
      </c>
      <c r="H19" s="93" t="s">
        <v>1343</v>
      </c>
      <c r="I19" s="93" t="s">
        <v>86</v>
      </c>
      <c r="J19" s="107">
        <v>6091.88</v>
      </c>
      <c r="K19" s="107">
        <v>-2922.14</v>
      </c>
      <c r="L19" s="93">
        <v>1</v>
      </c>
      <c r="M19" s="107">
        <v>200</v>
      </c>
      <c r="N19" s="107">
        <f>IF(M19&lt;=251, VLOOKUP(B3, 'Look Up Table'!I:J, 2, TRUE) * L19, 0)</f>
        <v>350</v>
      </c>
      <c r="O19" s="107">
        <f>IF(N19&gt;0, N19 - M19, 0)</f>
        <v>150</v>
      </c>
      <c r="P19" s="107">
        <f>IF(N19 = 0, K19 * B6, 0)</f>
        <v>0</v>
      </c>
      <c r="Q19" s="93"/>
      <c r="R19" s="93"/>
    </row>
    <row r="20" spans="1:18" x14ac:dyDescent="0.25">
      <c r="A20" s="96">
        <v>45747</v>
      </c>
      <c r="B20" s="93" t="s">
        <v>940</v>
      </c>
      <c r="C20" s="93">
        <v>23750</v>
      </c>
      <c r="D20" s="93" t="s">
        <v>902</v>
      </c>
      <c r="E20" s="93" t="s">
        <v>903</v>
      </c>
      <c r="F20" s="93">
        <v>22</v>
      </c>
      <c r="G20" s="93" t="s">
        <v>1321</v>
      </c>
      <c r="H20" s="93" t="s">
        <v>1349</v>
      </c>
      <c r="I20" s="93" t="s">
        <v>86</v>
      </c>
      <c r="J20" s="107">
        <v>1742</v>
      </c>
      <c r="K20" s="107">
        <v>2520.85</v>
      </c>
      <c r="L20" s="93">
        <v>0.5</v>
      </c>
      <c r="M20" s="107">
        <v>453.76</v>
      </c>
      <c r="N20" s="107">
        <f>IF(M20&lt;=251, VLOOKUP(B3, 'Look Up Table'!I:J, 2, TRUE) * L20, 0)</f>
        <v>0</v>
      </c>
      <c r="O20" s="107">
        <f>IF(N20&gt;0, N20 - M20, 0)</f>
        <v>0</v>
      </c>
      <c r="P20" s="107">
        <f>IF(N20 = 0, K20 * B6, 0)</f>
        <v>100.834</v>
      </c>
      <c r="Q20" s="93"/>
      <c r="R20" s="93"/>
    </row>
    <row r="21" spans="1:18" x14ac:dyDescent="0.25">
      <c r="A21" s="96">
        <v>45747</v>
      </c>
      <c r="B21" s="93">
        <v>9991</v>
      </c>
      <c r="C21" s="93">
        <v>24542</v>
      </c>
      <c r="D21" s="93" t="s">
        <v>1091</v>
      </c>
      <c r="E21" s="93" t="s">
        <v>1092</v>
      </c>
      <c r="F21" s="93">
        <v>22</v>
      </c>
      <c r="G21" s="93" t="s">
        <v>1321</v>
      </c>
      <c r="H21" s="93" t="s">
        <v>1343</v>
      </c>
      <c r="I21" s="93" t="s">
        <v>86</v>
      </c>
      <c r="J21" s="107">
        <v>575</v>
      </c>
      <c r="K21" s="107">
        <v>1628.97</v>
      </c>
      <c r="L21" s="93">
        <v>0.5</v>
      </c>
      <c r="M21" s="107">
        <v>293.22000000000003</v>
      </c>
      <c r="N21" s="107">
        <f>IF(M21&lt;=251, VLOOKUP(B3, 'Look Up Table'!I:J, 2, TRUE) * L21, 0)</f>
        <v>0</v>
      </c>
      <c r="O21" s="107">
        <f>IF(N21&gt;0, N21 - M21, 0)</f>
        <v>0</v>
      </c>
      <c r="P21" s="107">
        <f>IF(N21 = 0, K21 * B6, 0)</f>
        <v>65.158799999999999</v>
      </c>
      <c r="Q21" s="93"/>
      <c r="R21" s="93"/>
    </row>
    <row r="22" spans="1:18" x14ac:dyDescent="0.25">
      <c r="A22" s="96">
        <v>45747</v>
      </c>
      <c r="B22" s="93">
        <v>9741</v>
      </c>
      <c r="C22" s="93">
        <v>24261</v>
      </c>
      <c r="D22" s="93" t="s">
        <v>1143</v>
      </c>
      <c r="E22" s="93" t="s">
        <v>1144</v>
      </c>
      <c r="F22" s="93">
        <v>23</v>
      </c>
      <c r="G22" s="93" t="s">
        <v>1321</v>
      </c>
      <c r="H22" s="93" t="s">
        <v>1348</v>
      </c>
      <c r="I22" s="93" t="s">
        <v>86</v>
      </c>
      <c r="J22" s="107">
        <v>3451.48</v>
      </c>
      <c r="K22" s="107">
        <v>-9384.66</v>
      </c>
      <c r="L22" s="93">
        <v>1</v>
      </c>
      <c r="M22" s="107">
        <v>200</v>
      </c>
      <c r="N22" s="107">
        <f>IF(M22&lt;=251, VLOOKUP(B3, 'Look Up Table'!I:J, 2, TRUE) * L22, 0)</f>
        <v>350</v>
      </c>
      <c r="O22" s="107">
        <f>IF(N22&gt;0, N22 - M22, 0)</f>
        <v>150</v>
      </c>
      <c r="P22" s="107">
        <f>IF(N22 = 0, K22 * B6, 0)</f>
        <v>0</v>
      </c>
      <c r="Q22" s="93"/>
      <c r="R22" s="93"/>
    </row>
    <row r="23" spans="1:18" x14ac:dyDescent="0.25">
      <c r="A23" s="96">
        <v>45747</v>
      </c>
      <c r="B23" s="93">
        <v>9792</v>
      </c>
      <c r="C23" s="93">
        <v>24317</v>
      </c>
      <c r="D23" s="93" t="s">
        <v>1146</v>
      </c>
      <c r="E23" s="93" t="s">
        <v>1147</v>
      </c>
      <c r="F23" s="93">
        <v>23</v>
      </c>
      <c r="G23" s="93" t="s">
        <v>1360</v>
      </c>
      <c r="H23" s="93" t="s">
        <v>1434</v>
      </c>
      <c r="I23" s="93" t="s">
        <v>86</v>
      </c>
      <c r="J23" s="107">
        <v>0</v>
      </c>
      <c r="K23" s="107">
        <v>1450</v>
      </c>
      <c r="L23" s="93">
        <v>1</v>
      </c>
      <c r="M23" s="107">
        <v>261</v>
      </c>
      <c r="N23" s="107">
        <f>IF(M23&lt;=251, VLOOKUP(B3, 'Look Up Table'!I:J, 2, TRUE) * L23, 0)</f>
        <v>0</v>
      </c>
      <c r="O23" s="107">
        <f>IF(N23&gt;0, N23 - M23, 0)</f>
        <v>0</v>
      </c>
      <c r="P23" s="107">
        <f>IF(N23 = 0, K23 * B6, 0)</f>
        <v>58</v>
      </c>
      <c r="Q23" s="93"/>
      <c r="R23" s="93"/>
    </row>
    <row r="24" spans="1:18" x14ac:dyDescent="0.25">
      <c r="A24" s="96">
        <v>45747</v>
      </c>
      <c r="B24" s="93">
        <v>9896</v>
      </c>
      <c r="C24" s="93">
        <v>24440</v>
      </c>
      <c r="D24" s="93" t="s">
        <v>1149</v>
      </c>
      <c r="E24" s="93" t="s">
        <v>1150</v>
      </c>
      <c r="F24" s="93">
        <v>24</v>
      </c>
      <c r="G24" s="93" t="s">
        <v>1360</v>
      </c>
      <c r="H24" s="93" t="s">
        <v>1434</v>
      </c>
      <c r="I24" s="93" t="s">
        <v>86</v>
      </c>
      <c r="J24" s="107">
        <v>4684</v>
      </c>
      <c r="K24" s="107">
        <v>2325</v>
      </c>
      <c r="L24" s="93">
        <v>1</v>
      </c>
      <c r="M24" s="107">
        <v>418.5</v>
      </c>
      <c r="N24" s="107">
        <f>IF(M24&lt;=251, VLOOKUP(B3, 'Look Up Table'!I:J, 2, TRUE) * L24, 0)</f>
        <v>0</v>
      </c>
      <c r="O24" s="107">
        <f>IF(N24&gt;0, N24 - M24, 0)</f>
        <v>0</v>
      </c>
      <c r="P24" s="107">
        <f>IF(N24 = 0, K24 * B6, 0)</f>
        <v>93</v>
      </c>
      <c r="Q24" s="93"/>
      <c r="R24" s="93"/>
    </row>
    <row r="25" spans="1:18" x14ac:dyDescent="0.25">
      <c r="A25" s="104"/>
      <c r="B25" s="105"/>
      <c r="C25" s="105"/>
      <c r="D25" s="105"/>
      <c r="E25" s="105"/>
      <c r="F25" s="105"/>
      <c r="G25" s="105"/>
      <c r="H25" s="105"/>
      <c r="I25" s="105"/>
      <c r="J25" s="108">
        <f>SUM(J8:J24)</f>
        <v>51837.63</v>
      </c>
      <c r="K25" s="108">
        <f>SUM(K8:K24)</f>
        <v>1089.9700000000012</v>
      </c>
      <c r="L25" s="105">
        <f>SUM(L8:L24)</f>
        <v>14</v>
      </c>
      <c r="M25" s="108">
        <f>SUM(M8:M24)</f>
        <v>4906.2700000000004</v>
      </c>
      <c r="N25" s="108">
        <f>SUM(N8:N24)</f>
        <v>3325</v>
      </c>
      <c r="O25" s="108">
        <f>SUM(O8:O24)</f>
        <v>1425</v>
      </c>
      <c r="P25" s="108">
        <f>SUM(P8:P24)</f>
        <v>668.05759999999998</v>
      </c>
      <c r="Q25" s="93"/>
      <c r="R25" s="93"/>
    </row>
    <row r="27" spans="1:18" x14ac:dyDescent="0.25">
      <c r="J27" s="99" t="s">
        <v>1451</v>
      </c>
      <c r="M27" s="106">
        <f>-VLOOKUP(B2, '3213'!A:G, 7, 0)</f>
        <v>-2324.5300000000002</v>
      </c>
    </row>
    <row r="28" spans="1:18" x14ac:dyDescent="0.25">
      <c r="J28" s="99"/>
      <c r="M28" s="106"/>
    </row>
    <row r="29" spans="1:18" x14ac:dyDescent="0.25">
      <c r="J29" s="99" t="s">
        <v>1264</v>
      </c>
      <c r="K29" s="92">
        <v>0.18</v>
      </c>
      <c r="M29" s="106">
        <f>M25</f>
        <v>4906.2700000000004</v>
      </c>
    </row>
    <row r="30" spans="1:18" x14ac:dyDescent="0.25">
      <c r="J30" s="99"/>
      <c r="M30" s="106"/>
    </row>
    <row r="31" spans="1:18" x14ac:dyDescent="0.25">
      <c r="A31" s="110"/>
      <c r="B31" s="109"/>
      <c r="C31" s="109"/>
      <c r="D31" t="s">
        <v>1448</v>
      </c>
      <c r="J31" s="99" t="s">
        <v>1265</v>
      </c>
      <c r="K31" s="92">
        <f>B6</f>
        <v>0.04</v>
      </c>
      <c r="M31" s="106">
        <f>P25</f>
        <v>668.05759999999998</v>
      </c>
    </row>
    <row r="32" spans="1:18" x14ac:dyDescent="0.25">
      <c r="J32" s="99"/>
      <c r="M32" s="106"/>
    </row>
    <row r="33" spans="1:13" x14ac:dyDescent="0.25">
      <c r="J33" s="99" t="s">
        <v>1452</v>
      </c>
      <c r="M33" s="106">
        <f>O25</f>
        <v>1425</v>
      </c>
    </row>
    <row r="34" spans="1:13" x14ac:dyDescent="0.25">
      <c r="J34" s="99"/>
      <c r="M34" s="106"/>
    </row>
    <row r="35" spans="1:13" x14ac:dyDescent="0.25">
      <c r="J35" s="99" t="s">
        <v>1453</v>
      </c>
      <c r="M35" s="106">
        <f>SUM(P25, O25)</f>
        <v>2093.0576000000001</v>
      </c>
    </row>
    <row r="36" spans="1:13" x14ac:dyDescent="0.25">
      <c r="J36" s="99"/>
      <c r="M36" s="106"/>
    </row>
    <row r="37" spans="1:13" x14ac:dyDescent="0.25">
      <c r="A37" s="110"/>
      <c r="B37" s="109"/>
      <c r="C37" s="109"/>
      <c r="D37" t="s">
        <v>1449</v>
      </c>
      <c r="J37" s="99" t="s">
        <v>1454</v>
      </c>
      <c r="M37" s="106">
        <f>J25</f>
        <v>51837.63</v>
      </c>
    </row>
    <row r="38" spans="1:13" x14ac:dyDescent="0.25">
      <c r="J38" s="99"/>
      <c r="M38" s="106"/>
    </row>
    <row r="39" spans="1:13" x14ac:dyDescent="0.25">
      <c r="J39" s="99" t="s">
        <v>1455</v>
      </c>
      <c r="K39" s="92">
        <v>-0.25</v>
      </c>
      <c r="M39" s="106">
        <f>K39 * M37</f>
        <v>-12959.407499999999</v>
      </c>
    </row>
    <row r="40" spans="1:13" x14ac:dyDescent="0.25">
      <c r="J40" s="99"/>
      <c r="M40" s="106"/>
    </row>
    <row r="41" spans="1:13" x14ac:dyDescent="0.25">
      <c r="J41" s="99" t="s">
        <v>1456</v>
      </c>
      <c r="M41" s="106">
        <f>M37 + M39</f>
        <v>38878.222499999996</v>
      </c>
    </row>
    <row r="42" spans="1:13" x14ac:dyDescent="0.25">
      <c r="J42" s="99"/>
      <c r="M42" s="106"/>
    </row>
    <row r="43" spans="1:13" x14ac:dyDescent="0.25">
      <c r="J43" s="99" t="s">
        <v>1457</v>
      </c>
      <c r="K43" s="92">
        <v>0.05</v>
      </c>
      <c r="M43" s="106">
        <f>K43 * M41</f>
        <v>1943.9111249999999</v>
      </c>
    </row>
    <row r="44" spans="1:13" x14ac:dyDescent="0.25">
      <c r="J44" s="99"/>
      <c r="M44" s="106"/>
    </row>
    <row r="45" spans="1:13" x14ac:dyDescent="0.25">
      <c r="J45" s="99" t="s">
        <v>1458</v>
      </c>
      <c r="K45" t="str">
        <f>VLOOKUP(B2,'Pay Summary'!A:D,4,0)</f>
        <v/>
      </c>
      <c r="M45" s="106">
        <f>IF(K45 = 1, 500, 0)</f>
        <v>0</v>
      </c>
    </row>
    <row r="46" spans="1:13" x14ac:dyDescent="0.25">
      <c r="J46" s="99"/>
      <c r="M46" s="106"/>
    </row>
    <row r="47" spans="1:13" x14ac:dyDescent="0.25">
      <c r="J47" s="99" t="s">
        <v>1450</v>
      </c>
      <c r="K47">
        <f>L25</f>
        <v>14</v>
      </c>
      <c r="M47" s="106">
        <f>VLOOKUP(K47, 'Look Up Table'!E:F, 2, TRUE)</f>
        <v>750</v>
      </c>
    </row>
    <row r="48" spans="1:13" x14ac:dyDescent="0.25">
      <c r="J48" s="99"/>
      <c r="M48" s="106"/>
    </row>
    <row r="49" spans="10:15" x14ac:dyDescent="0.25">
      <c r="J49" s="99" t="s">
        <v>1306</v>
      </c>
      <c r="K49" s="111" t="str">
        <f>B4</f>
        <v>3P</v>
      </c>
      <c r="M49" s="106">
        <f>IF(B5&gt;=3,IF(B4="3P",L25*50,IF(B4="A",0,IF(B4="B",L25*-50))),0)</f>
        <v>700</v>
      </c>
      <c r="N49" s="99" t="s">
        <v>1463</v>
      </c>
      <c r="O49" s="112">
        <f>'NPS Sheet'!X51</f>
        <v>0.91700000000000004</v>
      </c>
    </row>
    <row r="50" spans="10:15" x14ac:dyDescent="0.25">
      <c r="J50" s="99"/>
      <c r="M50" s="106"/>
    </row>
    <row r="51" spans="10:15" x14ac:dyDescent="0.25">
      <c r="J51" s="99" t="s">
        <v>1459</v>
      </c>
      <c r="M51" s="106">
        <f>SUM(M47, M49, M45)</f>
        <v>1450</v>
      </c>
    </row>
    <row r="52" spans="10:15" x14ac:dyDescent="0.25">
      <c r="J52" s="99"/>
      <c r="M52" s="106"/>
    </row>
    <row r="53" spans="10:15" x14ac:dyDescent="0.25">
      <c r="J53" s="99" t="s">
        <v>1460</v>
      </c>
      <c r="M53" s="106">
        <f>IFERROR(VLOOKUP(B2,SPIFFS!A:H,8,0),0)</f>
        <v>550</v>
      </c>
    </row>
    <row r="54" spans="10:15" x14ac:dyDescent="0.25">
      <c r="J54" s="99"/>
      <c r="M54" s="106"/>
    </row>
    <row r="55" spans="10:15" x14ac:dyDescent="0.25">
      <c r="J55" s="99" t="s">
        <v>1461</v>
      </c>
      <c r="M55" s="106">
        <f>SUM(M29, M35, M43, M51, M27, M53)</f>
        <v>8618.7087250000004</v>
      </c>
    </row>
    <row r="56" spans="10:15" x14ac:dyDescent="0.25">
      <c r="J56" s="99"/>
      <c r="M56" s="106"/>
    </row>
    <row r="57" spans="10:15" x14ac:dyDescent="0.25">
      <c r="J57" s="99" t="s">
        <v>1462</v>
      </c>
      <c r="M57" s="106">
        <f>IF(M55&lt;0, SUM(M27, M51, M43, M35), 0)</f>
        <v>0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6A78D-4515-47D3-9990-A35C734ECF4E}">
  <dimension ref="A1:R55"/>
  <sheetViews>
    <sheetView workbookViewId="0"/>
  </sheetViews>
  <sheetFormatPr defaultRowHeight="15" x14ac:dyDescent="0.25"/>
  <cols>
    <col min="1" max="1" width="23" style="95" bestFit="1" customWidth="1"/>
    <col min="2" max="2" width="13.28515625" bestFit="1" customWidth="1"/>
    <col min="3" max="3" width="11.42578125" bestFit="1" customWidth="1"/>
    <col min="4" max="4" width="22.42578125" bestFit="1" customWidth="1"/>
    <col min="5" max="5" width="9.85546875" bestFit="1" customWidth="1"/>
    <col min="6" max="6" width="5" bestFit="1" customWidth="1"/>
    <col min="7" max="7" width="12" bestFit="1" customWidth="1"/>
    <col min="8" max="8" width="17.5703125" bestFit="1" customWidth="1"/>
    <col min="9" max="9" width="9.5703125" bestFit="1" customWidth="1"/>
    <col min="10" max="10" width="23.140625" bestFit="1" customWidth="1"/>
    <col min="11" max="11" width="18.42578125" bestFit="1" customWidth="1"/>
    <col min="12" max="12" width="5.7109375" bestFit="1" customWidth="1"/>
    <col min="13" max="13" width="20.140625" bestFit="1" customWidth="1"/>
    <col min="14" max="14" width="13.7109375" bestFit="1" customWidth="1"/>
    <col min="15" max="15" width="11.5703125" bestFit="1" customWidth="1"/>
    <col min="16" max="16" width="24.85546875" bestFit="1" customWidth="1"/>
  </cols>
  <sheetData>
    <row r="1" spans="1:18" x14ac:dyDescent="0.25">
      <c r="A1" s="101" t="s">
        <v>1249</v>
      </c>
      <c r="B1" s="100" t="s">
        <v>40</v>
      </c>
    </row>
    <row r="2" spans="1:18" x14ac:dyDescent="0.25">
      <c r="A2" s="101" t="s">
        <v>1307</v>
      </c>
      <c r="B2" s="100">
        <v>277065</v>
      </c>
    </row>
    <row r="3" spans="1:18" x14ac:dyDescent="0.25">
      <c r="A3" s="101" t="s">
        <v>1305</v>
      </c>
      <c r="B3" s="100">
        <f>VLOOKUP(B2, '90'!A:E, 5, 0)</f>
        <v>23</v>
      </c>
    </row>
    <row r="4" spans="1:18" x14ac:dyDescent="0.25">
      <c r="A4" s="101" t="s">
        <v>1306</v>
      </c>
      <c r="B4" s="100" t="str">
        <f>IFERROR(VLOOKUP(B2, NPS!B:H, 7, 0), 0)</f>
        <v>3P</v>
      </c>
    </row>
    <row r="5" spans="1:18" x14ac:dyDescent="0.25">
      <c r="A5" s="101" t="s">
        <v>1257</v>
      </c>
      <c r="B5" s="100">
        <f>IFERROR(VLOOKUP(B2, NPS!B:H, 3, 0), 0)</f>
        <v>4</v>
      </c>
    </row>
    <row r="6" spans="1:18" x14ac:dyDescent="0.25">
      <c r="A6" s="101" t="s">
        <v>1447</v>
      </c>
      <c r="B6" s="103">
        <f>VLOOKUP(12, 'Look Up Table'!A:B, 2, TRUE)</f>
        <v>0.04</v>
      </c>
    </row>
    <row r="7" spans="1:18" ht="50.1" customHeight="1" x14ac:dyDescent="0.25">
      <c r="A7" s="102" t="s">
        <v>43</v>
      </c>
      <c r="B7" s="80" t="s">
        <v>1308</v>
      </c>
      <c r="C7" s="80" t="s">
        <v>1309</v>
      </c>
      <c r="D7" s="80" t="s">
        <v>48</v>
      </c>
      <c r="E7" s="80" t="s">
        <v>1310</v>
      </c>
      <c r="F7" s="80" t="s">
        <v>1311</v>
      </c>
      <c r="G7" s="80" t="s">
        <v>1312</v>
      </c>
      <c r="H7" s="80" t="s">
        <v>1313</v>
      </c>
      <c r="I7" s="80" t="s">
        <v>51</v>
      </c>
      <c r="J7" s="80" t="s">
        <v>1314</v>
      </c>
      <c r="K7" s="80" t="s">
        <v>1315</v>
      </c>
      <c r="L7" s="80" t="s">
        <v>54</v>
      </c>
      <c r="M7" s="80" t="s">
        <v>55</v>
      </c>
      <c r="N7" s="80" t="s">
        <v>1316</v>
      </c>
      <c r="O7" s="80" t="s">
        <v>1317</v>
      </c>
      <c r="P7" s="80" t="s">
        <v>1318</v>
      </c>
    </row>
    <row r="8" spans="1:18" x14ac:dyDescent="0.25">
      <c r="A8" s="96">
        <v>45722</v>
      </c>
      <c r="B8" s="93">
        <v>9338</v>
      </c>
      <c r="C8" s="93">
        <v>23588</v>
      </c>
      <c r="D8" s="93" t="s">
        <v>1154</v>
      </c>
      <c r="E8" s="97" t="s">
        <v>1155</v>
      </c>
      <c r="F8" s="93">
        <v>24</v>
      </c>
      <c r="G8" s="93" t="s">
        <v>1319</v>
      </c>
      <c r="H8" s="93" t="s">
        <v>1351</v>
      </c>
      <c r="I8" s="93" t="s">
        <v>86</v>
      </c>
      <c r="J8" s="107">
        <v>370</v>
      </c>
      <c r="K8" s="107">
        <v>-1312.6</v>
      </c>
      <c r="L8" s="93">
        <v>1</v>
      </c>
      <c r="M8" s="107">
        <v>200</v>
      </c>
      <c r="N8" s="107">
        <f>IF(M8&lt;=251, VLOOKUP(B3, 'Look Up Table'!I:J, 2, TRUE) * L8, 0)</f>
        <v>350</v>
      </c>
      <c r="O8" s="107">
        <f>IF(N8&gt;0, N8 - M8, 0)</f>
        <v>150</v>
      </c>
      <c r="P8" s="107">
        <f>IF(N8 = 0, K8 * B6, 0)</f>
        <v>0</v>
      </c>
      <c r="Q8" s="93"/>
      <c r="R8" s="93"/>
    </row>
    <row r="9" spans="1:18" x14ac:dyDescent="0.25">
      <c r="A9" s="96">
        <v>45728</v>
      </c>
      <c r="B9" s="93">
        <v>9487</v>
      </c>
      <c r="C9" s="93">
        <v>23833</v>
      </c>
      <c r="D9" s="93" t="s">
        <v>1156</v>
      </c>
      <c r="E9" s="93" t="s">
        <v>1157</v>
      </c>
      <c r="F9" s="93">
        <v>23</v>
      </c>
      <c r="G9" s="93" t="s">
        <v>1321</v>
      </c>
      <c r="H9" s="93" t="s">
        <v>1356</v>
      </c>
      <c r="I9" s="93" t="s">
        <v>86</v>
      </c>
      <c r="J9" s="107">
        <v>5526.16</v>
      </c>
      <c r="K9" s="107">
        <v>3062.67</v>
      </c>
      <c r="L9" s="93">
        <v>1</v>
      </c>
      <c r="M9" s="107">
        <v>551.28</v>
      </c>
      <c r="N9" s="107">
        <f>IF(M9&lt;=251, VLOOKUP(B3, 'Look Up Table'!I:J, 2, TRUE) * L9, 0)</f>
        <v>0</v>
      </c>
      <c r="O9" s="107">
        <f>IF(N9&gt;0, N9 - M9, 0)</f>
        <v>0</v>
      </c>
      <c r="P9" s="107">
        <f>IF(N9 = 0, K9 * B6, 0)</f>
        <v>122.5068</v>
      </c>
      <c r="Q9" s="93"/>
      <c r="R9" s="93"/>
    </row>
    <row r="10" spans="1:18" x14ac:dyDescent="0.25">
      <c r="A10" s="96">
        <v>45730</v>
      </c>
      <c r="B10" s="93">
        <v>9518</v>
      </c>
      <c r="C10" s="93">
        <v>283417</v>
      </c>
      <c r="D10" s="93" t="s">
        <v>486</v>
      </c>
      <c r="E10" s="93" t="s">
        <v>487</v>
      </c>
      <c r="F10" s="93">
        <v>25</v>
      </c>
      <c r="G10" s="93" t="s">
        <v>1319</v>
      </c>
      <c r="H10" s="93" t="s">
        <v>1320</v>
      </c>
      <c r="I10" s="93" t="s">
        <v>59</v>
      </c>
      <c r="J10" s="107">
        <v>3603.02</v>
      </c>
      <c r="K10" s="107">
        <v>-2426</v>
      </c>
      <c r="L10" s="93">
        <v>0.5</v>
      </c>
      <c r="M10" s="107">
        <v>100</v>
      </c>
      <c r="N10" s="107">
        <f>IF(M10&lt;=251, VLOOKUP(B3, 'Look Up Table'!I:J, 2, TRUE) * L10, 0)</f>
        <v>175</v>
      </c>
      <c r="O10" s="107">
        <f>IF(N10&gt;0, N10 - M10, 0)</f>
        <v>75</v>
      </c>
      <c r="P10" s="107">
        <f>IF(N10 = 0, K10 * B6, 0)</f>
        <v>0</v>
      </c>
      <c r="Q10" s="93"/>
      <c r="R10" s="93"/>
    </row>
    <row r="11" spans="1:18" x14ac:dyDescent="0.25">
      <c r="A11" s="96">
        <v>45734</v>
      </c>
      <c r="B11" s="93">
        <v>9395</v>
      </c>
      <c r="C11" s="93">
        <v>23700</v>
      </c>
      <c r="D11" s="93" t="s">
        <v>1161</v>
      </c>
      <c r="E11" s="93" t="s">
        <v>1162</v>
      </c>
      <c r="F11" s="93">
        <v>22</v>
      </c>
      <c r="G11" s="93" t="s">
        <v>1321</v>
      </c>
      <c r="H11" s="93" t="s">
        <v>1349</v>
      </c>
      <c r="I11" s="93" t="s">
        <v>86</v>
      </c>
      <c r="J11" s="107">
        <v>2738.05</v>
      </c>
      <c r="K11" s="107">
        <v>211.95</v>
      </c>
      <c r="L11" s="93">
        <v>1</v>
      </c>
      <c r="M11" s="107">
        <v>200</v>
      </c>
      <c r="N11" s="107">
        <f>IF(M11&lt;=251, VLOOKUP(B3, 'Look Up Table'!I:J, 2, TRUE) * L11, 0)</f>
        <v>350</v>
      </c>
      <c r="O11" s="107">
        <f>IF(N11&gt;0, N11 - M11, 0)</f>
        <v>150</v>
      </c>
      <c r="P11" s="107">
        <f>IF(N11 = 0, K11 * B6, 0)</f>
        <v>0</v>
      </c>
      <c r="Q11" s="93"/>
      <c r="R11" s="93"/>
    </row>
    <row r="12" spans="1:18" x14ac:dyDescent="0.25">
      <c r="A12" s="96">
        <v>45736</v>
      </c>
      <c r="B12" s="93">
        <v>9640</v>
      </c>
      <c r="C12" s="93">
        <v>22089</v>
      </c>
      <c r="D12" s="93" t="s">
        <v>1165</v>
      </c>
      <c r="E12" s="93" t="s">
        <v>128</v>
      </c>
      <c r="F12" s="93">
        <v>23</v>
      </c>
      <c r="G12" s="93" t="s">
        <v>1435</v>
      </c>
      <c r="H12" s="93" t="s">
        <v>1436</v>
      </c>
      <c r="I12" s="93" t="s">
        <v>86</v>
      </c>
      <c r="J12" s="107">
        <v>4430.45</v>
      </c>
      <c r="K12" s="107">
        <v>-1736.56</v>
      </c>
      <c r="L12" s="93">
        <v>1</v>
      </c>
      <c r="M12" s="107">
        <v>200</v>
      </c>
      <c r="N12" s="107">
        <f>IF(M12&lt;=251, VLOOKUP(B3, 'Look Up Table'!I:J, 2, TRUE) * L12, 0)</f>
        <v>350</v>
      </c>
      <c r="O12" s="107">
        <f>IF(N12&gt;0, N12 - M12, 0)</f>
        <v>150</v>
      </c>
      <c r="P12" s="107">
        <f>IF(N12 = 0, K12 * B6, 0)</f>
        <v>0</v>
      </c>
      <c r="Q12" s="93"/>
      <c r="R12" s="93"/>
    </row>
    <row r="13" spans="1:18" x14ac:dyDescent="0.25">
      <c r="A13" s="96">
        <v>45742</v>
      </c>
      <c r="B13" s="93">
        <v>9688</v>
      </c>
      <c r="C13" s="93">
        <v>211426</v>
      </c>
      <c r="D13" s="93" t="s">
        <v>967</v>
      </c>
      <c r="E13" s="93" t="s">
        <v>968</v>
      </c>
      <c r="F13" s="93">
        <v>22</v>
      </c>
      <c r="G13" s="93" t="s">
        <v>1321</v>
      </c>
      <c r="H13" s="93" t="s">
        <v>1356</v>
      </c>
      <c r="I13" s="93" t="s">
        <v>86</v>
      </c>
      <c r="J13" s="107">
        <v>1224.81</v>
      </c>
      <c r="K13" s="107">
        <v>2057.2600000000002</v>
      </c>
      <c r="L13" s="93">
        <v>0.5</v>
      </c>
      <c r="M13" s="107">
        <v>370.31</v>
      </c>
      <c r="N13" s="107">
        <f>IF(M13&lt;=251, VLOOKUP(B3, 'Look Up Table'!I:J, 2, TRUE) * L13, 0)</f>
        <v>0</v>
      </c>
      <c r="O13" s="107">
        <f>IF(N13&gt;0, N13 - M13, 0)</f>
        <v>0</v>
      </c>
      <c r="P13" s="107">
        <f>IF(N13 = 0, K13 * B6, 0)</f>
        <v>82.290400000000005</v>
      </c>
      <c r="Q13" s="93"/>
      <c r="R13" s="93"/>
    </row>
    <row r="14" spans="1:18" x14ac:dyDescent="0.25">
      <c r="A14" s="96">
        <v>45743</v>
      </c>
      <c r="B14" s="93">
        <v>9698</v>
      </c>
      <c r="C14" s="93">
        <v>14282</v>
      </c>
      <c r="D14" s="93" t="s">
        <v>1168</v>
      </c>
      <c r="E14" s="93" t="s">
        <v>1169</v>
      </c>
      <c r="F14" s="93">
        <v>24</v>
      </c>
      <c r="G14" s="93" t="s">
        <v>1321</v>
      </c>
      <c r="H14" s="93" t="s">
        <v>1404</v>
      </c>
      <c r="I14" s="93" t="s">
        <v>86</v>
      </c>
      <c r="J14" s="107">
        <v>8378.86</v>
      </c>
      <c r="K14" s="107">
        <v>4214.72</v>
      </c>
      <c r="L14" s="93">
        <v>1</v>
      </c>
      <c r="M14" s="107">
        <v>758.65</v>
      </c>
      <c r="N14" s="107">
        <f>IF(M14&lt;=251, VLOOKUP(B3, 'Look Up Table'!I:J, 2, TRUE) * L14, 0)</f>
        <v>0</v>
      </c>
      <c r="O14" s="107">
        <f>IF(N14&gt;0, N14 - M14, 0)</f>
        <v>0</v>
      </c>
      <c r="P14" s="107">
        <f>IF(N14 = 0, K14 * B6, 0)</f>
        <v>168.58880000000002</v>
      </c>
      <c r="Q14" s="93"/>
      <c r="R14" s="93"/>
    </row>
    <row r="15" spans="1:18" x14ac:dyDescent="0.25">
      <c r="A15" s="96">
        <v>45744</v>
      </c>
      <c r="B15" s="93">
        <v>9631</v>
      </c>
      <c r="C15" s="93">
        <v>24087</v>
      </c>
      <c r="D15" s="93" t="s">
        <v>1135</v>
      </c>
      <c r="E15" s="93" t="s">
        <v>1136</v>
      </c>
      <c r="F15" s="93">
        <v>22</v>
      </c>
      <c r="G15" s="93" t="s">
        <v>1319</v>
      </c>
      <c r="H15" s="93" t="s">
        <v>1367</v>
      </c>
      <c r="I15" s="93" t="s">
        <v>86</v>
      </c>
      <c r="J15" s="107">
        <v>1590.85</v>
      </c>
      <c r="K15" s="107">
        <v>-28.53</v>
      </c>
      <c r="L15" s="93">
        <v>0.5</v>
      </c>
      <c r="M15" s="107">
        <v>100</v>
      </c>
      <c r="N15" s="107">
        <f>IF(M15&lt;=251, VLOOKUP(B3, 'Look Up Table'!I:J, 2, TRUE) * L15, 0)</f>
        <v>175</v>
      </c>
      <c r="O15" s="107">
        <f>IF(N15&gt;0, N15 - M15, 0)</f>
        <v>75</v>
      </c>
      <c r="P15" s="107">
        <f>IF(N15 = 0, K15 * B6, 0)</f>
        <v>0</v>
      </c>
      <c r="Q15" s="93"/>
      <c r="R15" s="93"/>
    </row>
    <row r="16" spans="1:18" x14ac:dyDescent="0.25">
      <c r="A16" s="96">
        <v>45744</v>
      </c>
      <c r="B16" s="93">
        <v>9760</v>
      </c>
      <c r="C16" s="93">
        <v>24274</v>
      </c>
      <c r="D16" s="93" t="s">
        <v>1173</v>
      </c>
      <c r="E16" s="93" t="s">
        <v>1174</v>
      </c>
      <c r="F16" s="93">
        <v>23</v>
      </c>
      <c r="G16" s="93" t="s">
        <v>1319</v>
      </c>
      <c r="H16" s="93" t="s">
        <v>1363</v>
      </c>
      <c r="I16" s="93" t="s">
        <v>86</v>
      </c>
      <c r="J16" s="107">
        <v>1</v>
      </c>
      <c r="K16" s="107">
        <v>-6907.26</v>
      </c>
      <c r="L16" s="93">
        <v>1</v>
      </c>
      <c r="M16" s="107">
        <v>200</v>
      </c>
      <c r="N16" s="107">
        <f>IF(M16&lt;=251, VLOOKUP(B3, 'Look Up Table'!I:J, 2, TRUE) * L16, 0)</f>
        <v>350</v>
      </c>
      <c r="O16" s="107">
        <f>IF(N16&gt;0, N16 - M16, 0)</f>
        <v>150</v>
      </c>
      <c r="P16" s="107">
        <f>IF(N16 = 0, K16 * B6, 0)</f>
        <v>0</v>
      </c>
      <c r="Q16" s="93"/>
      <c r="R16" s="93"/>
    </row>
    <row r="17" spans="1:18" x14ac:dyDescent="0.25">
      <c r="A17" s="96">
        <v>45744</v>
      </c>
      <c r="B17" s="93">
        <v>9751</v>
      </c>
      <c r="C17" s="93">
        <v>24267</v>
      </c>
      <c r="D17" s="93" t="s">
        <v>1176</v>
      </c>
      <c r="E17" s="93" t="s">
        <v>1177</v>
      </c>
      <c r="F17" s="93">
        <v>23</v>
      </c>
      <c r="G17" s="93" t="s">
        <v>1437</v>
      </c>
      <c r="H17" s="93" t="s">
        <v>1438</v>
      </c>
      <c r="I17" s="93" t="s">
        <v>86</v>
      </c>
      <c r="J17" s="107">
        <v>1883.14</v>
      </c>
      <c r="K17" s="107">
        <v>1863.02</v>
      </c>
      <c r="L17" s="93">
        <v>1</v>
      </c>
      <c r="M17" s="107">
        <v>335.34</v>
      </c>
      <c r="N17" s="107">
        <f>IF(M17&lt;=251, VLOOKUP(B3, 'Look Up Table'!I:J, 2, TRUE) * L17, 0)</f>
        <v>0</v>
      </c>
      <c r="O17" s="107">
        <f>IF(N17&gt;0, N17 - M17, 0)</f>
        <v>0</v>
      </c>
      <c r="P17" s="107">
        <f>IF(N17 = 0, K17 * B6, 0)</f>
        <v>74.520799999999994</v>
      </c>
      <c r="Q17" s="93"/>
      <c r="R17" s="93"/>
    </row>
    <row r="18" spans="1:18" x14ac:dyDescent="0.25">
      <c r="A18" s="96">
        <v>45747</v>
      </c>
      <c r="B18" s="93" t="s">
        <v>980</v>
      </c>
      <c r="C18" s="93">
        <v>24374</v>
      </c>
      <c r="D18" s="93" t="s">
        <v>974</v>
      </c>
      <c r="E18" s="93" t="s">
        <v>975</v>
      </c>
      <c r="F18" s="93">
        <v>25</v>
      </c>
      <c r="G18" s="93" t="s">
        <v>1329</v>
      </c>
      <c r="H18" s="93" t="s">
        <v>1330</v>
      </c>
      <c r="I18" s="93" t="s">
        <v>59</v>
      </c>
      <c r="J18" s="107">
        <v>655.93</v>
      </c>
      <c r="K18" s="107">
        <v>-1288.44</v>
      </c>
      <c r="L18" s="93">
        <v>0.5</v>
      </c>
      <c r="M18" s="107">
        <v>100</v>
      </c>
      <c r="N18" s="107">
        <f>IF(M18&lt;=251, VLOOKUP(B3, 'Look Up Table'!I:J, 2, TRUE) * L18, 0)</f>
        <v>175</v>
      </c>
      <c r="O18" s="107">
        <f>IF(N18&gt;0, N18 - M18, 0)</f>
        <v>75</v>
      </c>
      <c r="P18" s="107">
        <f>IF(N18 = 0, K18 * B6, 0)</f>
        <v>0</v>
      </c>
      <c r="Q18" s="93"/>
      <c r="R18" s="93"/>
    </row>
    <row r="19" spans="1:18" x14ac:dyDescent="0.25">
      <c r="A19" s="96">
        <v>45747</v>
      </c>
      <c r="B19" s="93">
        <v>9561</v>
      </c>
      <c r="C19" s="93">
        <v>23968</v>
      </c>
      <c r="D19" s="93" t="s">
        <v>1181</v>
      </c>
      <c r="E19" s="93" t="s">
        <v>1182</v>
      </c>
      <c r="F19" s="93">
        <v>21</v>
      </c>
      <c r="G19" s="93" t="s">
        <v>1319</v>
      </c>
      <c r="H19" s="93" t="s">
        <v>1388</v>
      </c>
      <c r="I19" s="93" t="s">
        <v>86</v>
      </c>
      <c r="J19" s="107">
        <v>3126.58</v>
      </c>
      <c r="K19" s="107">
        <v>750</v>
      </c>
      <c r="L19" s="93">
        <v>1</v>
      </c>
      <c r="M19" s="107">
        <v>200</v>
      </c>
      <c r="N19" s="107">
        <f>IF(M19&lt;=251, VLOOKUP(B3, 'Look Up Table'!I:J, 2, TRUE) * L19, 0)</f>
        <v>350</v>
      </c>
      <c r="O19" s="107">
        <f>IF(N19&gt;0, N19 - M19, 0)</f>
        <v>150</v>
      </c>
      <c r="P19" s="107">
        <f>IF(N19 = 0, K19 * B6, 0)</f>
        <v>0</v>
      </c>
      <c r="Q19" s="93"/>
      <c r="R19" s="93"/>
    </row>
    <row r="20" spans="1:18" x14ac:dyDescent="0.25">
      <c r="A20" s="96">
        <v>45747</v>
      </c>
      <c r="B20" s="93">
        <v>9777</v>
      </c>
      <c r="C20" s="93">
        <v>24285</v>
      </c>
      <c r="D20" s="93" t="s">
        <v>1184</v>
      </c>
      <c r="E20" s="93" t="s">
        <v>1185</v>
      </c>
      <c r="F20" s="93">
        <v>22</v>
      </c>
      <c r="G20" s="93" t="s">
        <v>1319</v>
      </c>
      <c r="H20" s="93" t="s">
        <v>1351</v>
      </c>
      <c r="I20" s="93" t="s">
        <v>86</v>
      </c>
      <c r="J20" s="107">
        <v>5215.1099999999997</v>
      </c>
      <c r="K20" s="107">
        <v>-4423.93</v>
      </c>
      <c r="L20" s="93">
        <v>1</v>
      </c>
      <c r="M20" s="107">
        <v>200</v>
      </c>
      <c r="N20" s="107">
        <f>IF(M20&lt;=251, VLOOKUP(B3, 'Look Up Table'!I:J, 2, TRUE) * L20, 0)</f>
        <v>350</v>
      </c>
      <c r="O20" s="107">
        <f>IF(N20&gt;0, N20 - M20, 0)</f>
        <v>150</v>
      </c>
      <c r="P20" s="107">
        <f>IF(N20 = 0, K20 * B6, 0)</f>
        <v>0</v>
      </c>
      <c r="Q20" s="93"/>
      <c r="R20" s="93"/>
    </row>
    <row r="21" spans="1:18" x14ac:dyDescent="0.25">
      <c r="A21" s="96">
        <v>45747</v>
      </c>
      <c r="B21" s="93">
        <v>9900</v>
      </c>
      <c r="C21" s="93">
        <v>24447</v>
      </c>
      <c r="D21" s="93" t="s">
        <v>1186</v>
      </c>
      <c r="E21" s="93" t="s">
        <v>1187</v>
      </c>
      <c r="F21" s="93">
        <v>22</v>
      </c>
      <c r="G21" s="93" t="s">
        <v>1319</v>
      </c>
      <c r="H21" s="93" t="s">
        <v>1367</v>
      </c>
      <c r="I21" s="93" t="s">
        <v>86</v>
      </c>
      <c r="J21" s="107">
        <v>1593.59</v>
      </c>
      <c r="K21" s="107">
        <v>-1209.22</v>
      </c>
      <c r="L21" s="93">
        <v>0.5</v>
      </c>
      <c r="M21" s="107">
        <v>100</v>
      </c>
      <c r="N21" s="107">
        <f>IF(M21&lt;=251, VLOOKUP(B3, 'Look Up Table'!I:J, 2, TRUE) * L21, 0)</f>
        <v>175</v>
      </c>
      <c r="O21" s="107">
        <f>IF(N21&gt;0, N21 - M21, 0)</f>
        <v>75</v>
      </c>
      <c r="P21" s="107">
        <f>IF(N21 = 0, K21 * B6, 0)</f>
        <v>0</v>
      </c>
      <c r="Q21" s="93"/>
      <c r="R21" s="93"/>
    </row>
    <row r="22" spans="1:18" x14ac:dyDescent="0.25">
      <c r="A22" s="96">
        <v>45747</v>
      </c>
      <c r="B22" s="93">
        <v>9946</v>
      </c>
      <c r="C22" s="93">
        <v>24492</v>
      </c>
      <c r="D22" s="93" t="s">
        <v>608</v>
      </c>
      <c r="E22" s="93" t="s">
        <v>609</v>
      </c>
      <c r="F22" s="93">
        <v>23</v>
      </c>
      <c r="G22" s="93" t="s">
        <v>1371</v>
      </c>
      <c r="H22" s="93" t="s">
        <v>1403</v>
      </c>
      <c r="I22" s="93" t="s">
        <v>86</v>
      </c>
      <c r="J22" s="107">
        <v>592.5</v>
      </c>
      <c r="K22" s="107">
        <v>1688.88</v>
      </c>
      <c r="L22" s="93">
        <v>0.5</v>
      </c>
      <c r="M22" s="107">
        <v>304</v>
      </c>
      <c r="N22" s="107">
        <f>IF(M22&lt;=251, VLOOKUP(B3, 'Look Up Table'!I:J, 2, TRUE) * L22, 0)</f>
        <v>0</v>
      </c>
      <c r="O22" s="107">
        <f>IF(N22&gt;0, N22 - M22, 0)</f>
        <v>0</v>
      </c>
      <c r="P22" s="107">
        <f>IF(N22 = 0, K22 * B6, 0)</f>
        <v>67.555199999999999</v>
      </c>
      <c r="Q22" s="93"/>
      <c r="R22" s="93"/>
    </row>
    <row r="23" spans="1:18" x14ac:dyDescent="0.25">
      <c r="A23" s="104"/>
      <c r="B23" s="105"/>
      <c r="C23" s="105"/>
      <c r="D23" s="105"/>
      <c r="E23" s="105"/>
      <c r="F23" s="105"/>
      <c r="G23" s="105"/>
      <c r="H23" s="105"/>
      <c r="I23" s="105"/>
      <c r="J23" s="108">
        <f>SUM(J8:J22)</f>
        <v>40930.049999999996</v>
      </c>
      <c r="K23" s="108">
        <f>SUM(K8:K22)</f>
        <v>-5484.0400000000009</v>
      </c>
      <c r="L23" s="105">
        <f>SUM(L8:L22)</f>
        <v>12</v>
      </c>
      <c r="M23" s="108">
        <f>SUM(M8:M22)</f>
        <v>3919.58</v>
      </c>
      <c r="N23" s="108">
        <f>SUM(N8:N22)</f>
        <v>2800</v>
      </c>
      <c r="O23" s="108">
        <f>SUM(O8:O22)</f>
        <v>1200</v>
      </c>
      <c r="P23" s="108">
        <f>SUM(P8:P22)</f>
        <v>515.46199999999999</v>
      </c>
      <c r="Q23" s="93"/>
      <c r="R23" s="93"/>
    </row>
    <row r="25" spans="1:18" x14ac:dyDescent="0.25">
      <c r="J25" s="99" t="s">
        <v>1451</v>
      </c>
      <c r="M25" s="106">
        <f>-VLOOKUP(B2, '3213'!A:G, 7, 0)</f>
        <v>-2639.52</v>
      </c>
    </row>
    <row r="26" spans="1:18" x14ac:dyDescent="0.25">
      <c r="J26" s="99"/>
      <c r="M26" s="106"/>
    </row>
    <row r="27" spans="1:18" x14ac:dyDescent="0.25">
      <c r="J27" s="99" t="s">
        <v>1264</v>
      </c>
      <c r="K27" s="92">
        <v>0.18</v>
      </c>
      <c r="M27" s="106">
        <f>M23</f>
        <v>3919.58</v>
      </c>
    </row>
    <row r="28" spans="1:18" x14ac:dyDescent="0.25">
      <c r="J28" s="99"/>
      <c r="M28" s="106"/>
    </row>
    <row r="29" spans="1:18" x14ac:dyDescent="0.25">
      <c r="A29" s="110"/>
      <c r="B29" s="109"/>
      <c r="C29" s="109"/>
      <c r="D29" t="s">
        <v>1448</v>
      </c>
      <c r="J29" s="99" t="s">
        <v>1265</v>
      </c>
      <c r="K29" s="92">
        <f>B6</f>
        <v>0.04</v>
      </c>
      <c r="M29" s="106">
        <f>P23</f>
        <v>515.46199999999999</v>
      </c>
    </row>
    <row r="30" spans="1:18" x14ac:dyDescent="0.25">
      <c r="J30" s="99"/>
      <c r="M30" s="106"/>
    </row>
    <row r="31" spans="1:18" x14ac:dyDescent="0.25">
      <c r="J31" s="99" t="s">
        <v>1452</v>
      </c>
      <c r="M31" s="106">
        <f>O23</f>
        <v>1200</v>
      </c>
    </row>
    <row r="32" spans="1:18" x14ac:dyDescent="0.25">
      <c r="J32" s="99"/>
      <c r="M32" s="106"/>
    </row>
    <row r="33" spans="1:15" x14ac:dyDescent="0.25">
      <c r="J33" s="99" t="s">
        <v>1453</v>
      </c>
      <c r="M33" s="106">
        <f>SUM(P23, O23)</f>
        <v>1715.462</v>
      </c>
    </row>
    <row r="34" spans="1:15" x14ac:dyDescent="0.25">
      <c r="J34" s="99"/>
      <c r="M34" s="106"/>
    </row>
    <row r="35" spans="1:15" x14ac:dyDescent="0.25">
      <c r="A35" s="110"/>
      <c r="B35" s="109"/>
      <c r="C35" s="109"/>
      <c r="D35" t="s">
        <v>1449</v>
      </c>
      <c r="J35" s="99" t="s">
        <v>1454</v>
      </c>
      <c r="M35" s="106">
        <f>J23</f>
        <v>40930.049999999996</v>
      </c>
    </row>
    <row r="36" spans="1:15" x14ac:dyDescent="0.25">
      <c r="J36" s="99"/>
      <c r="M36" s="106"/>
    </row>
    <row r="37" spans="1:15" x14ac:dyDescent="0.25">
      <c r="J37" s="99" t="s">
        <v>1455</v>
      </c>
      <c r="K37" s="92">
        <v>-0.25</v>
      </c>
      <c r="M37" s="106">
        <f>K37 * M35</f>
        <v>-10232.512499999999</v>
      </c>
    </row>
    <row r="38" spans="1:15" x14ac:dyDescent="0.25">
      <c r="J38" s="99"/>
      <c r="M38" s="106"/>
    </row>
    <row r="39" spans="1:15" x14ac:dyDescent="0.25">
      <c r="J39" s="99" t="s">
        <v>1456</v>
      </c>
      <c r="M39" s="106">
        <f>M35 + M37</f>
        <v>30697.537499999999</v>
      </c>
    </row>
    <row r="40" spans="1:15" x14ac:dyDescent="0.25">
      <c r="J40" s="99"/>
      <c r="M40" s="106"/>
    </row>
    <row r="41" spans="1:15" x14ac:dyDescent="0.25">
      <c r="J41" s="99" t="s">
        <v>1457</v>
      </c>
      <c r="K41" s="92">
        <v>0.05</v>
      </c>
      <c r="M41" s="106">
        <f>K41 * M39</f>
        <v>1534.8768749999999</v>
      </c>
    </row>
    <row r="42" spans="1:15" x14ac:dyDescent="0.25">
      <c r="J42" s="99"/>
      <c r="M42" s="106"/>
    </row>
    <row r="43" spans="1:15" x14ac:dyDescent="0.25">
      <c r="J43" s="99" t="s">
        <v>1458</v>
      </c>
      <c r="K43" t="str">
        <f>VLOOKUP(B2,'Pay Summary'!A:D,4,0)</f>
        <v/>
      </c>
      <c r="M43" s="106">
        <f>IF(K43 = 1, 500, 0)</f>
        <v>0</v>
      </c>
    </row>
    <row r="44" spans="1:15" x14ac:dyDescent="0.25">
      <c r="J44" s="99"/>
      <c r="M44" s="106"/>
    </row>
    <row r="45" spans="1:15" x14ac:dyDescent="0.25">
      <c r="J45" s="99" t="s">
        <v>1450</v>
      </c>
      <c r="K45">
        <f>L23</f>
        <v>12</v>
      </c>
      <c r="M45" s="106">
        <f>VLOOKUP(K45, 'Look Up Table'!E:F, 2, TRUE)</f>
        <v>750</v>
      </c>
    </row>
    <row r="46" spans="1:15" x14ac:dyDescent="0.25">
      <c r="J46" s="99"/>
      <c r="M46" s="106"/>
    </row>
    <row r="47" spans="1:15" x14ac:dyDescent="0.25">
      <c r="J47" s="99" t="s">
        <v>1306</v>
      </c>
      <c r="K47" s="111" t="str">
        <f>B4</f>
        <v>3P</v>
      </c>
      <c r="M47" s="106">
        <f>IF(B5&gt;=3,IF(B4="3P",L23*50,IF(B4="A",0,IF(B4="B",L23*-50))),0)</f>
        <v>600</v>
      </c>
      <c r="N47" s="99" t="s">
        <v>1463</v>
      </c>
      <c r="O47" s="112">
        <f>'NPS Sheet'!X51</f>
        <v>0.91700000000000004</v>
      </c>
    </row>
    <row r="48" spans="1:15" x14ac:dyDescent="0.25">
      <c r="J48" s="99"/>
      <c r="M48" s="106"/>
    </row>
    <row r="49" spans="10:13" x14ac:dyDescent="0.25">
      <c r="J49" s="99" t="s">
        <v>1459</v>
      </c>
      <c r="M49" s="106">
        <f>SUM(M45, M47, M43)</f>
        <v>1350</v>
      </c>
    </row>
    <row r="50" spans="10:13" x14ac:dyDescent="0.25">
      <c r="J50" s="99"/>
      <c r="M50" s="106"/>
    </row>
    <row r="51" spans="10:13" x14ac:dyDescent="0.25">
      <c r="J51" s="99" t="s">
        <v>1460</v>
      </c>
      <c r="M51" s="106">
        <f>IFERROR(VLOOKUP(B2,SPIFFS!A:H,8,0),0)</f>
        <v>0</v>
      </c>
    </row>
    <row r="52" spans="10:13" x14ac:dyDescent="0.25">
      <c r="J52" s="99"/>
      <c r="M52" s="106"/>
    </row>
    <row r="53" spans="10:13" x14ac:dyDescent="0.25">
      <c r="J53" s="99" t="s">
        <v>1461</v>
      </c>
      <c r="M53" s="106">
        <f>SUM(M27, M33, M41, M49, M25, M51)</f>
        <v>5880.398874999999</v>
      </c>
    </row>
    <row r="54" spans="10:13" x14ac:dyDescent="0.25">
      <c r="J54" s="99"/>
      <c r="M54" s="106"/>
    </row>
    <row r="55" spans="10:13" x14ac:dyDescent="0.25">
      <c r="J55" s="99" t="s">
        <v>1462</v>
      </c>
      <c r="M55" s="106">
        <f>IF(M53&lt;0, SUM(M25, M49, M41, M33), 0)</f>
        <v>0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340D2-F680-4073-B785-792FFBFA0852}">
  <dimension ref="A1:R41"/>
  <sheetViews>
    <sheetView workbookViewId="0"/>
  </sheetViews>
  <sheetFormatPr defaultRowHeight="15" x14ac:dyDescent="0.25"/>
  <cols>
    <col min="1" max="1" width="23" style="95" bestFit="1" customWidth="1"/>
    <col min="2" max="2" width="16" bestFit="1" customWidth="1"/>
    <col min="3" max="3" width="11.42578125" bestFit="1" customWidth="1"/>
    <col min="4" max="4" width="17.42578125" bestFit="1" customWidth="1"/>
    <col min="5" max="5" width="8" bestFit="1" customWidth="1"/>
    <col min="6" max="6" width="5" bestFit="1" customWidth="1"/>
    <col min="8" max="8" width="7.140625" bestFit="1" customWidth="1"/>
    <col min="9" max="9" width="9.5703125" bestFit="1" customWidth="1"/>
    <col min="10" max="10" width="23.140625" bestFit="1" customWidth="1"/>
    <col min="11" max="11" width="18.42578125" bestFit="1" customWidth="1"/>
    <col min="12" max="12" width="5.7109375" bestFit="1" customWidth="1"/>
    <col min="13" max="13" width="20.140625" bestFit="1" customWidth="1"/>
    <col min="14" max="14" width="13.7109375" bestFit="1" customWidth="1"/>
    <col min="15" max="15" width="11.5703125" bestFit="1" customWidth="1"/>
    <col min="16" max="16" width="24.85546875" bestFit="1" customWidth="1"/>
  </cols>
  <sheetData>
    <row r="1" spans="1:18" x14ac:dyDescent="0.25">
      <c r="A1" s="101" t="s">
        <v>1249</v>
      </c>
      <c r="B1" s="100" t="s">
        <v>1189</v>
      </c>
    </row>
    <row r="2" spans="1:18" x14ac:dyDescent="0.25">
      <c r="A2" s="101" t="s">
        <v>1307</v>
      </c>
      <c r="B2" s="100">
        <v>277793</v>
      </c>
    </row>
    <row r="3" spans="1:18" x14ac:dyDescent="0.25">
      <c r="A3" s="101" t="s">
        <v>1305</v>
      </c>
      <c r="B3" s="100" t="e">
        <f>VLOOKUP(B2, '90'!A:E, 5, 0)</f>
        <v>#N/A</v>
      </c>
    </row>
    <row r="4" spans="1:18" x14ac:dyDescent="0.25">
      <c r="A4" s="101" t="s">
        <v>1306</v>
      </c>
      <c r="B4" s="100" t="str">
        <f>IFERROR(VLOOKUP(B2, NPS!B:H, 7, 0), 0)</f>
        <v>A</v>
      </c>
    </row>
    <row r="5" spans="1:18" x14ac:dyDescent="0.25">
      <c r="A5" s="101" t="s">
        <v>1257</v>
      </c>
      <c r="B5" s="100">
        <f>IFERROR(VLOOKUP(B2, NPS!B:H, 3, 0), 0)</f>
        <v>0</v>
      </c>
    </row>
    <row r="6" spans="1:18" x14ac:dyDescent="0.25">
      <c r="A6" s="101" t="s">
        <v>1447</v>
      </c>
      <c r="B6" s="103">
        <f>VLOOKUP(1, 'Look Up Table'!A:B, 2, TRUE)</f>
        <v>0</v>
      </c>
    </row>
    <row r="7" spans="1:18" ht="50.1" customHeight="1" x14ac:dyDescent="0.25">
      <c r="A7" s="102" t="s">
        <v>43</v>
      </c>
      <c r="B7" s="80" t="s">
        <v>1308</v>
      </c>
      <c r="C7" s="80" t="s">
        <v>1309</v>
      </c>
      <c r="D7" s="80" t="s">
        <v>48</v>
      </c>
      <c r="E7" s="80" t="s">
        <v>1310</v>
      </c>
      <c r="F7" s="80" t="s">
        <v>1311</v>
      </c>
      <c r="G7" s="80" t="s">
        <v>1312</v>
      </c>
      <c r="H7" s="80" t="s">
        <v>1313</v>
      </c>
      <c r="I7" s="80" t="s">
        <v>51</v>
      </c>
      <c r="J7" s="80" t="s">
        <v>1314</v>
      </c>
      <c r="K7" s="80" t="s">
        <v>1315</v>
      </c>
      <c r="L7" s="80" t="s">
        <v>54</v>
      </c>
      <c r="M7" s="80" t="s">
        <v>55</v>
      </c>
      <c r="N7" s="80" t="s">
        <v>1316</v>
      </c>
      <c r="O7" s="80" t="s">
        <v>1317</v>
      </c>
      <c r="P7" s="80" t="s">
        <v>1318</v>
      </c>
    </row>
    <row r="8" spans="1:18" x14ac:dyDescent="0.25">
      <c r="A8" s="96">
        <v>45730</v>
      </c>
      <c r="B8" s="93">
        <v>9474</v>
      </c>
      <c r="C8" s="93">
        <v>275002</v>
      </c>
      <c r="D8" s="93" t="s">
        <v>1190</v>
      </c>
      <c r="E8" s="93">
        <v>5079146</v>
      </c>
      <c r="F8" s="93">
        <v>25</v>
      </c>
      <c r="G8" s="93" t="s">
        <v>1321</v>
      </c>
      <c r="H8" s="93" t="s">
        <v>1418</v>
      </c>
      <c r="I8" s="93" t="s">
        <v>59</v>
      </c>
      <c r="J8" s="107">
        <v>813.6</v>
      </c>
      <c r="K8" s="107">
        <v>3202</v>
      </c>
      <c r="L8" s="93">
        <v>1</v>
      </c>
      <c r="M8" s="107">
        <v>576.36</v>
      </c>
      <c r="N8" s="107">
        <f>IF(M8&lt;=251, VLOOKUP(B3, 'Look Up Table'!I:J, 2, TRUE) * L8, 0)</f>
        <v>0</v>
      </c>
      <c r="O8" s="107">
        <f>IF(N8&gt;0, N8 - M8, 0)</f>
        <v>0</v>
      </c>
      <c r="P8" s="107">
        <f>IF(N8 = 0, K8 * B6, 0)</f>
        <v>0</v>
      </c>
      <c r="Q8" s="93"/>
      <c r="R8" s="93"/>
    </row>
    <row r="9" spans="1:18" x14ac:dyDescent="0.25">
      <c r="A9" s="104"/>
      <c r="B9" s="105"/>
      <c r="C9" s="105"/>
      <c r="D9" s="105"/>
      <c r="E9" s="105"/>
      <c r="F9" s="105"/>
      <c r="G9" s="105"/>
      <c r="H9" s="105"/>
      <c r="I9" s="105"/>
      <c r="J9" s="108">
        <f>SUM(J8:J8)</f>
        <v>813.6</v>
      </c>
      <c r="K9" s="108">
        <f>SUM(K8:K8)</f>
        <v>3202</v>
      </c>
      <c r="L9" s="105">
        <f>SUM(L8:L8)</f>
        <v>1</v>
      </c>
      <c r="M9" s="108">
        <f>SUM(M8:M8)</f>
        <v>576.36</v>
      </c>
      <c r="N9" s="108">
        <f>SUM(N8:N8)</f>
        <v>0</v>
      </c>
      <c r="O9" s="108">
        <f>SUM(O8:O8)</f>
        <v>0</v>
      </c>
      <c r="P9" s="108">
        <f>SUM(P8:P8)</f>
        <v>0</v>
      </c>
      <c r="Q9" s="93"/>
      <c r="R9" s="93"/>
    </row>
    <row r="11" spans="1:18" x14ac:dyDescent="0.25">
      <c r="J11" s="99" t="s">
        <v>1451</v>
      </c>
      <c r="M11" s="106" t="e">
        <f>-VLOOKUP(B2, '3213'!A:G, 7, 0)</f>
        <v>#N/A</v>
      </c>
    </row>
    <row r="12" spans="1:18" x14ac:dyDescent="0.25">
      <c r="J12" s="99"/>
      <c r="M12" s="106"/>
    </row>
    <row r="13" spans="1:18" x14ac:dyDescent="0.25">
      <c r="J13" s="99" t="s">
        <v>1264</v>
      </c>
      <c r="K13" s="92">
        <v>0.18</v>
      </c>
      <c r="M13" s="106">
        <f>M9</f>
        <v>576.36</v>
      </c>
    </row>
    <row r="14" spans="1:18" x14ac:dyDescent="0.25">
      <c r="J14" s="99"/>
      <c r="M14" s="106"/>
    </row>
    <row r="15" spans="1:18" x14ac:dyDescent="0.25">
      <c r="A15" s="110"/>
      <c r="B15" s="109"/>
      <c r="C15" s="109"/>
      <c r="D15" t="s">
        <v>1448</v>
      </c>
      <c r="J15" s="99" t="s">
        <v>1265</v>
      </c>
      <c r="K15" s="92">
        <f>B6</f>
        <v>0</v>
      </c>
      <c r="M15" s="106">
        <f>P9</f>
        <v>0</v>
      </c>
    </row>
    <row r="16" spans="1:18" x14ac:dyDescent="0.25">
      <c r="J16" s="99"/>
      <c r="M16" s="106"/>
    </row>
    <row r="17" spans="1:13" x14ac:dyDescent="0.25">
      <c r="J17" s="99" t="s">
        <v>1452</v>
      </c>
      <c r="M17" s="106">
        <f>O9</f>
        <v>0</v>
      </c>
    </row>
    <row r="18" spans="1:13" x14ac:dyDescent="0.25">
      <c r="J18" s="99"/>
      <c r="M18" s="106"/>
    </row>
    <row r="19" spans="1:13" x14ac:dyDescent="0.25">
      <c r="J19" s="99" t="s">
        <v>1453</v>
      </c>
      <c r="M19" s="106">
        <f>SUM(P9, O9)</f>
        <v>0</v>
      </c>
    </row>
    <row r="20" spans="1:13" x14ac:dyDescent="0.25">
      <c r="J20" s="99"/>
      <c r="M20" s="106"/>
    </row>
    <row r="21" spans="1:13" x14ac:dyDescent="0.25">
      <c r="A21" s="110"/>
      <c r="B21" s="109"/>
      <c r="C21" s="109"/>
      <c r="D21" t="s">
        <v>1449</v>
      </c>
      <c r="J21" s="99" t="s">
        <v>1454</v>
      </c>
      <c r="M21" s="106">
        <f>J9</f>
        <v>813.6</v>
      </c>
    </row>
    <row r="22" spans="1:13" x14ac:dyDescent="0.25">
      <c r="J22" s="99"/>
      <c r="M22" s="106"/>
    </row>
    <row r="23" spans="1:13" x14ac:dyDescent="0.25">
      <c r="J23" s="99" t="s">
        <v>1455</v>
      </c>
      <c r="K23" s="92">
        <v>-0.25</v>
      </c>
      <c r="M23" s="106">
        <f>K23 * M21</f>
        <v>-203.4</v>
      </c>
    </row>
    <row r="24" spans="1:13" x14ac:dyDescent="0.25">
      <c r="J24" s="99"/>
      <c r="M24" s="106"/>
    </row>
    <row r="25" spans="1:13" x14ac:dyDescent="0.25">
      <c r="J25" s="99" t="s">
        <v>1456</v>
      </c>
      <c r="M25" s="106">
        <f>M21 + M23</f>
        <v>610.20000000000005</v>
      </c>
    </row>
    <row r="26" spans="1:13" x14ac:dyDescent="0.25">
      <c r="J26" s="99"/>
      <c r="M26" s="106"/>
    </row>
    <row r="27" spans="1:13" x14ac:dyDescent="0.25">
      <c r="J27" s="99" t="s">
        <v>1457</v>
      </c>
      <c r="K27" s="92">
        <v>0.05</v>
      </c>
      <c r="M27" s="106">
        <f>K27 * M25</f>
        <v>30.510000000000005</v>
      </c>
    </row>
    <row r="28" spans="1:13" x14ac:dyDescent="0.25">
      <c r="J28" s="99"/>
      <c r="M28" s="106"/>
    </row>
    <row r="29" spans="1:13" x14ac:dyDescent="0.25">
      <c r="J29" s="99" t="s">
        <v>1458</v>
      </c>
      <c r="K29" t="str">
        <f>VLOOKUP(B2,'Pay Summary'!A:D,4,0)</f>
        <v/>
      </c>
      <c r="M29" s="106">
        <f>IF(K29 = 1, 500, 0)</f>
        <v>0</v>
      </c>
    </row>
    <row r="30" spans="1:13" x14ac:dyDescent="0.25">
      <c r="J30" s="99"/>
      <c r="M30" s="106"/>
    </row>
    <row r="31" spans="1:13" x14ac:dyDescent="0.25">
      <c r="J31" s="99" t="s">
        <v>1450</v>
      </c>
      <c r="K31">
        <f>L9</f>
        <v>1</v>
      </c>
      <c r="M31" s="106">
        <f>VLOOKUP(K31, 'Look Up Table'!E:F, 2, TRUE)</f>
        <v>0</v>
      </c>
    </row>
    <row r="32" spans="1:13" x14ac:dyDescent="0.25">
      <c r="J32" s="99"/>
      <c r="M32" s="106"/>
    </row>
    <row r="33" spans="10:15" x14ac:dyDescent="0.25">
      <c r="J33" s="99" t="s">
        <v>1306</v>
      </c>
      <c r="K33" s="111" t="str">
        <f>B4</f>
        <v>A</v>
      </c>
      <c r="M33" s="106">
        <f>IF(B5&gt;=3,IF(B4="3P",L9*50,IF(B4="A",0,IF(B4="B",L9*-50))),0)</f>
        <v>0</v>
      </c>
      <c r="N33" s="99" t="s">
        <v>1463</v>
      </c>
      <c r="O33" s="112">
        <f>'NPS Sheet'!X51</f>
        <v>0.91700000000000004</v>
      </c>
    </row>
    <row r="34" spans="10:15" x14ac:dyDescent="0.25">
      <c r="J34" s="99"/>
      <c r="M34" s="106"/>
    </row>
    <row r="35" spans="10:15" x14ac:dyDescent="0.25">
      <c r="J35" s="99" t="s">
        <v>1459</v>
      </c>
      <c r="M35" s="106">
        <f>SUM(M31, M33, M29)</f>
        <v>0</v>
      </c>
    </row>
    <row r="36" spans="10:15" x14ac:dyDescent="0.25">
      <c r="J36" s="99"/>
      <c r="M36" s="106"/>
    </row>
    <row r="37" spans="10:15" x14ac:dyDescent="0.25">
      <c r="J37" s="99" t="s">
        <v>1460</v>
      </c>
      <c r="M37" s="106">
        <f>IFERROR(VLOOKUP(B2,SPIFFS!A:H,8,0),0)</f>
        <v>0</v>
      </c>
    </row>
    <row r="38" spans="10:15" x14ac:dyDescent="0.25">
      <c r="J38" s="99"/>
      <c r="M38" s="106"/>
    </row>
    <row r="39" spans="10:15" x14ac:dyDescent="0.25">
      <c r="J39" s="99" t="s">
        <v>1461</v>
      </c>
      <c r="M39" s="106" t="e">
        <f>SUM(M13, M19, M27, M35, M11, M37)</f>
        <v>#N/A</v>
      </c>
    </row>
    <row r="40" spans="10:15" x14ac:dyDescent="0.25">
      <c r="J40" s="99"/>
      <c r="M40" s="106"/>
    </row>
    <row r="41" spans="10:15" x14ac:dyDescent="0.25">
      <c r="J41" s="99" t="s">
        <v>1462</v>
      </c>
      <c r="M41" s="106" t="e">
        <f>IF(M39&lt;0, SUM(M11, M35, M27, M19), 0)</f>
        <v>#N/A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EEB65-8D48-40A9-98EF-DC91D8377883}">
  <dimension ref="A1:R48"/>
  <sheetViews>
    <sheetView workbookViewId="0"/>
  </sheetViews>
  <sheetFormatPr defaultRowHeight="15" x14ac:dyDescent="0.25"/>
  <cols>
    <col min="1" max="1" width="23" style="95" bestFit="1" customWidth="1"/>
    <col min="2" max="2" width="24.140625" bestFit="1" customWidth="1"/>
    <col min="3" max="3" width="11.42578125" bestFit="1" customWidth="1"/>
    <col min="4" max="4" width="26" bestFit="1" customWidth="1"/>
    <col min="5" max="5" width="9.85546875" bestFit="1" customWidth="1"/>
    <col min="6" max="6" width="5" bestFit="1" customWidth="1"/>
    <col min="8" max="8" width="9.7109375" bestFit="1" customWidth="1"/>
    <col min="9" max="9" width="9.5703125" bestFit="1" customWidth="1"/>
    <col min="10" max="10" width="23.140625" bestFit="1" customWidth="1"/>
    <col min="11" max="11" width="18.42578125" bestFit="1" customWidth="1"/>
    <col min="12" max="12" width="5.7109375" bestFit="1" customWidth="1"/>
    <col min="13" max="13" width="20.140625" bestFit="1" customWidth="1"/>
    <col min="14" max="14" width="13.7109375" bestFit="1" customWidth="1"/>
    <col min="15" max="15" width="11.5703125" bestFit="1" customWidth="1"/>
    <col min="16" max="16" width="24.85546875" bestFit="1" customWidth="1"/>
  </cols>
  <sheetData>
    <row r="1" spans="1:18" x14ac:dyDescent="0.25">
      <c r="A1" s="101" t="s">
        <v>1249</v>
      </c>
      <c r="B1" s="100" t="s">
        <v>1191</v>
      </c>
    </row>
    <row r="2" spans="1:18" x14ac:dyDescent="0.25">
      <c r="A2" s="101" t="s">
        <v>1307</v>
      </c>
      <c r="B2" s="100">
        <v>283245</v>
      </c>
    </row>
    <row r="3" spans="1:18" x14ac:dyDescent="0.25">
      <c r="A3" s="101" t="s">
        <v>1305</v>
      </c>
      <c r="B3" s="100">
        <f>VLOOKUP(B2, '90'!A:E, 5, 0)</f>
        <v>5</v>
      </c>
    </row>
    <row r="4" spans="1:18" x14ac:dyDescent="0.25">
      <c r="A4" s="101" t="s">
        <v>1306</v>
      </c>
      <c r="B4" s="100" t="str">
        <f>IFERROR(VLOOKUP(B2, NPS!B:H, 7, 0), 0)</f>
        <v>A</v>
      </c>
    </row>
    <row r="5" spans="1:18" x14ac:dyDescent="0.25">
      <c r="A5" s="101" t="s">
        <v>1257</v>
      </c>
      <c r="B5" s="100">
        <f>IFERROR(VLOOKUP(B2, NPS!B:H, 3, 0), 0)</f>
        <v>0</v>
      </c>
    </row>
    <row r="6" spans="1:18" x14ac:dyDescent="0.25">
      <c r="A6" s="101" t="s">
        <v>1447</v>
      </c>
      <c r="B6" s="103">
        <f>VLOOKUP(6.5, 'Look Up Table'!A:B, 2, TRUE)</f>
        <v>0</v>
      </c>
    </row>
    <row r="7" spans="1:18" ht="50.1" customHeight="1" x14ac:dyDescent="0.25">
      <c r="A7" s="102" t="s">
        <v>43</v>
      </c>
      <c r="B7" s="80" t="s">
        <v>1308</v>
      </c>
      <c r="C7" s="80" t="s">
        <v>1309</v>
      </c>
      <c r="D7" s="80" t="s">
        <v>48</v>
      </c>
      <c r="E7" s="80" t="s">
        <v>1310</v>
      </c>
      <c r="F7" s="80" t="s">
        <v>1311</v>
      </c>
      <c r="G7" s="80" t="s">
        <v>1312</v>
      </c>
      <c r="H7" s="80" t="s">
        <v>1313</v>
      </c>
      <c r="I7" s="80" t="s">
        <v>51</v>
      </c>
      <c r="J7" s="80" t="s">
        <v>1314</v>
      </c>
      <c r="K7" s="80" t="s">
        <v>1315</v>
      </c>
      <c r="L7" s="80" t="s">
        <v>54</v>
      </c>
      <c r="M7" s="80" t="s">
        <v>55</v>
      </c>
      <c r="N7" s="80" t="s">
        <v>1316</v>
      </c>
      <c r="O7" s="80" t="s">
        <v>1317</v>
      </c>
      <c r="P7" s="80" t="s">
        <v>1318</v>
      </c>
    </row>
    <row r="8" spans="1:18" x14ac:dyDescent="0.25">
      <c r="A8" s="96">
        <v>45743</v>
      </c>
      <c r="B8" s="93">
        <v>9689</v>
      </c>
      <c r="C8" s="93">
        <v>24198</v>
      </c>
      <c r="D8" s="93" t="s">
        <v>363</v>
      </c>
      <c r="E8" s="93" t="s">
        <v>364</v>
      </c>
      <c r="F8" s="93">
        <v>25</v>
      </c>
      <c r="G8" s="93" t="s">
        <v>1321</v>
      </c>
      <c r="H8" s="93" t="s">
        <v>1346</v>
      </c>
      <c r="I8" s="93" t="s">
        <v>59</v>
      </c>
      <c r="J8" s="107">
        <v>672.3</v>
      </c>
      <c r="K8" s="107">
        <v>-2279.2800000000002</v>
      </c>
      <c r="L8" s="93">
        <v>0.5</v>
      </c>
      <c r="M8" s="107">
        <v>100</v>
      </c>
      <c r="N8" s="107">
        <f>IF(M8&lt;=251, VLOOKUP(B3, 'Look Up Table'!I:J, 2, TRUE) * L8, 0)</f>
        <v>100</v>
      </c>
      <c r="O8" s="107">
        <f>IF(N8&gt;0, N8 - M8, 0)</f>
        <v>0</v>
      </c>
      <c r="P8" s="107">
        <f>IF(N8 = 0, K8 * B6, 0)</f>
        <v>0</v>
      </c>
      <c r="Q8" s="93"/>
      <c r="R8" s="93"/>
    </row>
    <row r="9" spans="1:18" x14ac:dyDescent="0.25">
      <c r="A9" s="96">
        <v>45744</v>
      </c>
      <c r="B9" s="93">
        <v>9755</v>
      </c>
      <c r="C9" s="93">
        <v>279004</v>
      </c>
      <c r="D9" s="93" t="s">
        <v>867</v>
      </c>
      <c r="E9" s="93" t="s">
        <v>868</v>
      </c>
      <c r="F9" s="93">
        <v>25</v>
      </c>
      <c r="G9" s="93" t="s">
        <v>1321</v>
      </c>
      <c r="H9" s="93" t="s">
        <v>1346</v>
      </c>
      <c r="I9" s="93" t="s">
        <v>59</v>
      </c>
      <c r="J9" s="107">
        <v>3527.45</v>
      </c>
      <c r="K9" s="107">
        <v>2090</v>
      </c>
      <c r="L9" s="93">
        <v>0.5</v>
      </c>
      <c r="M9" s="107">
        <v>376.2</v>
      </c>
      <c r="N9" s="107">
        <f>IF(M9&lt;=251, VLOOKUP(B3, 'Look Up Table'!I:J, 2, TRUE) * L9, 0)</f>
        <v>0</v>
      </c>
      <c r="O9" s="107">
        <f>IF(N9&gt;0, N9 - M9, 0)</f>
        <v>0</v>
      </c>
      <c r="P9" s="107">
        <f>IF(N9 = 0, K9 * B6, 0)</f>
        <v>0</v>
      </c>
      <c r="Q9" s="93"/>
      <c r="R9" s="93"/>
    </row>
    <row r="10" spans="1:18" x14ac:dyDescent="0.25">
      <c r="A10" s="96">
        <v>45744</v>
      </c>
      <c r="B10" s="93" t="s">
        <v>1196</v>
      </c>
      <c r="C10" s="93">
        <v>24254</v>
      </c>
      <c r="D10" s="93" t="s">
        <v>1192</v>
      </c>
      <c r="E10" s="93">
        <v>5249822</v>
      </c>
      <c r="F10" s="93">
        <v>25</v>
      </c>
      <c r="G10" s="93" t="s">
        <v>1321</v>
      </c>
      <c r="H10" s="93" t="s">
        <v>1439</v>
      </c>
      <c r="I10" s="93" t="s">
        <v>59</v>
      </c>
      <c r="J10" s="107">
        <v>2520</v>
      </c>
      <c r="K10" s="107">
        <v>4114.5</v>
      </c>
      <c r="L10" s="93">
        <v>1</v>
      </c>
      <c r="M10" s="107">
        <v>740.61</v>
      </c>
      <c r="N10" s="107">
        <f>IF(M10&lt;=251, VLOOKUP(B3, 'Look Up Table'!I:J, 2, TRUE) * L10, 0)</f>
        <v>0</v>
      </c>
      <c r="O10" s="107">
        <f>IF(N10&gt;0, N10 - M10, 0)</f>
        <v>0</v>
      </c>
      <c r="P10" s="107">
        <f>IF(N10 = 0, K10 * B6, 0)</f>
        <v>0</v>
      </c>
      <c r="Q10" s="93"/>
      <c r="R10" s="93"/>
    </row>
    <row r="11" spans="1:18" x14ac:dyDescent="0.25">
      <c r="A11" s="96">
        <v>45747</v>
      </c>
      <c r="B11" s="93">
        <v>9912</v>
      </c>
      <c r="C11" s="93">
        <v>278203</v>
      </c>
      <c r="D11" s="93" t="s">
        <v>1197</v>
      </c>
      <c r="E11" s="93" t="s">
        <v>648</v>
      </c>
      <c r="F11" s="93">
        <v>25</v>
      </c>
      <c r="G11" s="93" t="s">
        <v>1319</v>
      </c>
      <c r="H11" s="93" t="s">
        <v>1344</v>
      </c>
      <c r="I11" s="93" t="s">
        <v>59</v>
      </c>
      <c r="J11" s="107">
        <v>0</v>
      </c>
      <c r="K11" s="107">
        <v>4115.6099999999997</v>
      </c>
      <c r="L11" s="93">
        <v>1</v>
      </c>
      <c r="M11" s="107">
        <v>740.81</v>
      </c>
      <c r="N11" s="107">
        <f>IF(M11&lt;=251, VLOOKUP(B3, 'Look Up Table'!I:J, 2, TRUE) * L11, 0)</f>
        <v>0</v>
      </c>
      <c r="O11" s="107">
        <f>IF(N11&gt;0, N11 - M11, 0)</f>
        <v>0</v>
      </c>
      <c r="P11" s="107">
        <f>IF(N11 = 0, K11 * B6, 0)</f>
        <v>0</v>
      </c>
      <c r="Q11" s="93"/>
      <c r="R11" s="93"/>
    </row>
    <row r="12" spans="1:18" x14ac:dyDescent="0.25">
      <c r="A12" s="96">
        <v>45747</v>
      </c>
      <c r="B12" s="93">
        <v>9951</v>
      </c>
      <c r="C12" s="93">
        <v>24495</v>
      </c>
      <c r="D12" s="93" t="s">
        <v>1198</v>
      </c>
      <c r="E12" s="93" t="s">
        <v>1199</v>
      </c>
      <c r="F12" s="93">
        <v>24</v>
      </c>
      <c r="G12" s="93" t="s">
        <v>1319</v>
      </c>
      <c r="H12" s="93" t="s">
        <v>1323</v>
      </c>
      <c r="I12" s="93" t="s">
        <v>59</v>
      </c>
      <c r="J12" s="107">
        <v>883.01</v>
      </c>
      <c r="K12" s="107">
        <v>-2133.81</v>
      </c>
      <c r="L12" s="93">
        <v>1</v>
      </c>
      <c r="M12" s="107">
        <v>200</v>
      </c>
      <c r="N12" s="107">
        <f>IF(M12&lt;=251, VLOOKUP(B3, 'Look Up Table'!I:J, 2, TRUE) * L12, 0)</f>
        <v>200</v>
      </c>
      <c r="O12" s="107">
        <f>IF(N12&gt;0, N12 - M12, 0)</f>
        <v>0</v>
      </c>
      <c r="P12" s="107">
        <f>IF(N12 = 0, K12 * B6, 0)</f>
        <v>0</v>
      </c>
      <c r="Q12" s="93"/>
      <c r="R12" s="93"/>
    </row>
    <row r="13" spans="1:18" x14ac:dyDescent="0.25">
      <c r="A13" s="96">
        <v>45747</v>
      </c>
      <c r="B13" s="93">
        <v>9969</v>
      </c>
      <c r="C13" s="93">
        <v>210260</v>
      </c>
      <c r="D13" s="93" t="s">
        <v>472</v>
      </c>
      <c r="E13" s="93" t="s">
        <v>473</v>
      </c>
      <c r="F13" s="93">
        <v>25</v>
      </c>
      <c r="G13" s="93" t="s">
        <v>1321</v>
      </c>
      <c r="H13" s="93" t="s">
        <v>1328</v>
      </c>
      <c r="I13" s="93" t="s">
        <v>59</v>
      </c>
      <c r="J13" s="107">
        <v>69.5</v>
      </c>
      <c r="K13" s="107">
        <v>-1360.51</v>
      </c>
      <c r="L13" s="93">
        <v>0.5</v>
      </c>
      <c r="M13" s="107">
        <v>100</v>
      </c>
      <c r="N13" s="107">
        <f>IF(M13&lt;=251, VLOOKUP(B3, 'Look Up Table'!I:J, 2, TRUE) * L13, 0)</f>
        <v>100</v>
      </c>
      <c r="O13" s="107">
        <f>IF(N13&gt;0, N13 - M13, 0)</f>
        <v>0</v>
      </c>
      <c r="P13" s="107">
        <f>IF(N13 = 0, K13 * B6, 0)</f>
        <v>0</v>
      </c>
      <c r="Q13" s="93"/>
      <c r="R13" s="93"/>
    </row>
    <row r="14" spans="1:18" x14ac:dyDescent="0.25">
      <c r="A14" s="96">
        <v>45747</v>
      </c>
      <c r="B14" s="93">
        <v>9963</v>
      </c>
      <c r="C14" s="93">
        <v>24516</v>
      </c>
      <c r="D14" s="93" t="s">
        <v>1201</v>
      </c>
      <c r="E14" s="93" t="s">
        <v>72</v>
      </c>
      <c r="F14" s="93">
        <v>23</v>
      </c>
      <c r="G14" s="93" t="s">
        <v>1319</v>
      </c>
      <c r="H14" s="93" t="s">
        <v>1363</v>
      </c>
      <c r="I14" s="93" t="s">
        <v>86</v>
      </c>
      <c r="J14" s="107">
        <v>2686.96</v>
      </c>
      <c r="K14" s="107">
        <v>436.22</v>
      </c>
      <c r="L14" s="93">
        <v>1</v>
      </c>
      <c r="M14" s="107">
        <v>200</v>
      </c>
      <c r="N14" s="107">
        <f>IF(M14&lt;=251, VLOOKUP(B3, 'Look Up Table'!I:J, 2, TRUE) * L14, 0)</f>
        <v>200</v>
      </c>
      <c r="O14" s="107">
        <f>IF(N14&gt;0, N14 - M14, 0)</f>
        <v>0</v>
      </c>
      <c r="P14" s="107">
        <f>IF(N14 = 0, K14 * B6, 0)</f>
        <v>0</v>
      </c>
      <c r="Q14" s="93"/>
      <c r="R14" s="93"/>
    </row>
    <row r="15" spans="1:18" x14ac:dyDescent="0.25">
      <c r="A15" s="96">
        <v>45747</v>
      </c>
      <c r="B15" s="93">
        <v>9788</v>
      </c>
      <c r="C15" s="93">
        <v>24302</v>
      </c>
      <c r="D15" s="93" t="s">
        <v>1202</v>
      </c>
      <c r="E15" s="93" t="s">
        <v>1038</v>
      </c>
      <c r="F15" s="93">
        <v>20</v>
      </c>
      <c r="G15" s="93" t="s">
        <v>1440</v>
      </c>
      <c r="H15" s="93" t="s">
        <v>1441</v>
      </c>
      <c r="I15" s="93" t="s">
        <v>86</v>
      </c>
      <c r="J15" s="107">
        <v>894.71</v>
      </c>
      <c r="K15" s="107">
        <v>1761.08</v>
      </c>
      <c r="L15" s="93">
        <v>1</v>
      </c>
      <c r="M15" s="107">
        <v>316.99</v>
      </c>
      <c r="N15" s="107">
        <f>IF(M15&lt;=251, VLOOKUP(B3, 'Look Up Table'!I:J, 2, TRUE) * L15, 0)</f>
        <v>0</v>
      </c>
      <c r="O15" s="107">
        <f>IF(N15&gt;0, N15 - M15, 0)</f>
        <v>0</v>
      </c>
      <c r="P15" s="107">
        <f>IF(N15 = 0, K15 * B6, 0)</f>
        <v>0</v>
      </c>
      <c r="Q15" s="93"/>
      <c r="R15" s="93"/>
    </row>
    <row r="16" spans="1:18" x14ac:dyDescent="0.25">
      <c r="A16" s="104"/>
      <c r="B16" s="105"/>
      <c r="C16" s="105"/>
      <c r="D16" s="105"/>
      <c r="E16" s="105"/>
      <c r="F16" s="105"/>
      <c r="G16" s="105"/>
      <c r="H16" s="105"/>
      <c r="I16" s="105"/>
      <c r="J16" s="108">
        <f>SUM(J8:J15)</f>
        <v>11253.93</v>
      </c>
      <c r="K16" s="108">
        <f>SUM(K8:K15)</f>
        <v>6743.81</v>
      </c>
      <c r="L16" s="105">
        <f>SUM(L8:L15)</f>
        <v>6.5</v>
      </c>
      <c r="M16" s="108">
        <f>SUM(M8:M15)</f>
        <v>2774.6099999999997</v>
      </c>
      <c r="N16" s="108">
        <f>SUM(N8:N15)</f>
        <v>600</v>
      </c>
      <c r="O16" s="108">
        <f>SUM(O8:O15)</f>
        <v>0</v>
      </c>
      <c r="P16" s="108">
        <f>SUM(P8:P15)</f>
        <v>0</v>
      </c>
      <c r="Q16" s="93"/>
      <c r="R16" s="93"/>
    </row>
    <row r="18" spans="1:13" x14ac:dyDescent="0.25">
      <c r="J18" s="99" t="s">
        <v>1451</v>
      </c>
      <c r="M18" s="106">
        <f>-VLOOKUP(B2, '3213'!A:G, 7, 0)</f>
        <v>0</v>
      </c>
    </row>
    <row r="19" spans="1:13" x14ac:dyDescent="0.25">
      <c r="J19" s="99"/>
      <c r="M19" s="106"/>
    </row>
    <row r="20" spans="1:13" x14ac:dyDescent="0.25">
      <c r="J20" s="99" t="s">
        <v>1264</v>
      </c>
      <c r="K20" s="92">
        <v>0.18</v>
      </c>
      <c r="M20" s="106">
        <f>M16</f>
        <v>2774.6099999999997</v>
      </c>
    </row>
    <row r="21" spans="1:13" x14ac:dyDescent="0.25">
      <c r="J21" s="99"/>
      <c r="M21" s="106"/>
    </row>
    <row r="22" spans="1:13" x14ac:dyDescent="0.25">
      <c r="A22" s="110"/>
      <c r="B22" s="109"/>
      <c r="C22" s="109"/>
      <c r="D22" t="s">
        <v>1448</v>
      </c>
      <c r="J22" s="99" t="s">
        <v>1265</v>
      </c>
      <c r="K22" s="92">
        <f>B6</f>
        <v>0</v>
      </c>
      <c r="M22" s="106">
        <f>P16</f>
        <v>0</v>
      </c>
    </row>
    <row r="23" spans="1:13" x14ac:dyDescent="0.25">
      <c r="J23" s="99"/>
      <c r="M23" s="106"/>
    </row>
    <row r="24" spans="1:13" x14ac:dyDescent="0.25">
      <c r="J24" s="99" t="s">
        <v>1452</v>
      </c>
      <c r="M24" s="106">
        <f>O16</f>
        <v>0</v>
      </c>
    </row>
    <row r="25" spans="1:13" x14ac:dyDescent="0.25">
      <c r="J25" s="99"/>
      <c r="M25" s="106"/>
    </row>
    <row r="26" spans="1:13" x14ac:dyDescent="0.25">
      <c r="J26" s="99" t="s">
        <v>1453</v>
      </c>
      <c r="M26" s="106">
        <f>SUM(P16, O16)</f>
        <v>0</v>
      </c>
    </row>
    <row r="27" spans="1:13" x14ac:dyDescent="0.25">
      <c r="J27" s="99"/>
      <c r="M27" s="106"/>
    </row>
    <row r="28" spans="1:13" x14ac:dyDescent="0.25">
      <c r="A28" s="110"/>
      <c r="B28" s="109"/>
      <c r="C28" s="109"/>
      <c r="D28" t="s">
        <v>1449</v>
      </c>
      <c r="J28" s="99" t="s">
        <v>1454</v>
      </c>
      <c r="M28" s="106">
        <f>J16</f>
        <v>11253.93</v>
      </c>
    </row>
    <row r="29" spans="1:13" x14ac:dyDescent="0.25">
      <c r="J29" s="99"/>
      <c r="M29" s="106"/>
    </row>
    <row r="30" spans="1:13" x14ac:dyDescent="0.25">
      <c r="J30" s="99" t="s">
        <v>1455</v>
      </c>
      <c r="K30" s="92">
        <v>-0.25</v>
      </c>
      <c r="M30" s="106">
        <f>K30 * M28</f>
        <v>-2813.4825000000001</v>
      </c>
    </row>
    <row r="31" spans="1:13" x14ac:dyDescent="0.25">
      <c r="J31" s="99"/>
      <c r="M31" s="106"/>
    </row>
    <row r="32" spans="1:13" x14ac:dyDescent="0.25">
      <c r="J32" s="99" t="s">
        <v>1456</v>
      </c>
      <c r="M32" s="106">
        <f>M28 + M30</f>
        <v>8440.4475000000002</v>
      </c>
    </row>
    <row r="33" spans="10:15" x14ac:dyDescent="0.25">
      <c r="J33" s="99"/>
      <c r="M33" s="106"/>
    </row>
    <row r="34" spans="10:15" x14ac:dyDescent="0.25">
      <c r="J34" s="99" t="s">
        <v>1457</v>
      </c>
      <c r="K34" s="92">
        <v>0.05</v>
      </c>
      <c r="M34" s="106">
        <f>K34 * M32</f>
        <v>422.02237500000001</v>
      </c>
    </row>
    <row r="35" spans="10:15" x14ac:dyDescent="0.25">
      <c r="J35" s="99"/>
      <c r="M35" s="106"/>
    </row>
    <row r="36" spans="10:15" x14ac:dyDescent="0.25">
      <c r="J36" s="99" t="s">
        <v>1458</v>
      </c>
      <c r="K36" t="str">
        <f>VLOOKUP(B2,'Pay Summary'!A:D,4,0)</f>
        <v/>
      </c>
      <c r="M36" s="106">
        <f>IF(K36 = 1, 500, 0)</f>
        <v>0</v>
      </c>
    </row>
    <row r="37" spans="10:15" x14ac:dyDescent="0.25">
      <c r="J37" s="99"/>
      <c r="M37" s="106"/>
    </row>
    <row r="38" spans="10:15" x14ac:dyDescent="0.25">
      <c r="J38" s="99" t="s">
        <v>1450</v>
      </c>
      <c r="K38">
        <f>L16</f>
        <v>6.5</v>
      </c>
      <c r="M38" s="106">
        <f>VLOOKUP(K38, 'Look Up Table'!E:F, 2, TRUE)</f>
        <v>0</v>
      </c>
    </row>
    <row r="39" spans="10:15" x14ac:dyDescent="0.25">
      <c r="J39" s="99"/>
      <c r="M39" s="106"/>
    </row>
    <row r="40" spans="10:15" x14ac:dyDescent="0.25">
      <c r="J40" s="99" t="s">
        <v>1306</v>
      </c>
      <c r="K40" s="111" t="str">
        <f>B4</f>
        <v>A</v>
      </c>
      <c r="M40" s="106">
        <f>IF(B5&gt;=3,IF(B4="3P",L16*50,IF(B4="A",0,IF(B4="B",L16*-50))),0)</f>
        <v>0</v>
      </c>
      <c r="N40" s="99" t="s">
        <v>1463</v>
      </c>
      <c r="O40" s="112">
        <f>'NPS Sheet'!X51</f>
        <v>0.91700000000000004</v>
      </c>
    </row>
    <row r="41" spans="10:15" x14ac:dyDescent="0.25">
      <c r="J41" s="99"/>
      <c r="M41" s="106"/>
    </row>
    <row r="42" spans="10:15" x14ac:dyDescent="0.25">
      <c r="J42" s="99" t="s">
        <v>1459</v>
      </c>
      <c r="M42" s="106">
        <f>SUM(M38, M40, M36)</f>
        <v>0</v>
      </c>
    </row>
    <row r="43" spans="10:15" x14ac:dyDescent="0.25">
      <c r="J43" s="99"/>
      <c r="M43" s="106"/>
    </row>
    <row r="44" spans="10:15" x14ac:dyDescent="0.25">
      <c r="J44" s="99" t="s">
        <v>1460</v>
      </c>
      <c r="M44" s="106">
        <f>IFERROR(VLOOKUP(B2,SPIFFS!A:H,8,0),0)</f>
        <v>250</v>
      </c>
    </row>
    <row r="45" spans="10:15" x14ac:dyDescent="0.25">
      <c r="J45" s="99"/>
      <c r="M45" s="106"/>
    </row>
    <row r="46" spans="10:15" x14ac:dyDescent="0.25">
      <c r="J46" s="99" t="s">
        <v>1461</v>
      </c>
      <c r="M46" s="106">
        <f>SUM(M20, M26, M34, M42, M18, M44)</f>
        <v>3446.6323749999997</v>
      </c>
    </row>
    <row r="47" spans="10:15" x14ac:dyDescent="0.25">
      <c r="J47" s="99"/>
      <c r="M47" s="106"/>
    </row>
    <row r="48" spans="10:15" x14ac:dyDescent="0.25">
      <c r="J48" s="99" t="s">
        <v>1462</v>
      </c>
      <c r="M48" s="106">
        <f>IF(M46&lt;0, SUM(M18, M42, M34, M26), 0)</f>
        <v>0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873F1-8B1D-499A-A570-E3A9E55EE855}">
  <dimension ref="A1:R58"/>
  <sheetViews>
    <sheetView workbookViewId="0"/>
  </sheetViews>
  <sheetFormatPr defaultRowHeight="15" x14ac:dyDescent="0.25"/>
  <cols>
    <col min="1" max="1" width="23" style="95" bestFit="1" customWidth="1"/>
    <col min="2" max="2" width="20.42578125" bestFit="1" customWidth="1"/>
    <col min="3" max="3" width="11.42578125" bestFit="1" customWidth="1"/>
    <col min="4" max="4" width="26.7109375" bestFit="1" customWidth="1"/>
    <col min="5" max="5" width="9.85546875" bestFit="1" customWidth="1"/>
    <col min="6" max="6" width="5" bestFit="1" customWidth="1"/>
    <col min="8" max="8" width="17.7109375" bestFit="1" customWidth="1"/>
    <col min="9" max="9" width="9.5703125" bestFit="1" customWidth="1"/>
    <col min="10" max="10" width="23.140625" bestFit="1" customWidth="1"/>
    <col min="11" max="11" width="18.42578125" bestFit="1" customWidth="1"/>
    <col min="12" max="12" width="5.7109375" bestFit="1" customWidth="1"/>
    <col min="13" max="13" width="20.140625" bestFit="1" customWidth="1"/>
    <col min="14" max="14" width="13.7109375" bestFit="1" customWidth="1"/>
    <col min="15" max="15" width="11.5703125" bestFit="1" customWidth="1"/>
    <col min="16" max="16" width="24.85546875" bestFit="1" customWidth="1"/>
  </cols>
  <sheetData>
    <row r="1" spans="1:18" x14ac:dyDescent="0.25">
      <c r="A1" s="101" t="s">
        <v>1249</v>
      </c>
      <c r="B1" s="100" t="s">
        <v>42</v>
      </c>
    </row>
    <row r="2" spans="1:18" x14ac:dyDescent="0.25">
      <c r="A2" s="101" t="s">
        <v>1307</v>
      </c>
      <c r="B2" s="100">
        <v>284175</v>
      </c>
    </row>
    <row r="3" spans="1:18" x14ac:dyDescent="0.25">
      <c r="A3" s="101" t="s">
        <v>1305</v>
      </c>
      <c r="B3" s="100">
        <f>VLOOKUP(B2, '90'!A:E, 5, 0)</f>
        <v>33</v>
      </c>
    </row>
    <row r="4" spans="1:18" x14ac:dyDescent="0.25">
      <c r="A4" s="101" t="s">
        <v>1306</v>
      </c>
      <c r="B4" s="100" t="str">
        <f>IFERROR(VLOOKUP(B2, NPS!B:H, 7, 0), 0)</f>
        <v>3P</v>
      </c>
    </row>
    <row r="5" spans="1:18" x14ac:dyDescent="0.25">
      <c r="A5" s="101" t="s">
        <v>1257</v>
      </c>
      <c r="B5" s="100">
        <f>IFERROR(VLOOKUP(B2, NPS!B:H, 3, 0), 0)</f>
        <v>3</v>
      </c>
    </row>
    <row r="6" spans="1:18" x14ac:dyDescent="0.25">
      <c r="A6" s="101" t="s">
        <v>1447</v>
      </c>
      <c r="B6" s="103">
        <f>VLOOKUP(16, 'Look Up Table'!A:B, 2, TRUE)</f>
        <v>7.0000000000000007E-2</v>
      </c>
    </row>
    <row r="7" spans="1:18" ht="50.1" customHeight="1" x14ac:dyDescent="0.25">
      <c r="A7" s="102" t="s">
        <v>43</v>
      </c>
      <c r="B7" s="80" t="s">
        <v>1308</v>
      </c>
      <c r="C7" s="80" t="s">
        <v>1309</v>
      </c>
      <c r="D7" s="80" t="s">
        <v>48</v>
      </c>
      <c r="E7" s="80" t="s">
        <v>1310</v>
      </c>
      <c r="F7" s="80" t="s">
        <v>1311</v>
      </c>
      <c r="G7" s="80" t="s">
        <v>1312</v>
      </c>
      <c r="H7" s="80" t="s">
        <v>1313</v>
      </c>
      <c r="I7" s="80" t="s">
        <v>51</v>
      </c>
      <c r="J7" s="80" t="s">
        <v>1314</v>
      </c>
      <c r="K7" s="80" t="s">
        <v>1315</v>
      </c>
      <c r="L7" s="80" t="s">
        <v>54</v>
      </c>
      <c r="M7" s="80" t="s">
        <v>55</v>
      </c>
      <c r="N7" s="80" t="s">
        <v>1316</v>
      </c>
      <c r="O7" s="80" t="s">
        <v>1317</v>
      </c>
      <c r="P7" s="80" t="s">
        <v>1318</v>
      </c>
    </row>
    <row r="8" spans="1:18" x14ac:dyDescent="0.25">
      <c r="A8" s="96">
        <v>45721</v>
      </c>
      <c r="B8" s="93">
        <v>9245</v>
      </c>
      <c r="C8" s="93">
        <v>23493</v>
      </c>
      <c r="D8" s="93" t="s">
        <v>1205</v>
      </c>
      <c r="E8" s="93" t="s">
        <v>1206</v>
      </c>
      <c r="F8" s="93">
        <v>24</v>
      </c>
      <c r="G8" s="93" t="s">
        <v>1329</v>
      </c>
      <c r="H8" s="93" t="s">
        <v>1442</v>
      </c>
      <c r="I8" s="93" t="s">
        <v>86</v>
      </c>
      <c r="J8" s="107">
        <v>2929.44</v>
      </c>
      <c r="K8" s="107">
        <v>1793.28</v>
      </c>
      <c r="L8" s="93">
        <v>1</v>
      </c>
      <c r="M8" s="107">
        <v>322.79000000000002</v>
      </c>
      <c r="N8" s="107">
        <f>IF(M8&lt;=251, VLOOKUP(B3, 'Look Up Table'!I:J, 2, TRUE) * L8, 0)</f>
        <v>0</v>
      </c>
      <c r="O8" s="107">
        <f>IF(N8&gt;0, N8 - M8, 0)</f>
        <v>0</v>
      </c>
      <c r="P8" s="107">
        <f>IF(N8 = 0, K8 * B6, 0)</f>
        <v>125.52960000000002</v>
      </c>
      <c r="Q8" s="93"/>
      <c r="R8" s="93"/>
    </row>
    <row r="9" spans="1:18" x14ac:dyDescent="0.25">
      <c r="A9" s="96">
        <v>45722</v>
      </c>
      <c r="B9" s="93">
        <v>9350</v>
      </c>
      <c r="C9" s="93">
        <v>23596</v>
      </c>
      <c r="D9" s="93" t="s">
        <v>1210</v>
      </c>
      <c r="E9" s="93" t="s">
        <v>1211</v>
      </c>
      <c r="F9" s="93">
        <v>22</v>
      </c>
      <c r="G9" s="93" t="s">
        <v>1319</v>
      </c>
      <c r="H9" s="93" t="s">
        <v>1363</v>
      </c>
      <c r="I9" s="93" t="s">
        <v>86</v>
      </c>
      <c r="J9" s="107">
        <v>1796.8</v>
      </c>
      <c r="K9" s="107">
        <v>1270.6600000000001</v>
      </c>
      <c r="L9" s="93">
        <v>1</v>
      </c>
      <c r="M9" s="107">
        <v>228.72</v>
      </c>
      <c r="N9" s="107">
        <f>IF(M9&lt;=251, VLOOKUP(B3, 'Look Up Table'!I:J, 2, TRUE) * L9, 0)</f>
        <v>400</v>
      </c>
      <c r="O9" s="107">
        <f>IF(N9&gt;0, N9 - M9, 0)</f>
        <v>171.28</v>
      </c>
      <c r="P9" s="107">
        <f>IF(N9 = 0, K9 * B6, 0)</f>
        <v>0</v>
      </c>
      <c r="Q9" s="93"/>
      <c r="R9" s="93"/>
    </row>
    <row r="10" spans="1:18" x14ac:dyDescent="0.25">
      <c r="A10" s="96">
        <v>45723</v>
      </c>
      <c r="B10" s="93">
        <v>9367</v>
      </c>
      <c r="C10" s="93">
        <v>23647</v>
      </c>
      <c r="D10" s="93" t="s">
        <v>570</v>
      </c>
      <c r="E10" s="93" t="s">
        <v>571</v>
      </c>
      <c r="F10" s="93">
        <v>22</v>
      </c>
      <c r="G10" s="93" t="s">
        <v>1319</v>
      </c>
      <c r="H10" s="93" t="s">
        <v>1351</v>
      </c>
      <c r="I10" s="93" t="s">
        <v>86</v>
      </c>
      <c r="J10" s="107">
        <v>1296.81</v>
      </c>
      <c r="K10" s="107">
        <v>-935.42</v>
      </c>
      <c r="L10" s="93">
        <v>0.5</v>
      </c>
      <c r="M10" s="107">
        <v>100</v>
      </c>
      <c r="N10" s="107">
        <f>IF(M10&lt;=251, VLOOKUP(B3, 'Look Up Table'!I:J, 2, TRUE) * L10, 0)</f>
        <v>200</v>
      </c>
      <c r="O10" s="107">
        <f>IF(N10&gt;0, N10 - M10, 0)</f>
        <v>100</v>
      </c>
      <c r="P10" s="107">
        <f>IF(N10 = 0, K10 * B6, 0)</f>
        <v>0</v>
      </c>
      <c r="Q10" s="93"/>
      <c r="R10" s="93"/>
    </row>
    <row r="11" spans="1:18" x14ac:dyDescent="0.25">
      <c r="A11" s="96">
        <v>45723</v>
      </c>
      <c r="B11" s="93">
        <v>9389</v>
      </c>
      <c r="C11" s="93">
        <v>23689</v>
      </c>
      <c r="D11" s="93" t="s">
        <v>1213</v>
      </c>
      <c r="E11" s="93" t="s">
        <v>1214</v>
      </c>
      <c r="F11" s="93">
        <v>24</v>
      </c>
      <c r="G11" s="93" t="s">
        <v>1443</v>
      </c>
      <c r="H11" s="93" t="s">
        <v>1444</v>
      </c>
      <c r="I11" s="93" t="s">
        <v>86</v>
      </c>
      <c r="J11" s="107">
        <v>1417.77</v>
      </c>
      <c r="K11" s="107">
        <v>-909.62</v>
      </c>
      <c r="L11" s="93">
        <v>1</v>
      </c>
      <c r="M11" s="107">
        <v>200</v>
      </c>
      <c r="N11" s="107">
        <f>IF(M11&lt;=251, VLOOKUP(B3, 'Look Up Table'!I:J, 2, TRUE) * L11, 0)</f>
        <v>400</v>
      </c>
      <c r="O11" s="107">
        <f>IF(N11&gt;0, N11 - M11, 0)</f>
        <v>200</v>
      </c>
      <c r="P11" s="107">
        <f>IF(N11 = 0, K11 * B6, 0)</f>
        <v>0</v>
      </c>
      <c r="Q11" s="93"/>
      <c r="R11" s="93"/>
    </row>
    <row r="12" spans="1:18" x14ac:dyDescent="0.25">
      <c r="A12" s="96">
        <v>45734</v>
      </c>
      <c r="B12" s="93">
        <v>9528</v>
      </c>
      <c r="C12" s="93">
        <v>274812</v>
      </c>
      <c r="D12" s="93" t="s">
        <v>1216</v>
      </c>
      <c r="E12" s="93" t="s">
        <v>1217</v>
      </c>
      <c r="F12" s="93">
        <v>22</v>
      </c>
      <c r="G12" s="93" t="s">
        <v>1319</v>
      </c>
      <c r="H12" s="93" t="s">
        <v>1351</v>
      </c>
      <c r="I12" s="93" t="s">
        <v>86</v>
      </c>
      <c r="J12" s="107">
        <v>1459.54</v>
      </c>
      <c r="K12" s="107">
        <v>431.86</v>
      </c>
      <c r="L12" s="93">
        <v>1</v>
      </c>
      <c r="M12" s="107">
        <v>200</v>
      </c>
      <c r="N12" s="107">
        <f>IF(M12&lt;=251, VLOOKUP(B3, 'Look Up Table'!I:J, 2, TRUE) * L12, 0)</f>
        <v>400</v>
      </c>
      <c r="O12" s="107">
        <f>IF(N12&gt;0, N12 - M12, 0)</f>
        <v>200</v>
      </c>
      <c r="P12" s="107">
        <f>IF(N12 = 0, K12 * B6, 0)</f>
        <v>0</v>
      </c>
      <c r="Q12" s="93"/>
      <c r="R12" s="93"/>
    </row>
    <row r="13" spans="1:18" x14ac:dyDescent="0.25">
      <c r="A13" s="96">
        <v>45744</v>
      </c>
      <c r="B13" s="93">
        <v>9743</v>
      </c>
      <c r="C13" s="93">
        <v>24262</v>
      </c>
      <c r="D13" s="93" t="s">
        <v>1227</v>
      </c>
      <c r="E13" s="93" t="s">
        <v>991</v>
      </c>
      <c r="F13" s="93">
        <v>22</v>
      </c>
      <c r="G13" s="93" t="s">
        <v>1319</v>
      </c>
      <c r="H13" s="93" t="s">
        <v>1423</v>
      </c>
      <c r="I13" s="93" t="s">
        <v>86</v>
      </c>
      <c r="J13" s="107">
        <v>1000</v>
      </c>
      <c r="K13" s="107">
        <v>-1292.21</v>
      </c>
      <c r="L13" s="93">
        <v>1</v>
      </c>
      <c r="M13" s="107">
        <v>200</v>
      </c>
      <c r="N13" s="107">
        <f>IF(M13&lt;=251, VLOOKUP(B3, 'Look Up Table'!I:J, 2, TRUE) * L13, 0)</f>
        <v>400</v>
      </c>
      <c r="O13" s="107">
        <f>IF(N13&gt;0, N13 - M13, 0)</f>
        <v>200</v>
      </c>
      <c r="P13" s="107">
        <f>IF(N13 = 0, K13 * B6, 0)</f>
        <v>0</v>
      </c>
      <c r="Q13" s="93"/>
      <c r="R13" s="93"/>
    </row>
    <row r="14" spans="1:18" x14ac:dyDescent="0.25">
      <c r="A14" s="96">
        <v>45747</v>
      </c>
      <c r="B14" s="93" t="s">
        <v>1228</v>
      </c>
      <c r="C14" s="93">
        <v>24043</v>
      </c>
      <c r="D14" s="93" t="s">
        <v>1218</v>
      </c>
      <c r="E14" s="93" t="s">
        <v>1219</v>
      </c>
      <c r="F14" s="93">
        <v>25</v>
      </c>
      <c r="G14" s="93" t="s">
        <v>1329</v>
      </c>
      <c r="H14" s="93" t="s">
        <v>1330</v>
      </c>
      <c r="I14" s="93" t="s">
        <v>59</v>
      </c>
      <c r="J14" s="107">
        <v>4488.57</v>
      </c>
      <c r="K14" s="107">
        <v>890</v>
      </c>
      <c r="L14" s="93">
        <v>1</v>
      </c>
      <c r="M14" s="107">
        <v>200</v>
      </c>
      <c r="N14" s="107">
        <f>IF(M14&lt;=251, VLOOKUP(B3, 'Look Up Table'!I:J, 2, TRUE) * L14, 0)</f>
        <v>400</v>
      </c>
      <c r="O14" s="107">
        <f>IF(N14&gt;0, N14 - M14, 0)</f>
        <v>200</v>
      </c>
      <c r="P14" s="107">
        <f>IF(N14 = 0, K14 * B6, 0)</f>
        <v>0</v>
      </c>
      <c r="Q14" s="93"/>
      <c r="R14" s="93"/>
    </row>
    <row r="15" spans="1:18" x14ac:dyDescent="0.25">
      <c r="A15" s="96">
        <v>45747</v>
      </c>
      <c r="B15" s="93" t="s">
        <v>1229</v>
      </c>
      <c r="C15" s="93">
        <v>23999</v>
      </c>
      <c r="D15" s="93" t="s">
        <v>1221</v>
      </c>
      <c r="E15" s="93" t="s">
        <v>1222</v>
      </c>
      <c r="F15" s="93">
        <v>25</v>
      </c>
      <c r="G15" s="93" t="s">
        <v>1329</v>
      </c>
      <c r="H15" s="93" t="s">
        <v>1339</v>
      </c>
      <c r="I15" s="93" t="s">
        <v>59</v>
      </c>
      <c r="J15" s="107">
        <v>0</v>
      </c>
      <c r="K15" s="107">
        <v>-144.26</v>
      </c>
      <c r="L15" s="93">
        <v>1</v>
      </c>
      <c r="M15" s="107">
        <v>200</v>
      </c>
      <c r="N15" s="107">
        <f>IF(M15&lt;=251, VLOOKUP(B3, 'Look Up Table'!I:J, 2, TRUE) * L15, 0)</f>
        <v>400</v>
      </c>
      <c r="O15" s="107">
        <f>IF(N15&gt;0, N15 - M15, 0)</f>
        <v>200</v>
      </c>
      <c r="P15" s="107">
        <f>IF(N15 = 0, K15 * B6, 0)</f>
        <v>0</v>
      </c>
      <c r="Q15" s="93"/>
      <c r="R15" s="93"/>
    </row>
    <row r="16" spans="1:18" x14ac:dyDescent="0.25">
      <c r="A16" s="96">
        <v>45747</v>
      </c>
      <c r="B16" s="93" t="s">
        <v>1230</v>
      </c>
      <c r="C16" s="93">
        <v>23614</v>
      </c>
      <c r="D16" s="93" t="s">
        <v>1208</v>
      </c>
      <c r="E16" s="93" t="s">
        <v>1209</v>
      </c>
      <c r="F16" s="93">
        <v>25</v>
      </c>
      <c r="G16" s="93" t="s">
        <v>1329</v>
      </c>
      <c r="H16" s="93" t="s">
        <v>1334</v>
      </c>
      <c r="I16" s="93" t="s">
        <v>59</v>
      </c>
      <c r="J16" s="107">
        <v>0</v>
      </c>
      <c r="K16" s="107">
        <v>-2756.89</v>
      </c>
      <c r="L16" s="93">
        <v>1</v>
      </c>
      <c r="M16" s="107">
        <v>200</v>
      </c>
      <c r="N16" s="107">
        <f>IF(M16&lt;=251, VLOOKUP(B3, 'Look Up Table'!I:J, 2, TRUE) * L16, 0)</f>
        <v>400</v>
      </c>
      <c r="O16" s="107">
        <f>IF(N16&gt;0, N16 - M16, 0)</f>
        <v>200</v>
      </c>
      <c r="P16" s="107">
        <f>IF(N16 = 0, K16 * B6, 0)</f>
        <v>0</v>
      </c>
      <c r="Q16" s="93"/>
      <c r="R16" s="93"/>
    </row>
    <row r="17" spans="1:18" x14ac:dyDescent="0.25">
      <c r="A17" s="96">
        <v>45747</v>
      </c>
      <c r="B17" s="93" t="s">
        <v>1231</v>
      </c>
      <c r="C17" s="93">
        <v>24051</v>
      </c>
      <c r="D17" s="93" t="s">
        <v>1225</v>
      </c>
      <c r="E17" s="93" t="s">
        <v>1226</v>
      </c>
      <c r="F17" s="93">
        <v>25</v>
      </c>
      <c r="G17" s="93" t="s">
        <v>1329</v>
      </c>
      <c r="H17" s="93" t="s">
        <v>1330</v>
      </c>
      <c r="I17" s="93" t="s">
        <v>59</v>
      </c>
      <c r="J17" s="107">
        <v>3963.75</v>
      </c>
      <c r="K17" s="107">
        <v>835</v>
      </c>
      <c r="L17" s="93">
        <v>1</v>
      </c>
      <c r="M17" s="107">
        <v>200</v>
      </c>
      <c r="N17" s="107">
        <f>IF(M17&lt;=251, VLOOKUP(B3, 'Look Up Table'!I:J, 2, TRUE) * L17, 0)</f>
        <v>400</v>
      </c>
      <c r="O17" s="107">
        <f>IF(N17&gt;0, N17 - M17, 0)</f>
        <v>200</v>
      </c>
      <c r="P17" s="107">
        <f>IF(N17 = 0, K17 * B6, 0)</f>
        <v>0</v>
      </c>
      <c r="Q17" s="93"/>
      <c r="R17" s="93"/>
    </row>
    <row r="18" spans="1:18" x14ac:dyDescent="0.25">
      <c r="A18" s="96">
        <v>45747</v>
      </c>
      <c r="B18" s="93" t="s">
        <v>150</v>
      </c>
      <c r="C18" s="93">
        <v>23810</v>
      </c>
      <c r="D18" s="93" t="s">
        <v>138</v>
      </c>
      <c r="E18" s="93" t="s">
        <v>139</v>
      </c>
      <c r="F18" s="93">
        <v>25</v>
      </c>
      <c r="G18" s="93" t="s">
        <v>1329</v>
      </c>
      <c r="H18" s="93" t="s">
        <v>1340</v>
      </c>
      <c r="I18" s="93" t="s">
        <v>59</v>
      </c>
      <c r="J18" s="107">
        <v>892.15</v>
      </c>
      <c r="K18" s="107">
        <v>-657.58</v>
      </c>
      <c r="L18" s="93">
        <v>0.5</v>
      </c>
      <c r="M18" s="107">
        <v>100</v>
      </c>
      <c r="N18" s="107">
        <f>IF(M18&lt;=251, VLOOKUP(B3, 'Look Up Table'!I:J, 2, TRUE) * L18, 0)</f>
        <v>200</v>
      </c>
      <c r="O18" s="107">
        <f>IF(N18&gt;0, N18 - M18, 0)</f>
        <v>100</v>
      </c>
      <c r="P18" s="107">
        <f>IF(N18 = 0, K18 * B6, 0)</f>
        <v>0</v>
      </c>
      <c r="Q18" s="93"/>
      <c r="R18" s="93"/>
    </row>
    <row r="19" spans="1:18" x14ac:dyDescent="0.25">
      <c r="A19" s="96">
        <v>45747</v>
      </c>
      <c r="B19" s="93" t="s">
        <v>153</v>
      </c>
      <c r="C19" s="93">
        <v>23917</v>
      </c>
      <c r="D19" s="93" t="s">
        <v>130</v>
      </c>
      <c r="E19" s="93" t="s">
        <v>131</v>
      </c>
      <c r="F19" s="93">
        <v>25</v>
      </c>
      <c r="G19" s="93" t="s">
        <v>1329</v>
      </c>
      <c r="H19" s="93" t="s">
        <v>1334</v>
      </c>
      <c r="I19" s="93" t="s">
        <v>59</v>
      </c>
      <c r="J19" s="107">
        <v>694.21</v>
      </c>
      <c r="K19" s="107">
        <v>1136.23</v>
      </c>
      <c r="L19" s="93">
        <v>0.5</v>
      </c>
      <c r="M19" s="107">
        <v>204.52</v>
      </c>
      <c r="N19" s="107">
        <f>IF(M19&lt;=251, VLOOKUP(B3, 'Look Up Table'!I:J, 2, TRUE) * L19, 0)</f>
        <v>200</v>
      </c>
      <c r="O19" s="107">
        <f>IF(N19&gt;0, N19 - M19, 0)</f>
        <v>-4.5200000000000102</v>
      </c>
      <c r="P19" s="107">
        <f>IF(N19 = 0, K19 * B6, 0)</f>
        <v>0</v>
      </c>
      <c r="Q19" s="93"/>
      <c r="R19" s="93"/>
    </row>
    <row r="20" spans="1:18" x14ac:dyDescent="0.25">
      <c r="A20" s="96">
        <v>45747</v>
      </c>
      <c r="B20" s="93" t="s">
        <v>1232</v>
      </c>
      <c r="C20" s="93">
        <v>276308</v>
      </c>
      <c r="D20" s="93" t="s">
        <v>1223</v>
      </c>
      <c r="E20" s="93" t="s">
        <v>1224</v>
      </c>
      <c r="F20" s="93">
        <v>25</v>
      </c>
      <c r="G20" s="93" t="s">
        <v>1329</v>
      </c>
      <c r="H20" s="93" t="s">
        <v>1334</v>
      </c>
      <c r="I20" s="93" t="s">
        <v>59</v>
      </c>
      <c r="J20" s="107">
        <v>2695.79</v>
      </c>
      <c r="K20" s="107">
        <v>448</v>
      </c>
      <c r="L20" s="93">
        <v>1</v>
      </c>
      <c r="M20" s="107">
        <v>200</v>
      </c>
      <c r="N20" s="107">
        <f>IF(M20&lt;=251, VLOOKUP(B3, 'Look Up Table'!I:J, 2, TRUE) * L20, 0)</f>
        <v>400</v>
      </c>
      <c r="O20" s="107">
        <f>IF(N20&gt;0, N20 - M20, 0)</f>
        <v>200</v>
      </c>
      <c r="P20" s="107">
        <f>IF(N20 = 0, K20 * B6, 0)</f>
        <v>0</v>
      </c>
      <c r="Q20" s="93"/>
      <c r="R20" s="93"/>
    </row>
    <row r="21" spans="1:18" x14ac:dyDescent="0.25">
      <c r="A21" s="96">
        <v>45747</v>
      </c>
      <c r="B21" s="93">
        <v>9897</v>
      </c>
      <c r="C21" s="93">
        <v>24441</v>
      </c>
      <c r="D21" s="93" t="s">
        <v>1233</v>
      </c>
      <c r="E21" s="93" t="s">
        <v>1234</v>
      </c>
      <c r="F21" s="93">
        <v>25</v>
      </c>
      <c r="G21" s="93" t="s">
        <v>1319</v>
      </c>
      <c r="H21" s="93" t="s">
        <v>1333</v>
      </c>
      <c r="I21" s="93" t="s">
        <v>59</v>
      </c>
      <c r="J21" s="107">
        <v>245</v>
      </c>
      <c r="K21" s="107">
        <v>-2512.8000000000002</v>
      </c>
      <c r="L21" s="93">
        <v>1</v>
      </c>
      <c r="M21" s="107">
        <v>200</v>
      </c>
      <c r="N21" s="107">
        <f>IF(M21&lt;=251, VLOOKUP(B3, 'Look Up Table'!I:J, 2, TRUE) * L21, 0)</f>
        <v>400</v>
      </c>
      <c r="O21" s="107">
        <f>IF(N21&gt;0, N21 - M21, 0)</f>
        <v>200</v>
      </c>
      <c r="P21" s="107">
        <f>IF(N21 = 0, K21 * B6, 0)</f>
        <v>0</v>
      </c>
      <c r="Q21" s="93"/>
      <c r="R21" s="93"/>
    </row>
    <row r="22" spans="1:18" x14ac:dyDescent="0.25">
      <c r="A22" s="96">
        <v>45747</v>
      </c>
      <c r="B22" s="93">
        <v>9987</v>
      </c>
      <c r="C22" s="93">
        <v>24484</v>
      </c>
      <c r="D22" s="93" t="s">
        <v>1237</v>
      </c>
      <c r="E22" s="93" t="s">
        <v>1238</v>
      </c>
      <c r="F22" s="93">
        <v>25</v>
      </c>
      <c r="G22" s="93" t="s">
        <v>1321</v>
      </c>
      <c r="H22" s="93" t="s">
        <v>1328</v>
      </c>
      <c r="I22" s="93" t="s">
        <v>59</v>
      </c>
      <c r="J22" s="107">
        <v>3754</v>
      </c>
      <c r="K22" s="107">
        <v>1387.18</v>
      </c>
      <c r="L22" s="93">
        <v>1</v>
      </c>
      <c r="M22" s="107">
        <v>249.69</v>
      </c>
      <c r="N22" s="107">
        <f>IF(M22&lt;=251, VLOOKUP(B3, 'Look Up Table'!I:J, 2, TRUE) * L22, 0)</f>
        <v>400</v>
      </c>
      <c r="O22" s="107">
        <f>IF(N22&gt;0, N22 - M22, 0)</f>
        <v>150.31</v>
      </c>
      <c r="P22" s="107">
        <f>IF(N22 = 0, K22 * B6, 0)</f>
        <v>0</v>
      </c>
      <c r="Q22" s="93"/>
      <c r="R22" s="93"/>
    </row>
    <row r="23" spans="1:18" x14ac:dyDescent="0.25">
      <c r="A23" s="96">
        <v>45747</v>
      </c>
      <c r="B23" s="93">
        <v>9667</v>
      </c>
      <c r="C23" s="93">
        <v>24158</v>
      </c>
      <c r="D23" s="93" t="s">
        <v>1239</v>
      </c>
      <c r="E23" s="93" t="s">
        <v>1240</v>
      </c>
      <c r="F23" s="93">
        <v>22</v>
      </c>
      <c r="G23" s="93" t="s">
        <v>1319</v>
      </c>
      <c r="H23" s="93" t="s">
        <v>1367</v>
      </c>
      <c r="I23" s="93" t="s">
        <v>86</v>
      </c>
      <c r="J23" s="107">
        <v>2478.6999999999998</v>
      </c>
      <c r="K23" s="107">
        <v>-5359.86</v>
      </c>
      <c r="L23" s="93">
        <v>1</v>
      </c>
      <c r="M23" s="107">
        <v>200</v>
      </c>
      <c r="N23" s="107">
        <f>IF(M23&lt;=251, VLOOKUP(B3, 'Look Up Table'!I:J, 2, TRUE) * L23, 0)</f>
        <v>400</v>
      </c>
      <c r="O23" s="107">
        <f>IF(N23&gt;0, N23 - M23, 0)</f>
        <v>200</v>
      </c>
      <c r="P23" s="107">
        <f>IF(N23 = 0, K23 * B6, 0)</f>
        <v>0</v>
      </c>
      <c r="Q23" s="93"/>
      <c r="R23" s="93"/>
    </row>
    <row r="24" spans="1:18" x14ac:dyDescent="0.25">
      <c r="A24" s="96">
        <v>45747</v>
      </c>
      <c r="B24" s="93">
        <v>9909</v>
      </c>
      <c r="C24" s="93">
        <v>24458</v>
      </c>
      <c r="D24" s="93" t="s">
        <v>1242</v>
      </c>
      <c r="E24" s="93" t="s">
        <v>1243</v>
      </c>
      <c r="F24" s="93">
        <v>24</v>
      </c>
      <c r="G24" s="93" t="s">
        <v>1319</v>
      </c>
      <c r="H24" s="93" t="s">
        <v>1367</v>
      </c>
      <c r="I24" s="93" t="s">
        <v>86</v>
      </c>
      <c r="J24" s="107">
        <v>1734.47</v>
      </c>
      <c r="K24" s="107">
        <v>680.27</v>
      </c>
      <c r="L24" s="93">
        <v>1</v>
      </c>
      <c r="M24" s="107">
        <v>200</v>
      </c>
      <c r="N24" s="107">
        <f>IF(M24&lt;=251, VLOOKUP(B3, 'Look Up Table'!I:J, 2, TRUE) * L24, 0)</f>
        <v>400</v>
      </c>
      <c r="O24" s="107">
        <f>IF(N24&gt;0, N24 - M24, 0)</f>
        <v>200</v>
      </c>
      <c r="P24" s="107">
        <f>IF(N24 = 0, K24 * B6, 0)</f>
        <v>0</v>
      </c>
      <c r="Q24" s="93"/>
      <c r="R24" s="93"/>
    </row>
    <row r="25" spans="1:18" x14ac:dyDescent="0.25">
      <c r="A25" s="96">
        <v>45747</v>
      </c>
      <c r="B25" s="93">
        <v>9900</v>
      </c>
      <c r="C25" s="93">
        <v>24447</v>
      </c>
      <c r="D25" s="93" t="s">
        <v>1186</v>
      </c>
      <c r="E25" s="93" t="s">
        <v>1187</v>
      </c>
      <c r="F25" s="93">
        <v>22</v>
      </c>
      <c r="G25" s="93" t="s">
        <v>1319</v>
      </c>
      <c r="H25" s="93" t="s">
        <v>1367</v>
      </c>
      <c r="I25" s="93" t="s">
        <v>86</v>
      </c>
      <c r="J25" s="107">
        <v>1593.59</v>
      </c>
      <c r="K25" s="107">
        <v>-1209.22</v>
      </c>
      <c r="L25" s="93">
        <v>0.5</v>
      </c>
      <c r="M25" s="107">
        <v>100</v>
      </c>
      <c r="N25" s="107">
        <f>IF(M25&lt;=251, VLOOKUP(B3, 'Look Up Table'!I:J, 2, TRUE) * L25, 0)</f>
        <v>200</v>
      </c>
      <c r="O25" s="107">
        <f>IF(N25&gt;0, N25 - M25, 0)</f>
        <v>100</v>
      </c>
      <c r="P25" s="107">
        <f>IF(N25 = 0, K25 * B6, 0)</f>
        <v>0</v>
      </c>
      <c r="Q25" s="93"/>
      <c r="R25" s="93"/>
    </row>
    <row r="26" spans="1:18" x14ac:dyDescent="0.25">
      <c r="A26" s="104"/>
      <c r="B26" s="105"/>
      <c r="C26" s="105"/>
      <c r="D26" s="105"/>
      <c r="E26" s="105"/>
      <c r="F26" s="105"/>
      <c r="G26" s="105"/>
      <c r="H26" s="105"/>
      <c r="I26" s="105"/>
      <c r="J26" s="108">
        <f>SUM(J8:J25)</f>
        <v>32440.590000000004</v>
      </c>
      <c r="K26" s="108">
        <f>SUM(K8:K25)</f>
        <v>-6905.38</v>
      </c>
      <c r="L26" s="105">
        <f>SUM(L8:L25)</f>
        <v>16</v>
      </c>
      <c r="M26" s="108">
        <f>SUM(M8:M25)</f>
        <v>3505.7200000000003</v>
      </c>
      <c r="N26" s="108">
        <f>SUM(N8:N25)</f>
        <v>6000</v>
      </c>
      <c r="O26" s="108">
        <f>SUM(O8:O25)</f>
        <v>2817.07</v>
      </c>
      <c r="P26" s="108">
        <f>SUM(P8:P25)</f>
        <v>125.52960000000002</v>
      </c>
      <c r="Q26" s="93"/>
      <c r="R26" s="93"/>
    </row>
    <row r="28" spans="1:18" x14ac:dyDescent="0.25">
      <c r="J28" s="99" t="s">
        <v>1451</v>
      </c>
      <c r="M28" s="106">
        <f>-VLOOKUP(B2, '3213'!A:G, 7, 0)</f>
        <v>-2640.04</v>
      </c>
    </row>
    <row r="29" spans="1:18" x14ac:dyDescent="0.25">
      <c r="J29" s="99"/>
      <c r="M29" s="106"/>
    </row>
    <row r="30" spans="1:18" x14ac:dyDescent="0.25">
      <c r="J30" s="99" t="s">
        <v>1264</v>
      </c>
      <c r="K30" s="92">
        <v>0.18</v>
      </c>
      <c r="M30" s="106">
        <f>M26</f>
        <v>3505.7200000000003</v>
      </c>
    </row>
    <row r="31" spans="1:18" x14ac:dyDescent="0.25">
      <c r="J31" s="99"/>
      <c r="M31" s="106"/>
    </row>
    <row r="32" spans="1:18" x14ac:dyDescent="0.25">
      <c r="A32" s="110"/>
      <c r="B32" s="109"/>
      <c r="C32" s="109"/>
      <c r="D32" t="s">
        <v>1448</v>
      </c>
      <c r="J32" s="99" t="s">
        <v>1265</v>
      </c>
      <c r="K32" s="92">
        <f>B6</f>
        <v>7.0000000000000007E-2</v>
      </c>
      <c r="M32" s="106">
        <f>P26</f>
        <v>125.52960000000002</v>
      </c>
    </row>
    <row r="33" spans="1:13" x14ac:dyDescent="0.25">
      <c r="J33" s="99"/>
      <c r="M33" s="106"/>
    </row>
    <row r="34" spans="1:13" x14ac:dyDescent="0.25">
      <c r="J34" s="99" t="s">
        <v>1452</v>
      </c>
      <c r="M34" s="106">
        <f>O26</f>
        <v>2817.07</v>
      </c>
    </row>
    <row r="35" spans="1:13" x14ac:dyDescent="0.25">
      <c r="J35" s="99"/>
      <c r="M35" s="106"/>
    </row>
    <row r="36" spans="1:13" x14ac:dyDescent="0.25">
      <c r="J36" s="99" t="s">
        <v>1453</v>
      </c>
      <c r="M36" s="106">
        <f>SUM(P26, O26)</f>
        <v>2942.5996</v>
      </c>
    </row>
    <row r="37" spans="1:13" x14ac:dyDescent="0.25">
      <c r="J37" s="99"/>
      <c r="M37" s="106"/>
    </row>
    <row r="38" spans="1:13" x14ac:dyDescent="0.25">
      <c r="A38" s="110"/>
      <c r="B38" s="109"/>
      <c r="C38" s="109"/>
      <c r="D38" t="s">
        <v>1449</v>
      </c>
      <c r="J38" s="99" t="s">
        <v>1454</v>
      </c>
      <c r="M38" s="106">
        <f>J26</f>
        <v>32440.590000000004</v>
      </c>
    </row>
    <row r="39" spans="1:13" x14ac:dyDescent="0.25">
      <c r="J39" s="99"/>
      <c r="M39" s="106"/>
    </row>
    <row r="40" spans="1:13" x14ac:dyDescent="0.25">
      <c r="J40" s="99" t="s">
        <v>1455</v>
      </c>
      <c r="K40" s="92">
        <v>-0.25</v>
      </c>
      <c r="M40" s="106">
        <f>K40 * M38</f>
        <v>-8110.1475000000009</v>
      </c>
    </row>
    <row r="41" spans="1:13" x14ac:dyDescent="0.25">
      <c r="J41" s="99"/>
      <c r="M41" s="106"/>
    </row>
    <row r="42" spans="1:13" x14ac:dyDescent="0.25">
      <c r="J42" s="99" t="s">
        <v>1456</v>
      </c>
      <c r="M42" s="106">
        <f>M38 + M40</f>
        <v>24330.442500000005</v>
      </c>
    </row>
    <row r="43" spans="1:13" x14ac:dyDescent="0.25">
      <c r="J43" s="99"/>
      <c r="M43" s="106"/>
    </row>
    <row r="44" spans="1:13" x14ac:dyDescent="0.25">
      <c r="J44" s="99" t="s">
        <v>1457</v>
      </c>
      <c r="K44" s="92">
        <v>0.05</v>
      </c>
      <c r="M44" s="106">
        <f>K44 * M42</f>
        <v>1216.5221250000002</v>
      </c>
    </row>
    <row r="45" spans="1:13" x14ac:dyDescent="0.25">
      <c r="J45" s="99"/>
      <c r="M45" s="106"/>
    </row>
    <row r="46" spans="1:13" x14ac:dyDescent="0.25">
      <c r="J46" s="99" t="s">
        <v>1458</v>
      </c>
      <c r="K46">
        <f>VLOOKUP(B2,'Pay Summary'!A:D,4,0)</f>
        <v>4</v>
      </c>
      <c r="M46" s="106">
        <f>IF(K46 = 1, 500, 0)</f>
        <v>0</v>
      </c>
    </row>
    <row r="47" spans="1:13" x14ac:dyDescent="0.25">
      <c r="J47" s="99"/>
      <c r="M47" s="106"/>
    </row>
    <row r="48" spans="1:13" x14ac:dyDescent="0.25">
      <c r="J48" s="99" t="s">
        <v>1450</v>
      </c>
      <c r="K48">
        <f>L26</f>
        <v>16</v>
      </c>
      <c r="M48" s="106">
        <f>VLOOKUP(K48, 'Look Up Table'!E:F, 2, TRUE)</f>
        <v>1500</v>
      </c>
    </row>
    <row r="49" spans="10:15" x14ac:dyDescent="0.25">
      <c r="J49" s="99"/>
      <c r="M49" s="106"/>
    </row>
    <row r="50" spans="10:15" x14ac:dyDescent="0.25">
      <c r="J50" s="99" t="s">
        <v>1306</v>
      </c>
      <c r="K50" s="111" t="str">
        <f>B4</f>
        <v>3P</v>
      </c>
      <c r="M50" s="106">
        <f>IF(B5&gt;=3,IF(B4="3P",L26*50,IF(B4="A",0,IF(B4="B",L26*-50))),0)</f>
        <v>800</v>
      </c>
      <c r="N50" s="99" t="s">
        <v>1463</v>
      </c>
      <c r="O50" s="112">
        <f>'NPS Sheet'!X51</f>
        <v>0.91700000000000004</v>
      </c>
    </row>
    <row r="51" spans="10:15" x14ac:dyDescent="0.25">
      <c r="J51" s="99"/>
      <c r="M51" s="106"/>
    </row>
    <row r="52" spans="10:15" x14ac:dyDescent="0.25">
      <c r="J52" s="99" t="s">
        <v>1459</v>
      </c>
      <c r="M52" s="106">
        <f>SUM(M48, M50, M46)</f>
        <v>2300</v>
      </c>
    </row>
    <row r="53" spans="10:15" x14ac:dyDescent="0.25">
      <c r="J53" s="99"/>
      <c r="M53" s="106"/>
    </row>
    <row r="54" spans="10:15" x14ac:dyDescent="0.25">
      <c r="J54" s="99" t="s">
        <v>1460</v>
      </c>
      <c r="M54" s="106">
        <f>IFERROR(VLOOKUP(B2,SPIFFS!A:H,8,0),0)</f>
        <v>0</v>
      </c>
    </row>
    <row r="55" spans="10:15" x14ac:dyDescent="0.25">
      <c r="J55" s="99"/>
      <c r="M55" s="106"/>
    </row>
    <row r="56" spans="10:15" x14ac:dyDescent="0.25">
      <c r="J56" s="99" t="s">
        <v>1461</v>
      </c>
      <c r="M56" s="106">
        <f>SUM(M30, M36, M44, M52, M28, M54)</f>
        <v>7324.8017250000021</v>
      </c>
    </row>
    <row r="57" spans="10:15" x14ac:dyDescent="0.25">
      <c r="J57" s="99"/>
      <c r="M57" s="106"/>
    </row>
    <row r="58" spans="10:15" x14ac:dyDescent="0.25">
      <c r="J58" s="99" t="s">
        <v>1462</v>
      </c>
      <c r="M58" s="106">
        <f>IF(M56&lt;0, SUM(M28, M52, M44, M36), 0)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E1F61-292A-4ACA-BD4B-138D8BE6EA75}">
  <sheetPr>
    <tabColor rgb="FFFFFF00"/>
  </sheetPr>
  <dimension ref="A1:AC52"/>
  <sheetViews>
    <sheetView topLeftCell="A18" workbookViewId="0">
      <selection activeCell="N10" sqref="N10"/>
    </sheetView>
  </sheetViews>
  <sheetFormatPr defaultRowHeight="15" x14ac:dyDescent="0.25"/>
  <cols>
    <col min="1" max="1" width="3" bestFit="1" customWidth="1"/>
    <col min="2" max="2" width="11.28515625" bestFit="1" customWidth="1"/>
    <col min="3" max="3" width="31.140625" bestFit="1" customWidth="1"/>
    <col min="4" max="4" width="2" bestFit="1" customWidth="1"/>
    <col min="5" max="5" width="10.5703125" bestFit="1" customWidth="1"/>
    <col min="6" max="6" width="8.42578125" bestFit="1" customWidth="1"/>
    <col min="7" max="7" width="6.42578125" bestFit="1" customWidth="1"/>
    <col min="8" max="8" width="10.28515625" bestFit="1" customWidth="1"/>
    <col min="9" max="9" width="8.140625" bestFit="1" customWidth="1"/>
    <col min="10" max="10" width="2" bestFit="1" customWidth="1"/>
    <col min="11" max="11" width="8.42578125" bestFit="1" customWidth="1"/>
    <col min="12" max="12" width="6.42578125" bestFit="1" customWidth="1"/>
    <col min="13" max="13" width="10.28515625" bestFit="1" customWidth="1"/>
    <col min="14" max="14" width="8.85546875" bestFit="1" customWidth="1"/>
    <col min="15" max="15" width="3" bestFit="1" customWidth="1"/>
    <col min="16" max="16" width="8.42578125" bestFit="1" customWidth="1"/>
    <col min="17" max="17" width="6.42578125" bestFit="1" customWidth="1"/>
    <col min="18" max="18" width="10.28515625" bestFit="1" customWidth="1"/>
    <col min="19" max="19" width="8.140625" bestFit="1" customWidth="1"/>
    <col min="20" max="20" width="3" bestFit="1" customWidth="1"/>
    <col min="21" max="21" width="8.42578125" bestFit="1" customWidth="1"/>
    <col min="22" max="22" width="6.42578125" bestFit="1" customWidth="1"/>
    <col min="23" max="23" width="10.28515625" bestFit="1" customWidth="1"/>
    <col min="24" max="24" width="8.140625" bestFit="1" customWidth="1"/>
    <col min="25" max="25" width="3" bestFit="1" customWidth="1"/>
    <col min="26" max="26" width="8.42578125" bestFit="1" customWidth="1"/>
    <col min="27" max="27" width="6.42578125" bestFit="1" customWidth="1"/>
    <col min="28" max="28" width="10.28515625" bestFit="1" customWidth="1"/>
    <col min="29" max="29" width="8.140625" bestFit="1" customWidth="1"/>
  </cols>
  <sheetData>
    <row r="1" spans="1:29" ht="15.75" thickBot="1" x14ac:dyDescent="0.3">
      <c r="A1" s="17"/>
      <c r="B1" s="18">
        <v>1</v>
      </c>
      <c r="C1" s="11">
        <v>2</v>
      </c>
      <c r="D1" s="11">
        <v>3</v>
      </c>
      <c r="E1" s="11">
        <v>4</v>
      </c>
      <c r="F1" s="11">
        <v>5</v>
      </c>
      <c r="G1" s="11">
        <v>6</v>
      </c>
      <c r="H1" s="11">
        <v>7</v>
      </c>
      <c r="I1" s="11">
        <v>8</v>
      </c>
      <c r="J1" s="11">
        <v>9</v>
      </c>
      <c r="K1" s="11">
        <v>10</v>
      </c>
      <c r="L1" s="11">
        <v>11</v>
      </c>
      <c r="M1" s="11">
        <v>12</v>
      </c>
      <c r="N1" s="11">
        <v>13</v>
      </c>
      <c r="O1" s="11">
        <v>14</v>
      </c>
      <c r="P1" s="11">
        <v>15</v>
      </c>
      <c r="Q1" s="11">
        <v>16</v>
      </c>
      <c r="R1" s="11">
        <v>17</v>
      </c>
      <c r="S1" s="11">
        <v>18</v>
      </c>
      <c r="T1" s="11">
        <v>19</v>
      </c>
      <c r="U1" s="11">
        <v>20</v>
      </c>
      <c r="V1" s="11">
        <v>21</v>
      </c>
      <c r="W1" s="11">
        <v>22</v>
      </c>
      <c r="X1" s="11">
        <v>23</v>
      </c>
      <c r="Y1" s="11">
        <v>24</v>
      </c>
      <c r="Z1" s="11">
        <v>25</v>
      </c>
      <c r="AA1" s="11">
        <v>26</v>
      </c>
      <c r="AB1" s="11">
        <v>27</v>
      </c>
      <c r="AC1" s="11">
        <v>28</v>
      </c>
    </row>
    <row r="2" spans="1:29" ht="15.75" thickBot="1" x14ac:dyDescent="0.3">
      <c r="A2" s="17"/>
      <c r="B2" s="18"/>
      <c r="C2" s="16" t="s">
        <v>1285</v>
      </c>
      <c r="D2" s="16"/>
      <c r="E2" s="16"/>
      <c r="F2" s="88" t="s">
        <v>1286</v>
      </c>
      <c r="G2" s="89"/>
      <c r="H2" s="89"/>
      <c r="I2" s="89"/>
      <c r="J2" s="16"/>
      <c r="K2" s="88" t="s">
        <v>1287</v>
      </c>
      <c r="L2" s="89"/>
      <c r="M2" s="89"/>
      <c r="N2" s="89"/>
      <c r="O2" s="16"/>
      <c r="P2" s="88" t="s">
        <v>1288</v>
      </c>
      <c r="Q2" s="89"/>
      <c r="R2" s="89"/>
      <c r="S2" s="89"/>
      <c r="T2" s="16"/>
      <c r="U2" s="88" t="s">
        <v>1289</v>
      </c>
      <c r="V2" s="89"/>
      <c r="W2" s="89"/>
      <c r="X2" s="89"/>
      <c r="Y2" s="11"/>
      <c r="Z2" s="88" t="s">
        <v>1290</v>
      </c>
      <c r="AA2" s="89"/>
      <c r="AB2" s="89"/>
      <c r="AC2" s="89"/>
    </row>
    <row r="3" spans="1:29" ht="15.75" thickBot="1" x14ac:dyDescent="0.3">
      <c r="A3" s="17"/>
      <c r="B3" s="18" t="s">
        <v>1254</v>
      </c>
      <c r="C3" s="16" t="s">
        <v>1291</v>
      </c>
      <c r="D3" s="16"/>
      <c r="E3" s="11"/>
      <c r="F3" s="20" t="s">
        <v>1292</v>
      </c>
      <c r="G3" s="20" t="s">
        <v>1293</v>
      </c>
      <c r="H3" s="20" t="s">
        <v>1294</v>
      </c>
      <c r="I3" s="21" t="s">
        <v>1295</v>
      </c>
      <c r="J3" s="16"/>
      <c r="K3" s="20" t="s">
        <v>1292</v>
      </c>
      <c r="L3" s="20" t="s">
        <v>1293</v>
      </c>
      <c r="M3" s="20" t="s">
        <v>1294</v>
      </c>
      <c r="N3" s="21" t="s">
        <v>1295</v>
      </c>
      <c r="O3" s="16"/>
      <c r="P3" s="20" t="s">
        <v>1292</v>
      </c>
      <c r="Q3" s="20" t="s">
        <v>1293</v>
      </c>
      <c r="R3" s="20" t="s">
        <v>1294</v>
      </c>
      <c r="S3" s="21" t="s">
        <v>1295</v>
      </c>
      <c r="T3" s="16"/>
      <c r="U3" s="20" t="s">
        <v>1292</v>
      </c>
      <c r="V3" s="20" t="s">
        <v>1293</v>
      </c>
      <c r="W3" s="20" t="s">
        <v>1294</v>
      </c>
      <c r="X3" s="20" t="s">
        <v>1295</v>
      </c>
      <c r="Y3" s="11"/>
      <c r="Z3" s="20" t="s">
        <v>1292</v>
      </c>
      <c r="AA3" s="20" t="s">
        <v>1293</v>
      </c>
      <c r="AB3" s="20" t="s">
        <v>1294</v>
      </c>
      <c r="AC3" s="20" t="s">
        <v>1295</v>
      </c>
    </row>
    <row r="4" spans="1:29" x14ac:dyDescent="0.25">
      <c r="A4" s="17">
        <v>1</v>
      </c>
      <c r="B4" s="18">
        <v>10067</v>
      </c>
      <c r="C4" s="11" t="s">
        <v>8</v>
      </c>
      <c r="D4" s="11"/>
      <c r="E4" s="11"/>
      <c r="F4" s="22"/>
      <c r="G4" s="23"/>
      <c r="H4" s="24"/>
      <c r="I4" s="25" t="e">
        <v>#DIV/0!</v>
      </c>
      <c r="J4" s="11"/>
      <c r="K4" s="25">
        <v>3</v>
      </c>
      <c r="L4" s="26"/>
      <c r="M4" s="27"/>
      <c r="N4" s="28">
        <v>1</v>
      </c>
      <c r="O4" s="11"/>
      <c r="P4" s="29">
        <v>4</v>
      </c>
      <c r="Q4" s="26"/>
      <c r="R4" s="27"/>
      <c r="S4" s="28">
        <v>1</v>
      </c>
      <c r="T4" s="11"/>
      <c r="U4" s="26">
        <v>7</v>
      </c>
      <c r="V4" s="26">
        <v>0</v>
      </c>
      <c r="W4" s="26">
        <v>0</v>
      </c>
      <c r="X4" s="28">
        <v>1</v>
      </c>
      <c r="Y4" s="11"/>
      <c r="Z4" s="26">
        <v>7</v>
      </c>
      <c r="AA4" s="26">
        <v>0</v>
      </c>
      <c r="AB4" s="26">
        <v>0</v>
      </c>
      <c r="AC4" s="28">
        <v>1</v>
      </c>
    </row>
    <row r="5" spans="1:29" x14ac:dyDescent="0.25">
      <c r="A5" s="17">
        <v>2</v>
      </c>
      <c r="B5" s="18">
        <v>259520</v>
      </c>
      <c r="C5" s="3" t="s">
        <v>36</v>
      </c>
      <c r="D5" s="11"/>
      <c r="E5" s="11"/>
      <c r="F5" s="25">
        <v>5</v>
      </c>
      <c r="G5" s="30"/>
      <c r="H5" s="31"/>
      <c r="I5" s="28">
        <v>1</v>
      </c>
      <c r="J5" s="11"/>
      <c r="K5" s="32">
        <v>2</v>
      </c>
      <c r="L5" s="30"/>
      <c r="M5" s="31"/>
      <c r="N5" s="28">
        <v>1</v>
      </c>
      <c r="O5" s="11"/>
      <c r="P5" s="22"/>
      <c r="Q5" s="23"/>
      <c r="R5" s="24"/>
      <c r="S5" s="25" t="e">
        <v>#DIV/0!</v>
      </c>
      <c r="T5" s="11"/>
      <c r="U5" s="26">
        <v>7</v>
      </c>
      <c r="V5" s="26">
        <v>0</v>
      </c>
      <c r="W5" s="26">
        <v>0</v>
      </c>
      <c r="X5" s="28">
        <v>1</v>
      </c>
      <c r="Y5" s="11"/>
      <c r="Z5" s="26">
        <v>7</v>
      </c>
      <c r="AA5" s="26">
        <v>0</v>
      </c>
      <c r="AB5" s="26">
        <v>0</v>
      </c>
      <c r="AC5" s="28">
        <v>1</v>
      </c>
    </row>
    <row r="6" spans="1:29" x14ac:dyDescent="0.25">
      <c r="A6" s="17">
        <v>3</v>
      </c>
      <c r="B6" s="18">
        <v>3262</v>
      </c>
      <c r="C6" s="11" t="s">
        <v>7</v>
      </c>
      <c r="D6" s="11"/>
      <c r="E6" s="11"/>
      <c r="F6" s="25">
        <v>3</v>
      </c>
      <c r="G6" s="30"/>
      <c r="H6" s="31"/>
      <c r="I6" s="28">
        <v>1</v>
      </c>
      <c r="J6" s="11"/>
      <c r="K6" s="32">
        <v>5</v>
      </c>
      <c r="L6" s="30"/>
      <c r="M6" s="31"/>
      <c r="N6" s="28">
        <v>1</v>
      </c>
      <c r="O6" s="11"/>
      <c r="P6" s="25">
        <v>5</v>
      </c>
      <c r="Q6" s="30"/>
      <c r="R6" s="31"/>
      <c r="S6" s="28">
        <v>1</v>
      </c>
      <c r="T6" s="11"/>
      <c r="U6" s="26">
        <v>13</v>
      </c>
      <c r="V6" s="26">
        <v>0</v>
      </c>
      <c r="W6" s="26">
        <v>0</v>
      </c>
      <c r="X6" s="28">
        <v>1</v>
      </c>
      <c r="Y6" s="11"/>
      <c r="Z6" s="26">
        <v>13</v>
      </c>
      <c r="AA6" s="26">
        <v>0</v>
      </c>
      <c r="AB6" s="26">
        <v>0</v>
      </c>
      <c r="AC6" s="28">
        <v>1</v>
      </c>
    </row>
    <row r="7" spans="1:29" x14ac:dyDescent="0.25">
      <c r="A7" s="17">
        <v>4</v>
      </c>
      <c r="B7" s="18">
        <v>11809</v>
      </c>
      <c r="C7" s="11" t="s">
        <v>14</v>
      </c>
      <c r="D7" s="11"/>
      <c r="E7" s="11"/>
      <c r="F7" s="25">
        <v>6</v>
      </c>
      <c r="G7" s="30"/>
      <c r="H7" s="31"/>
      <c r="I7" s="28">
        <v>1</v>
      </c>
      <c r="J7" s="11"/>
      <c r="K7" s="25">
        <v>3</v>
      </c>
      <c r="L7" s="30"/>
      <c r="M7" s="31"/>
      <c r="N7" s="28">
        <v>1</v>
      </c>
      <c r="O7" s="11"/>
      <c r="P7" s="25">
        <v>4</v>
      </c>
      <c r="Q7" s="30"/>
      <c r="R7" s="31"/>
      <c r="S7" s="28">
        <v>1</v>
      </c>
      <c r="T7" s="11"/>
      <c r="U7" s="26">
        <v>13</v>
      </c>
      <c r="V7" s="33">
        <v>0</v>
      </c>
      <c r="W7" s="26">
        <v>0</v>
      </c>
      <c r="X7" s="34">
        <v>1</v>
      </c>
      <c r="Y7" s="11"/>
      <c r="Z7" s="26">
        <v>13</v>
      </c>
      <c r="AA7" s="26">
        <v>0</v>
      </c>
      <c r="AB7" s="26">
        <v>0</v>
      </c>
      <c r="AC7" s="35">
        <v>1</v>
      </c>
    </row>
    <row r="8" spans="1:29" x14ac:dyDescent="0.25">
      <c r="A8" s="17">
        <v>5</v>
      </c>
      <c r="B8" s="18">
        <v>12104</v>
      </c>
      <c r="C8" s="11" t="s">
        <v>1296</v>
      </c>
      <c r="D8" s="11"/>
      <c r="E8" s="11"/>
      <c r="F8" s="25">
        <v>4</v>
      </c>
      <c r="G8" s="30"/>
      <c r="H8" s="31"/>
      <c r="I8" s="28">
        <v>1</v>
      </c>
      <c r="J8" s="11"/>
      <c r="K8" s="25">
        <v>4</v>
      </c>
      <c r="L8" s="30"/>
      <c r="M8" s="31"/>
      <c r="N8" s="28">
        <v>1</v>
      </c>
      <c r="O8" s="11"/>
      <c r="P8" s="25">
        <v>4</v>
      </c>
      <c r="Q8" s="30"/>
      <c r="R8" s="31"/>
      <c r="S8" s="28">
        <v>1</v>
      </c>
      <c r="T8" s="11"/>
      <c r="U8" s="26">
        <v>12</v>
      </c>
      <c r="V8" s="26">
        <v>0</v>
      </c>
      <c r="W8" s="26">
        <v>0</v>
      </c>
      <c r="X8" s="35">
        <v>1</v>
      </c>
      <c r="Y8" s="11"/>
      <c r="Z8" s="26">
        <v>12</v>
      </c>
      <c r="AA8" s="26">
        <v>0</v>
      </c>
      <c r="AB8" s="26">
        <v>0</v>
      </c>
      <c r="AC8" s="35">
        <v>1</v>
      </c>
    </row>
    <row r="9" spans="1:29" x14ac:dyDescent="0.25">
      <c r="A9" s="17">
        <v>6</v>
      </c>
      <c r="B9" s="18">
        <v>13189</v>
      </c>
      <c r="C9" s="11" t="s">
        <v>16</v>
      </c>
      <c r="D9" s="11"/>
      <c r="E9" s="11"/>
      <c r="F9" s="25">
        <v>2</v>
      </c>
      <c r="G9" s="30"/>
      <c r="H9" s="36">
        <v>1</v>
      </c>
      <c r="I9" s="37">
        <v>0.33300000000000002</v>
      </c>
      <c r="J9" s="11"/>
      <c r="K9" s="25">
        <v>6</v>
      </c>
      <c r="L9" s="30"/>
      <c r="M9" s="31"/>
      <c r="N9" s="28">
        <v>1</v>
      </c>
      <c r="O9" s="11"/>
      <c r="P9" s="25">
        <v>4</v>
      </c>
      <c r="Q9" s="30"/>
      <c r="R9" s="31"/>
      <c r="S9" s="28">
        <v>1</v>
      </c>
      <c r="T9" s="11"/>
      <c r="U9" s="26">
        <v>12</v>
      </c>
      <c r="V9" s="26">
        <v>0</v>
      </c>
      <c r="W9" s="38">
        <v>1</v>
      </c>
      <c r="X9" s="37">
        <v>0.84599999999999997</v>
      </c>
      <c r="Y9" s="11"/>
      <c r="Z9" s="26">
        <v>12</v>
      </c>
      <c r="AA9" s="26">
        <v>0</v>
      </c>
      <c r="AB9" s="38">
        <v>1</v>
      </c>
      <c r="AC9" s="37">
        <v>0.84599999999999997</v>
      </c>
    </row>
    <row r="10" spans="1:29" x14ac:dyDescent="0.25">
      <c r="A10" s="17">
        <v>7</v>
      </c>
      <c r="B10" s="18">
        <v>14383</v>
      </c>
      <c r="C10" s="11" t="s">
        <v>17</v>
      </c>
      <c r="D10" s="11"/>
      <c r="E10" s="11"/>
      <c r="F10" s="25">
        <v>3</v>
      </c>
      <c r="G10" s="30"/>
      <c r="H10" s="31"/>
      <c r="I10" s="28">
        <v>1</v>
      </c>
      <c r="J10" s="11"/>
      <c r="K10" s="25">
        <v>4</v>
      </c>
      <c r="L10" s="30"/>
      <c r="M10" s="31"/>
      <c r="N10" s="28">
        <v>1</v>
      </c>
      <c r="O10" s="11"/>
      <c r="P10" s="39">
        <v>1</v>
      </c>
      <c r="Q10" s="30"/>
      <c r="R10" s="31"/>
      <c r="S10" s="28">
        <v>1</v>
      </c>
      <c r="T10" s="11"/>
      <c r="U10" s="26">
        <v>8</v>
      </c>
      <c r="V10" s="26">
        <v>0</v>
      </c>
      <c r="W10" s="26">
        <v>0</v>
      </c>
      <c r="X10" s="28">
        <v>1</v>
      </c>
      <c r="Y10" s="11"/>
      <c r="Z10" s="26">
        <v>8</v>
      </c>
      <c r="AA10" s="26">
        <v>0</v>
      </c>
      <c r="AB10" s="26">
        <v>0</v>
      </c>
      <c r="AC10" s="28">
        <v>1</v>
      </c>
    </row>
    <row r="11" spans="1:29" x14ac:dyDescent="0.25">
      <c r="A11" s="17">
        <v>8</v>
      </c>
      <c r="B11" s="18">
        <v>22564</v>
      </c>
      <c r="C11" s="11" t="s">
        <v>1253</v>
      </c>
      <c r="D11" s="11"/>
      <c r="E11" s="11"/>
      <c r="F11" s="25">
        <v>3</v>
      </c>
      <c r="G11" s="30"/>
      <c r="H11" s="31"/>
      <c r="I11" s="28">
        <v>1</v>
      </c>
      <c r="J11" s="11"/>
      <c r="K11" s="22"/>
      <c r="L11" s="23"/>
      <c r="M11" s="24"/>
      <c r="N11" s="25" t="e">
        <v>#DIV/0!</v>
      </c>
      <c r="O11" s="11"/>
      <c r="P11" s="22"/>
      <c r="Q11" s="23"/>
      <c r="R11" s="24"/>
      <c r="S11" s="25" t="e">
        <v>#DIV/0!</v>
      </c>
      <c r="T11" s="11"/>
      <c r="U11" s="26">
        <v>3</v>
      </c>
      <c r="V11" s="26">
        <v>0</v>
      </c>
      <c r="W11" s="26">
        <v>0</v>
      </c>
      <c r="X11" s="28">
        <v>1</v>
      </c>
      <c r="Y11" s="11"/>
      <c r="Z11" s="26">
        <v>3</v>
      </c>
      <c r="AA11" s="26">
        <v>0</v>
      </c>
      <c r="AB11" s="26">
        <v>0</v>
      </c>
      <c r="AC11" s="28">
        <v>1</v>
      </c>
    </row>
    <row r="12" spans="1:29" x14ac:dyDescent="0.25">
      <c r="A12" s="17">
        <v>9</v>
      </c>
      <c r="B12" s="18">
        <v>10303</v>
      </c>
      <c r="C12" s="11" t="s">
        <v>10</v>
      </c>
      <c r="D12" s="11"/>
      <c r="E12" s="11"/>
      <c r="F12" s="25">
        <v>5</v>
      </c>
      <c r="G12" s="30"/>
      <c r="H12" s="31"/>
      <c r="I12" s="28">
        <v>1</v>
      </c>
      <c r="J12" s="11"/>
      <c r="K12" s="25">
        <v>4</v>
      </c>
      <c r="L12" s="30"/>
      <c r="M12" s="31"/>
      <c r="N12" s="28">
        <v>1</v>
      </c>
      <c r="O12" s="11"/>
      <c r="P12" s="25">
        <v>6</v>
      </c>
      <c r="Q12" s="30"/>
      <c r="R12" s="31"/>
      <c r="S12" s="28">
        <v>1</v>
      </c>
      <c r="T12" s="11"/>
      <c r="U12" s="26">
        <v>15</v>
      </c>
      <c r="V12" s="26">
        <v>0</v>
      </c>
      <c r="W12" s="26">
        <v>0</v>
      </c>
      <c r="X12" s="28">
        <v>1</v>
      </c>
      <c r="Y12" s="11"/>
      <c r="Z12" s="26">
        <v>15</v>
      </c>
      <c r="AA12" s="26">
        <v>0</v>
      </c>
      <c r="AB12" s="26">
        <v>0</v>
      </c>
      <c r="AC12" s="28">
        <v>1</v>
      </c>
    </row>
    <row r="13" spans="1:29" x14ac:dyDescent="0.25">
      <c r="A13" s="17">
        <v>10</v>
      </c>
      <c r="B13" s="18">
        <v>10775</v>
      </c>
      <c r="C13" s="11" t="s">
        <v>12</v>
      </c>
      <c r="D13" s="11"/>
      <c r="E13" s="11"/>
      <c r="F13" s="25">
        <v>3</v>
      </c>
      <c r="G13" s="39">
        <v>1</v>
      </c>
      <c r="H13" s="31"/>
      <c r="I13" s="37">
        <v>0.75</v>
      </c>
      <c r="J13" s="11"/>
      <c r="K13" s="25">
        <v>4</v>
      </c>
      <c r="L13" s="30"/>
      <c r="M13" s="31"/>
      <c r="N13" s="28">
        <v>1</v>
      </c>
      <c r="O13" s="11"/>
      <c r="P13" s="25">
        <v>9</v>
      </c>
      <c r="Q13" s="39">
        <v>1</v>
      </c>
      <c r="R13" s="31"/>
      <c r="S13" s="37">
        <v>0.9</v>
      </c>
      <c r="T13" s="11"/>
      <c r="U13" s="26">
        <v>16</v>
      </c>
      <c r="V13" s="40">
        <v>2</v>
      </c>
      <c r="W13" s="26">
        <v>0</v>
      </c>
      <c r="X13" s="41">
        <v>0.88900000000000001</v>
      </c>
      <c r="Y13" s="11"/>
      <c r="Z13" s="26">
        <v>16</v>
      </c>
      <c r="AA13" s="40">
        <v>2</v>
      </c>
      <c r="AB13" s="26">
        <v>0</v>
      </c>
      <c r="AC13" s="41">
        <v>0.88900000000000001</v>
      </c>
    </row>
    <row r="14" spans="1:29" x14ac:dyDescent="0.25">
      <c r="A14" s="17">
        <v>11</v>
      </c>
      <c r="B14" s="18">
        <v>207573</v>
      </c>
      <c r="C14" s="11" t="s">
        <v>30</v>
      </c>
      <c r="D14" s="11"/>
      <c r="E14" s="11"/>
      <c r="F14" s="25">
        <v>3</v>
      </c>
      <c r="G14" s="30"/>
      <c r="H14" s="31"/>
      <c r="I14" s="28">
        <v>1</v>
      </c>
      <c r="J14" s="11"/>
      <c r="K14" s="25">
        <v>7</v>
      </c>
      <c r="L14" s="30"/>
      <c r="M14" s="31"/>
      <c r="N14" s="28">
        <v>1</v>
      </c>
      <c r="O14" s="11"/>
      <c r="P14" s="25">
        <v>13</v>
      </c>
      <c r="Q14" s="30"/>
      <c r="R14" s="31"/>
      <c r="S14" s="28">
        <v>1</v>
      </c>
      <c r="T14" s="11"/>
      <c r="U14" s="26">
        <v>23</v>
      </c>
      <c r="V14" s="26">
        <v>0</v>
      </c>
      <c r="W14" s="26">
        <v>0</v>
      </c>
      <c r="X14" s="35">
        <v>1</v>
      </c>
      <c r="Y14" s="11"/>
      <c r="Z14" s="26">
        <v>23</v>
      </c>
      <c r="AA14" s="26">
        <v>0</v>
      </c>
      <c r="AB14" s="26">
        <v>0</v>
      </c>
      <c r="AC14" s="35">
        <v>1</v>
      </c>
    </row>
    <row r="15" spans="1:29" x14ac:dyDescent="0.25">
      <c r="A15" s="17">
        <v>12</v>
      </c>
      <c r="B15" s="18">
        <v>207580</v>
      </c>
      <c r="C15" s="11" t="s">
        <v>31</v>
      </c>
      <c r="D15" s="11"/>
      <c r="E15" s="11"/>
      <c r="F15" s="25">
        <v>3</v>
      </c>
      <c r="G15" s="31"/>
      <c r="H15" s="32"/>
      <c r="I15" s="42">
        <v>1</v>
      </c>
      <c r="J15" s="11"/>
      <c r="K15" s="25">
        <v>16</v>
      </c>
      <c r="L15" s="31"/>
      <c r="M15" s="39">
        <v>1</v>
      </c>
      <c r="N15" s="37">
        <v>0.88200000000000001</v>
      </c>
      <c r="O15" s="11"/>
      <c r="P15" s="25">
        <v>12</v>
      </c>
      <c r="Q15" s="31"/>
      <c r="R15" s="31"/>
      <c r="S15" s="28">
        <v>1</v>
      </c>
      <c r="T15" s="11"/>
      <c r="U15" s="30">
        <v>31</v>
      </c>
      <c r="V15" s="30">
        <v>0</v>
      </c>
      <c r="W15" s="39">
        <v>1</v>
      </c>
      <c r="X15" s="37">
        <v>0.93799999999999994</v>
      </c>
      <c r="Y15" s="11"/>
      <c r="Z15" s="26">
        <v>31</v>
      </c>
      <c r="AA15" s="26">
        <v>0</v>
      </c>
      <c r="AB15" s="40">
        <v>1</v>
      </c>
      <c r="AC15" s="37">
        <v>0.93799999999999994</v>
      </c>
    </row>
    <row r="16" spans="1:29" x14ac:dyDescent="0.25">
      <c r="A16" s="17">
        <v>13</v>
      </c>
      <c r="B16" s="18">
        <v>217079</v>
      </c>
      <c r="C16" s="3" t="s">
        <v>33</v>
      </c>
      <c r="D16" s="11"/>
      <c r="E16" s="11"/>
      <c r="F16" s="25">
        <v>3</v>
      </c>
      <c r="G16" s="30"/>
      <c r="H16" s="31"/>
      <c r="I16" s="28">
        <v>1</v>
      </c>
      <c r="J16" s="11"/>
      <c r="K16" s="25">
        <v>7</v>
      </c>
      <c r="L16" s="30"/>
      <c r="M16" s="31"/>
      <c r="N16" s="28">
        <v>1</v>
      </c>
      <c r="O16" s="11"/>
      <c r="P16" s="25">
        <v>3</v>
      </c>
      <c r="Q16" s="30"/>
      <c r="R16" s="31"/>
      <c r="S16" s="28">
        <v>1</v>
      </c>
      <c r="T16" s="11"/>
      <c r="U16" s="26">
        <v>13</v>
      </c>
      <c r="V16" s="26">
        <v>0</v>
      </c>
      <c r="W16" s="26">
        <v>0</v>
      </c>
      <c r="X16" s="35">
        <v>1</v>
      </c>
      <c r="Y16" s="11"/>
      <c r="Z16" s="26">
        <v>13</v>
      </c>
      <c r="AA16" s="26">
        <v>0</v>
      </c>
      <c r="AB16" s="26">
        <v>0</v>
      </c>
      <c r="AC16" s="35">
        <v>1</v>
      </c>
    </row>
    <row r="17" spans="1:29" x14ac:dyDescent="0.25">
      <c r="A17" s="17">
        <v>14</v>
      </c>
      <c r="B17" s="18">
        <v>245770</v>
      </c>
      <c r="C17" s="3" t="s">
        <v>35</v>
      </c>
      <c r="D17" s="11"/>
      <c r="E17" s="11"/>
      <c r="F17" s="25">
        <v>3</v>
      </c>
      <c r="G17" s="31"/>
      <c r="H17" s="31"/>
      <c r="I17" s="28">
        <v>1</v>
      </c>
      <c r="J17" s="11"/>
      <c r="K17" s="25">
        <v>5</v>
      </c>
      <c r="L17" s="31"/>
      <c r="M17" s="31"/>
      <c r="N17" s="28">
        <v>1</v>
      </c>
      <c r="O17" s="11"/>
      <c r="P17" s="25">
        <v>4</v>
      </c>
      <c r="Q17" s="31"/>
      <c r="R17" s="31"/>
      <c r="S17" s="28">
        <v>1</v>
      </c>
      <c r="T17" s="11"/>
      <c r="U17" s="26">
        <v>12</v>
      </c>
      <c r="V17" s="26">
        <v>0</v>
      </c>
      <c r="W17" s="26">
        <v>0</v>
      </c>
      <c r="X17" s="42">
        <v>1</v>
      </c>
      <c r="Y17" s="11"/>
      <c r="Z17" s="26">
        <v>12</v>
      </c>
      <c r="AA17" s="26">
        <v>0</v>
      </c>
      <c r="AB17" s="26">
        <v>0</v>
      </c>
      <c r="AC17" s="28">
        <v>1</v>
      </c>
    </row>
    <row r="18" spans="1:29" x14ac:dyDescent="0.25">
      <c r="A18" s="17">
        <v>15</v>
      </c>
      <c r="B18" s="18">
        <v>22145</v>
      </c>
      <c r="C18" s="11" t="s">
        <v>1251</v>
      </c>
      <c r="D18" s="11"/>
      <c r="E18" s="11"/>
      <c r="F18" s="25">
        <v>3</v>
      </c>
      <c r="G18" s="30"/>
      <c r="H18" s="31"/>
      <c r="I18" s="28">
        <v>1</v>
      </c>
      <c r="J18" s="11"/>
      <c r="K18" s="25">
        <v>5</v>
      </c>
      <c r="L18" s="30"/>
      <c r="M18" s="31"/>
      <c r="N18" s="28">
        <v>1</v>
      </c>
      <c r="O18" s="11"/>
      <c r="P18" s="25">
        <v>1</v>
      </c>
      <c r="Q18" s="30"/>
      <c r="R18" s="31"/>
      <c r="S18" s="28">
        <v>1</v>
      </c>
      <c r="T18" s="11"/>
      <c r="U18" s="26">
        <v>9</v>
      </c>
      <c r="V18" s="26">
        <v>0</v>
      </c>
      <c r="W18" s="26">
        <v>0</v>
      </c>
      <c r="X18" s="34">
        <v>1</v>
      </c>
      <c r="Y18" s="11"/>
      <c r="Z18" s="26">
        <v>9</v>
      </c>
      <c r="AA18" s="26">
        <v>0</v>
      </c>
      <c r="AB18" s="26">
        <v>0</v>
      </c>
      <c r="AC18" s="35">
        <v>1</v>
      </c>
    </row>
    <row r="19" spans="1:29" x14ac:dyDescent="0.25">
      <c r="A19" s="17">
        <v>16</v>
      </c>
      <c r="B19" s="18">
        <v>267623</v>
      </c>
      <c r="C19" s="11" t="s">
        <v>38</v>
      </c>
      <c r="D19" s="11"/>
      <c r="E19" s="11"/>
      <c r="F19" s="25">
        <v>3</v>
      </c>
      <c r="G19" s="30"/>
      <c r="H19" s="31"/>
      <c r="I19" s="28">
        <v>1</v>
      </c>
      <c r="J19" s="11"/>
      <c r="K19" s="25">
        <v>4</v>
      </c>
      <c r="L19" s="30"/>
      <c r="M19" s="31"/>
      <c r="N19" s="28">
        <v>1</v>
      </c>
      <c r="O19" s="11"/>
      <c r="P19" s="25">
        <v>5</v>
      </c>
      <c r="Q19" s="30"/>
      <c r="R19" s="31"/>
      <c r="S19" s="28">
        <v>1</v>
      </c>
      <c r="T19" s="11"/>
      <c r="U19" s="26">
        <v>12</v>
      </c>
      <c r="V19" s="26">
        <v>0</v>
      </c>
      <c r="W19" s="26">
        <v>0</v>
      </c>
      <c r="X19" s="34">
        <v>1</v>
      </c>
      <c r="Y19" s="11"/>
      <c r="Z19" s="26">
        <v>12</v>
      </c>
      <c r="AA19" s="26">
        <v>0</v>
      </c>
      <c r="AB19" s="26">
        <v>0</v>
      </c>
      <c r="AC19" s="35">
        <v>1</v>
      </c>
    </row>
    <row r="20" spans="1:29" ht="15.75" thickBot="1" x14ac:dyDescent="0.3">
      <c r="A20" s="17">
        <v>17</v>
      </c>
      <c r="B20" s="18">
        <v>215323</v>
      </c>
      <c r="C20" s="3" t="s">
        <v>32</v>
      </c>
      <c r="D20" s="11"/>
      <c r="E20" s="11"/>
      <c r="F20" s="25">
        <v>11</v>
      </c>
      <c r="G20" s="30"/>
      <c r="H20" s="31"/>
      <c r="I20" s="28">
        <v>1</v>
      </c>
      <c r="J20" s="11"/>
      <c r="K20" s="25">
        <v>6</v>
      </c>
      <c r="L20" s="30"/>
      <c r="M20" s="31"/>
      <c r="N20" s="28">
        <v>1</v>
      </c>
      <c r="O20" s="11"/>
      <c r="P20" s="25">
        <v>7</v>
      </c>
      <c r="Q20" s="30"/>
      <c r="R20" s="31"/>
      <c r="S20" s="28">
        <v>1</v>
      </c>
      <c r="T20" s="11"/>
      <c r="U20" s="26">
        <v>24</v>
      </c>
      <c r="V20" s="26">
        <v>0</v>
      </c>
      <c r="W20" s="33">
        <v>0</v>
      </c>
      <c r="X20" s="42">
        <v>1</v>
      </c>
      <c r="Y20" s="11"/>
      <c r="Z20" s="26">
        <v>24</v>
      </c>
      <c r="AA20" s="26">
        <v>0</v>
      </c>
      <c r="AB20" s="26">
        <v>0</v>
      </c>
      <c r="AC20" s="28">
        <v>1</v>
      </c>
    </row>
    <row r="21" spans="1:29" ht="15.75" thickBot="1" x14ac:dyDescent="0.3">
      <c r="A21" s="17"/>
      <c r="B21" s="18"/>
      <c r="C21" s="11"/>
      <c r="D21" s="11"/>
      <c r="E21" s="11"/>
      <c r="F21" s="43">
        <v>63</v>
      </c>
      <c r="G21" s="44">
        <v>1</v>
      </c>
      <c r="H21" s="44">
        <v>1</v>
      </c>
      <c r="I21" s="45">
        <v>0.95399999999999996</v>
      </c>
      <c r="J21" s="11"/>
      <c r="K21" s="43">
        <v>85</v>
      </c>
      <c r="L21" s="43">
        <v>0</v>
      </c>
      <c r="M21" s="44">
        <v>1</v>
      </c>
      <c r="N21" s="46">
        <v>0.97699999999999998</v>
      </c>
      <c r="O21" s="11"/>
      <c r="P21" s="43">
        <v>82</v>
      </c>
      <c r="Q21" s="44">
        <v>1</v>
      </c>
      <c r="R21" s="43">
        <v>0</v>
      </c>
      <c r="S21" s="46">
        <v>0.98799999999999999</v>
      </c>
      <c r="T21" s="11"/>
      <c r="U21" s="43">
        <v>230</v>
      </c>
      <c r="V21" s="44">
        <v>2</v>
      </c>
      <c r="W21" s="44">
        <v>2</v>
      </c>
      <c r="X21" s="47">
        <v>0.97399999999999998</v>
      </c>
      <c r="Y21" s="11"/>
      <c r="Z21" s="43">
        <v>230</v>
      </c>
      <c r="AA21" s="44">
        <v>2</v>
      </c>
      <c r="AB21" s="44">
        <v>2</v>
      </c>
      <c r="AC21" s="45">
        <v>0.97399999999999998</v>
      </c>
    </row>
    <row r="22" spans="1:29" x14ac:dyDescent="0.25">
      <c r="A22" s="17"/>
      <c r="B22" s="18"/>
      <c r="C22" s="11"/>
      <c r="D22" s="11"/>
      <c r="E22" s="11"/>
      <c r="F22" s="16"/>
      <c r="G22" s="11"/>
      <c r="H22" s="11"/>
      <c r="I22" s="48"/>
      <c r="J22" s="82"/>
      <c r="K22" s="82"/>
      <c r="L22" s="11"/>
      <c r="M22" s="11"/>
      <c r="N22" s="48"/>
      <c r="O22" s="82"/>
      <c r="P22" s="82"/>
      <c r="Q22" s="11"/>
      <c r="R22" s="11"/>
      <c r="S22" s="48"/>
      <c r="T22" s="82"/>
      <c r="U22" s="82"/>
      <c r="V22" s="11"/>
      <c r="W22" s="11"/>
      <c r="X22" s="11"/>
      <c r="Y22" s="82"/>
      <c r="Z22" s="82"/>
      <c r="AA22" s="11"/>
      <c r="AB22" s="11"/>
      <c r="AC22" s="11"/>
    </row>
    <row r="23" spans="1:29" x14ac:dyDescent="0.25">
      <c r="A23" s="17"/>
      <c r="B23" s="18"/>
      <c r="C23" s="16" t="s">
        <v>1297</v>
      </c>
      <c r="D23" s="11"/>
      <c r="E23" s="11"/>
      <c r="F23" s="16"/>
      <c r="G23" s="11"/>
      <c r="H23" s="11"/>
      <c r="I23" s="48"/>
      <c r="J23" s="82"/>
      <c r="K23" s="82"/>
      <c r="L23" s="11"/>
      <c r="M23" s="11"/>
      <c r="N23" s="48"/>
      <c r="O23" s="82"/>
      <c r="P23" s="82"/>
      <c r="Q23" s="11"/>
      <c r="R23" s="11"/>
      <c r="S23" s="48"/>
      <c r="T23" s="82"/>
      <c r="U23" s="82"/>
      <c r="V23" s="11"/>
      <c r="W23" s="11"/>
      <c r="X23" s="11"/>
      <c r="Y23" s="82"/>
      <c r="Z23" s="82"/>
      <c r="AA23" s="11"/>
      <c r="AB23" s="11"/>
      <c r="AC23" s="11"/>
    </row>
    <row r="24" spans="1:29" x14ac:dyDescent="0.25">
      <c r="A24" s="17">
        <v>18</v>
      </c>
      <c r="B24" s="18">
        <v>207462</v>
      </c>
      <c r="C24" s="11" t="s">
        <v>29</v>
      </c>
      <c r="D24" s="11"/>
      <c r="E24" s="11"/>
      <c r="F24" s="25">
        <v>5</v>
      </c>
      <c r="G24" s="30"/>
      <c r="H24" s="30"/>
      <c r="I24" s="28">
        <v>1</v>
      </c>
      <c r="J24" s="11"/>
      <c r="K24" s="25">
        <v>5</v>
      </c>
      <c r="L24" s="30"/>
      <c r="M24" s="30"/>
      <c r="N24" s="28">
        <v>1</v>
      </c>
      <c r="O24" s="11"/>
      <c r="P24" s="25">
        <v>4</v>
      </c>
      <c r="Q24" s="30"/>
      <c r="R24" s="30"/>
      <c r="S24" s="28">
        <v>1</v>
      </c>
      <c r="T24" s="11"/>
      <c r="U24" s="30">
        <v>14</v>
      </c>
      <c r="V24" s="30">
        <v>0</v>
      </c>
      <c r="W24" s="30">
        <v>0</v>
      </c>
      <c r="X24" s="28">
        <v>1</v>
      </c>
      <c r="Y24" s="11"/>
      <c r="Z24" s="30">
        <v>14</v>
      </c>
      <c r="AA24" s="30">
        <v>0</v>
      </c>
      <c r="AB24" s="30">
        <v>0</v>
      </c>
      <c r="AC24" s="28">
        <v>1</v>
      </c>
    </row>
    <row r="25" spans="1:29" x14ac:dyDescent="0.25">
      <c r="A25" s="17">
        <v>19</v>
      </c>
      <c r="B25" s="18">
        <v>207347</v>
      </c>
      <c r="C25" s="11" t="s">
        <v>28</v>
      </c>
      <c r="D25" s="11"/>
      <c r="E25" s="11"/>
      <c r="F25" s="39">
        <v>1</v>
      </c>
      <c r="G25" s="30"/>
      <c r="H25" s="30"/>
      <c r="I25" s="28">
        <v>1</v>
      </c>
      <c r="J25" s="11"/>
      <c r="K25" s="25">
        <v>3</v>
      </c>
      <c r="L25" s="30"/>
      <c r="M25" s="30"/>
      <c r="N25" s="28">
        <v>1</v>
      </c>
      <c r="O25" s="11"/>
      <c r="P25" s="25">
        <v>3</v>
      </c>
      <c r="Q25" s="30"/>
      <c r="R25" s="30"/>
      <c r="S25" s="28">
        <v>1</v>
      </c>
      <c r="T25" s="11"/>
      <c r="U25" s="30">
        <v>7</v>
      </c>
      <c r="V25" s="30">
        <v>0</v>
      </c>
      <c r="W25" s="30">
        <v>0</v>
      </c>
      <c r="X25" s="28">
        <v>1</v>
      </c>
      <c r="Y25" s="11"/>
      <c r="Z25" s="26">
        <v>7</v>
      </c>
      <c r="AA25" s="30">
        <v>0</v>
      </c>
      <c r="AB25" s="26">
        <v>0</v>
      </c>
      <c r="AC25" s="28">
        <v>1</v>
      </c>
    </row>
    <row r="26" spans="1:29" ht="15.75" thickBot="1" x14ac:dyDescent="0.3">
      <c r="A26" s="17">
        <v>20</v>
      </c>
      <c r="B26" s="18">
        <v>11580</v>
      </c>
      <c r="C26" s="3" t="s">
        <v>13</v>
      </c>
      <c r="D26" s="11"/>
      <c r="E26" s="11"/>
      <c r="F26" s="49">
        <v>5</v>
      </c>
      <c r="G26" s="25"/>
      <c r="H26" s="32"/>
      <c r="I26" s="42">
        <v>1</v>
      </c>
      <c r="J26" s="11"/>
      <c r="K26" s="49">
        <v>7</v>
      </c>
      <c r="L26" s="25"/>
      <c r="M26" s="39">
        <v>1</v>
      </c>
      <c r="N26" s="37">
        <v>0.75</v>
      </c>
      <c r="O26" s="11"/>
      <c r="P26" s="49">
        <v>3</v>
      </c>
      <c r="Q26" s="30"/>
      <c r="R26" s="30"/>
      <c r="S26" s="28">
        <v>1</v>
      </c>
      <c r="T26" s="11"/>
      <c r="U26" s="26">
        <v>15</v>
      </c>
      <c r="V26" s="50">
        <v>0</v>
      </c>
      <c r="W26" s="40">
        <v>1</v>
      </c>
      <c r="X26" s="37">
        <v>0.875</v>
      </c>
      <c r="Y26" s="11"/>
      <c r="Z26" s="51">
        <v>15</v>
      </c>
      <c r="AA26" s="52">
        <v>0</v>
      </c>
      <c r="AB26" s="53">
        <v>1</v>
      </c>
      <c r="AC26" s="54">
        <v>0.875</v>
      </c>
    </row>
    <row r="27" spans="1:29" ht="15.75" thickBot="1" x14ac:dyDescent="0.3">
      <c r="A27" s="17"/>
      <c r="B27" s="18"/>
      <c r="C27" s="11"/>
      <c r="D27" s="11"/>
      <c r="E27" s="11"/>
      <c r="F27" s="43">
        <v>11</v>
      </c>
      <c r="G27" s="55">
        <v>0</v>
      </c>
      <c r="H27" s="43">
        <v>0</v>
      </c>
      <c r="I27" s="56">
        <v>1</v>
      </c>
      <c r="J27" s="11"/>
      <c r="K27" s="43">
        <v>15</v>
      </c>
      <c r="L27" s="55">
        <v>0</v>
      </c>
      <c r="M27" s="44">
        <v>1</v>
      </c>
      <c r="N27" s="37">
        <v>0.875</v>
      </c>
      <c r="O27" s="11"/>
      <c r="P27" s="43">
        <v>10</v>
      </c>
      <c r="Q27" s="43">
        <v>0</v>
      </c>
      <c r="R27" s="43">
        <v>0</v>
      </c>
      <c r="S27" s="28">
        <v>1</v>
      </c>
      <c r="T27" s="11"/>
      <c r="U27" s="43">
        <v>36</v>
      </c>
      <c r="V27" s="55">
        <v>0</v>
      </c>
      <c r="W27" s="44">
        <v>1</v>
      </c>
      <c r="X27" s="45">
        <v>0.97299999999999998</v>
      </c>
      <c r="Y27" s="11"/>
      <c r="Z27" s="43">
        <v>36</v>
      </c>
      <c r="AA27" s="55">
        <v>0</v>
      </c>
      <c r="AB27" s="44">
        <v>1</v>
      </c>
      <c r="AC27" s="45">
        <v>0.97299999999999998</v>
      </c>
    </row>
    <row r="28" spans="1:29" x14ac:dyDescent="0.25">
      <c r="A28" s="17"/>
      <c r="B28" s="18"/>
      <c r="C28" s="11"/>
      <c r="D28" s="11"/>
      <c r="E28" s="11"/>
      <c r="F28" s="16"/>
      <c r="G28" s="11"/>
      <c r="H28" s="11"/>
      <c r="I28" s="48"/>
      <c r="J28" s="82"/>
      <c r="K28" s="82"/>
      <c r="L28" s="11"/>
      <c r="M28" s="11"/>
      <c r="N28" s="48"/>
      <c r="O28" s="82"/>
      <c r="P28" s="82"/>
      <c r="Q28" s="11"/>
      <c r="R28" s="11"/>
      <c r="S28" s="48"/>
      <c r="T28" s="82"/>
      <c r="U28" s="82"/>
      <c r="V28" s="11"/>
      <c r="W28" s="11"/>
      <c r="X28" s="11"/>
      <c r="Y28" s="82"/>
      <c r="Z28" s="82"/>
      <c r="AA28" s="11"/>
      <c r="AB28" s="11"/>
      <c r="AC28" s="48"/>
    </row>
    <row r="29" spans="1:29" x14ac:dyDescent="0.25">
      <c r="A29" s="17"/>
      <c r="B29" s="18"/>
      <c r="C29" s="16" t="s">
        <v>1298</v>
      </c>
      <c r="D29" s="11"/>
      <c r="E29" s="11"/>
      <c r="F29" s="16"/>
      <c r="G29" s="11"/>
      <c r="H29" s="11"/>
      <c r="I29" s="48"/>
      <c r="J29" s="82"/>
      <c r="K29" s="82"/>
      <c r="L29" s="11"/>
      <c r="M29" s="11"/>
      <c r="N29" s="48"/>
      <c r="O29" s="82"/>
      <c r="P29" s="82"/>
      <c r="Q29" s="11"/>
      <c r="R29" s="11"/>
      <c r="S29" s="48"/>
      <c r="T29" s="82"/>
      <c r="U29" s="82"/>
      <c r="V29" s="11"/>
      <c r="W29" s="11"/>
      <c r="X29" s="11"/>
      <c r="Y29" s="82"/>
      <c r="Z29" s="82"/>
      <c r="AA29" s="11"/>
      <c r="AB29" s="11"/>
      <c r="AC29" s="48"/>
    </row>
    <row r="30" spans="1:29" x14ac:dyDescent="0.25">
      <c r="A30" s="17">
        <v>21</v>
      </c>
      <c r="B30" s="18">
        <v>10304</v>
      </c>
      <c r="C30" s="11" t="s">
        <v>11</v>
      </c>
      <c r="D30" s="11"/>
      <c r="E30" s="11"/>
      <c r="F30" s="39">
        <v>2</v>
      </c>
      <c r="G30" s="30"/>
      <c r="H30" s="30"/>
      <c r="I30" s="42">
        <v>1</v>
      </c>
      <c r="J30" s="11"/>
      <c r="K30" s="39">
        <v>1</v>
      </c>
      <c r="L30" s="30"/>
      <c r="M30" s="30"/>
      <c r="N30" s="28">
        <v>1</v>
      </c>
      <c r="O30" s="11"/>
      <c r="P30" s="25">
        <v>3</v>
      </c>
      <c r="Q30" s="30"/>
      <c r="R30" s="30"/>
      <c r="S30" s="28">
        <v>1</v>
      </c>
      <c r="T30" s="11"/>
      <c r="U30" s="30">
        <v>6</v>
      </c>
      <c r="V30" s="30">
        <v>0</v>
      </c>
      <c r="W30" s="30">
        <v>0</v>
      </c>
      <c r="X30" s="28">
        <v>1</v>
      </c>
      <c r="Y30" s="11"/>
      <c r="Z30" s="30">
        <v>6</v>
      </c>
      <c r="AA30" s="30">
        <v>0</v>
      </c>
      <c r="AB30" s="30">
        <v>0</v>
      </c>
      <c r="AC30" s="28">
        <v>1</v>
      </c>
    </row>
    <row r="31" spans="1:29" x14ac:dyDescent="0.25">
      <c r="A31" s="17">
        <v>22</v>
      </c>
      <c r="B31" s="18">
        <v>14906</v>
      </c>
      <c r="C31" s="11" t="s">
        <v>18</v>
      </c>
      <c r="D31" s="11"/>
      <c r="E31" s="11"/>
      <c r="F31" s="39"/>
      <c r="G31" s="30"/>
      <c r="H31" s="57"/>
      <c r="I31" s="32" t="e">
        <v>#DIV/0!</v>
      </c>
      <c r="J31" s="11"/>
      <c r="K31" s="39"/>
      <c r="L31" s="30"/>
      <c r="M31" s="39">
        <v>1</v>
      </c>
      <c r="N31" s="37">
        <v>-1</v>
      </c>
      <c r="O31" s="11"/>
      <c r="P31" s="39">
        <v>1</v>
      </c>
      <c r="Q31" s="30"/>
      <c r="R31" s="30"/>
      <c r="S31" s="28">
        <v>1</v>
      </c>
      <c r="T31" s="11"/>
      <c r="U31" s="26">
        <v>1</v>
      </c>
      <c r="V31" s="26">
        <v>0</v>
      </c>
      <c r="W31" s="40">
        <v>1</v>
      </c>
      <c r="X31" s="37">
        <v>0</v>
      </c>
      <c r="Y31" s="11"/>
      <c r="Z31" s="26">
        <v>1</v>
      </c>
      <c r="AA31" s="30">
        <v>0</v>
      </c>
      <c r="AB31" s="40">
        <v>1</v>
      </c>
      <c r="AC31" s="37">
        <v>0</v>
      </c>
    </row>
    <row r="32" spans="1:29" x14ac:dyDescent="0.25">
      <c r="A32" s="17">
        <v>23</v>
      </c>
      <c r="B32" s="18">
        <v>16210</v>
      </c>
      <c r="C32" s="3" t="s">
        <v>19</v>
      </c>
      <c r="D32" s="11"/>
      <c r="E32" s="11"/>
      <c r="F32" s="25">
        <v>3</v>
      </c>
      <c r="G32" s="30"/>
      <c r="H32" s="30"/>
      <c r="I32" s="42">
        <v>1</v>
      </c>
      <c r="J32" s="11"/>
      <c r="K32" s="25">
        <v>3</v>
      </c>
      <c r="L32" s="30"/>
      <c r="M32" s="30"/>
      <c r="N32" s="28">
        <v>1</v>
      </c>
      <c r="O32" s="11"/>
      <c r="P32" s="25">
        <v>3</v>
      </c>
      <c r="Q32" s="30"/>
      <c r="R32" s="30"/>
      <c r="S32" s="28">
        <v>1</v>
      </c>
      <c r="T32" s="11"/>
      <c r="U32" s="26">
        <v>9</v>
      </c>
      <c r="V32" s="26">
        <v>0</v>
      </c>
      <c r="W32" s="26">
        <v>0</v>
      </c>
      <c r="X32" s="28">
        <v>1</v>
      </c>
      <c r="Y32" s="11"/>
      <c r="Z32" s="26">
        <v>9</v>
      </c>
      <c r="AA32" s="30">
        <v>0</v>
      </c>
      <c r="AB32" s="26">
        <v>0</v>
      </c>
      <c r="AC32" s="28">
        <v>1</v>
      </c>
    </row>
    <row r="33" spans="1:29" x14ac:dyDescent="0.25">
      <c r="A33" s="17">
        <v>24</v>
      </c>
      <c r="B33" s="18">
        <v>207147</v>
      </c>
      <c r="C33" s="11" t="s">
        <v>27</v>
      </c>
      <c r="D33" s="11"/>
      <c r="E33" s="11"/>
      <c r="F33" s="39"/>
      <c r="G33" s="30"/>
      <c r="H33" s="57"/>
      <c r="I33" s="32" t="e">
        <v>#DIV/0!</v>
      </c>
      <c r="J33" s="11"/>
      <c r="K33" s="25">
        <v>2</v>
      </c>
      <c r="L33" s="30"/>
      <c r="M33" s="39">
        <v>1</v>
      </c>
      <c r="N33" s="37">
        <v>0.33300000000000002</v>
      </c>
      <c r="O33" s="11"/>
      <c r="P33" s="39">
        <v>1</v>
      </c>
      <c r="Q33" s="57"/>
      <c r="R33" s="30"/>
      <c r="S33" s="28">
        <v>1</v>
      </c>
      <c r="T33" s="11"/>
      <c r="U33" s="26">
        <v>3</v>
      </c>
      <c r="V33" s="50">
        <v>0</v>
      </c>
      <c r="W33" s="40">
        <v>1</v>
      </c>
      <c r="X33" s="37">
        <v>0.5</v>
      </c>
      <c r="Y33" s="11"/>
      <c r="Z33" s="26">
        <v>3</v>
      </c>
      <c r="AA33" s="30">
        <v>0</v>
      </c>
      <c r="AB33" s="40">
        <v>1</v>
      </c>
      <c r="AC33" s="37">
        <v>0.5</v>
      </c>
    </row>
    <row r="34" spans="1:29" x14ac:dyDescent="0.25">
      <c r="A34" s="17">
        <v>25</v>
      </c>
      <c r="B34" s="18">
        <v>16655</v>
      </c>
      <c r="C34" s="11" t="s">
        <v>20</v>
      </c>
      <c r="D34" s="11"/>
      <c r="E34" s="11"/>
      <c r="F34" s="58"/>
      <c r="G34" s="59"/>
      <c r="H34" s="59"/>
      <c r="I34" s="32" t="e">
        <v>#DIV/0!</v>
      </c>
      <c r="J34" s="11"/>
      <c r="K34" s="58"/>
      <c r="L34" s="59"/>
      <c r="M34" s="59"/>
      <c r="N34" s="25" t="e">
        <v>#DIV/0!</v>
      </c>
      <c r="O34" s="11"/>
      <c r="P34" s="39">
        <v>1</v>
      </c>
      <c r="Q34" s="30"/>
      <c r="R34" s="30"/>
      <c r="S34" s="28">
        <v>1</v>
      </c>
      <c r="T34" s="11"/>
      <c r="U34" s="26">
        <v>1</v>
      </c>
      <c r="V34" s="26">
        <v>0</v>
      </c>
      <c r="W34" s="26">
        <v>0</v>
      </c>
      <c r="X34" s="28">
        <v>1</v>
      </c>
      <c r="Y34" s="11"/>
      <c r="Z34" s="26">
        <v>1</v>
      </c>
      <c r="AA34" s="30">
        <v>0</v>
      </c>
      <c r="AB34" s="26">
        <v>0</v>
      </c>
      <c r="AC34" s="28">
        <v>1</v>
      </c>
    </row>
    <row r="35" spans="1:29" x14ac:dyDescent="0.25">
      <c r="A35" s="17">
        <v>26</v>
      </c>
      <c r="B35" s="18">
        <v>20993</v>
      </c>
      <c r="C35" s="11" t="s">
        <v>1250</v>
      </c>
      <c r="D35" s="11"/>
      <c r="E35" s="11"/>
      <c r="F35" s="25">
        <v>3</v>
      </c>
      <c r="G35" s="30"/>
      <c r="H35" s="57"/>
      <c r="I35" s="42">
        <v>1</v>
      </c>
      <c r="J35" s="11"/>
      <c r="K35" s="25">
        <v>1</v>
      </c>
      <c r="L35" s="30"/>
      <c r="M35" s="39">
        <v>2</v>
      </c>
      <c r="N35" s="37">
        <v>-0.33300000000000002</v>
      </c>
      <c r="O35" s="11"/>
      <c r="P35" s="25">
        <v>3</v>
      </c>
      <c r="Q35" s="39">
        <v>1</v>
      </c>
      <c r="R35" s="31"/>
      <c r="S35" s="37">
        <v>0.75</v>
      </c>
      <c r="T35" s="11"/>
      <c r="U35" s="26">
        <v>7</v>
      </c>
      <c r="V35" s="26">
        <v>1</v>
      </c>
      <c r="W35" s="26">
        <v>2</v>
      </c>
      <c r="X35" s="28">
        <v>0.5</v>
      </c>
      <c r="Y35" s="11"/>
      <c r="Z35" s="26">
        <v>7</v>
      </c>
      <c r="AA35" s="30">
        <v>1</v>
      </c>
      <c r="AB35" s="26">
        <v>2</v>
      </c>
      <c r="AC35" s="28">
        <v>0.5</v>
      </c>
    </row>
    <row r="36" spans="1:29" x14ac:dyDescent="0.25">
      <c r="A36" s="17">
        <v>27</v>
      </c>
      <c r="B36" s="18">
        <v>16734</v>
      </c>
      <c r="C36" s="3" t="s">
        <v>21</v>
      </c>
      <c r="D36" s="11"/>
      <c r="E36" s="11"/>
      <c r="F36" s="25">
        <v>4</v>
      </c>
      <c r="G36" s="30"/>
      <c r="H36" s="57"/>
      <c r="I36" s="42">
        <v>1</v>
      </c>
      <c r="J36" s="11"/>
      <c r="K36" s="25">
        <v>3</v>
      </c>
      <c r="L36" s="30"/>
      <c r="M36" s="30"/>
      <c r="N36" s="28">
        <v>1</v>
      </c>
      <c r="O36" s="11"/>
      <c r="P36" s="25">
        <v>3</v>
      </c>
      <c r="Q36" s="30"/>
      <c r="R36" s="30"/>
      <c r="S36" s="28">
        <v>1</v>
      </c>
      <c r="T36" s="11"/>
      <c r="U36" s="26">
        <v>10</v>
      </c>
      <c r="V36" s="40">
        <v>0</v>
      </c>
      <c r="W36" s="40">
        <v>0</v>
      </c>
      <c r="X36" s="37">
        <v>1</v>
      </c>
      <c r="Y36" s="11"/>
      <c r="Z36" s="26">
        <v>10</v>
      </c>
      <c r="AA36" s="39">
        <v>0</v>
      </c>
      <c r="AB36" s="40">
        <v>0</v>
      </c>
      <c r="AC36" s="37">
        <v>1</v>
      </c>
    </row>
    <row r="37" spans="1:29" x14ac:dyDescent="0.25">
      <c r="A37" s="17">
        <v>28</v>
      </c>
      <c r="B37" s="18">
        <v>242160</v>
      </c>
      <c r="C37" s="11" t="s">
        <v>34</v>
      </c>
      <c r="D37" s="11"/>
      <c r="E37" s="11"/>
      <c r="F37" s="25">
        <v>4</v>
      </c>
      <c r="G37" s="30"/>
      <c r="H37" s="30"/>
      <c r="I37" s="42">
        <v>1</v>
      </c>
      <c r="J37" s="11"/>
      <c r="K37" s="25">
        <v>3</v>
      </c>
      <c r="L37" s="30"/>
      <c r="M37" s="30"/>
      <c r="N37" s="28">
        <v>1</v>
      </c>
      <c r="O37" s="11"/>
      <c r="P37" s="39">
        <v>2</v>
      </c>
      <c r="Q37" s="30"/>
      <c r="R37" s="30"/>
      <c r="S37" s="28">
        <v>1</v>
      </c>
      <c r="T37" s="11"/>
      <c r="U37" s="26">
        <v>9</v>
      </c>
      <c r="V37" s="26">
        <v>0</v>
      </c>
      <c r="W37" s="26">
        <v>0</v>
      </c>
      <c r="X37" s="28">
        <v>1</v>
      </c>
      <c r="Y37" s="11"/>
      <c r="Z37" s="26">
        <v>9</v>
      </c>
      <c r="AA37" s="30">
        <v>0</v>
      </c>
      <c r="AB37" s="26">
        <v>0</v>
      </c>
      <c r="AC37" s="28">
        <v>1</v>
      </c>
    </row>
    <row r="38" spans="1:29" x14ac:dyDescent="0.25">
      <c r="A38" s="17">
        <v>29</v>
      </c>
      <c r="B38" s="18">
        <v>261800</v>
      </c>
      <c r="C38" s="3" t="s">
        <v>37</v>
      </c>
      <c r="D38" s="11"/>
      <c r="E38" s="11"/>
      <c r="F38" s="39">
        <v>1</v>
      </c>
      <c r="G38" s="30"/>
      <c r="H38" s="30"/>
      <c r="I38" s="42">
        <v>1</v>
      </c>
      <c r="J38" s="11"/>
      <c r="K38" s="25">
        <v>4</v>
      </c>
      <c r="L38" s="30"/>
      <c r="M38" s="31"/>
      <c r="N38" s="28">
        <v>1</v>
      </c>
      <c r="O38" s="11"/>
      <c r="P38" s="25">
        <v>3</v>
      </c>
      <c r="Q38" s="30"/>
      <c r="R38" s="31"/>
      <c r="S38" s="28">
        <v>1</v>
      </c>
      <c r="T38" s="11"/>
      <c r="U38" s="26">
        <v>8</v>
      </c>
      <c r="V38" s="29">
        <v>0</v>
      </c>
      <c r="W38" s="50">
        <v>0</v>
      </c>
      <c r="X38" s="28">
        <v>1</v>
      </c>
      <c r="Y38" s="11"/>
      <c r="Z38" s="26">
        <v>8</v>
      </c>
      <c r="AA38" s="30">
        <v>0</v>
      </c>
      <c r="AB38" s="26">
        <v>0</v>
      </c>
      <c r="AC38" s="28">
        <v>1</v>
      </c>
    </row>
    <row r="39" spans="1:29" ht="15.75" thickBot="1" x14ac:dyDescent="0.3">
      <c r="A39" s="17">
        <v>30</v>
      </c>
      <c r="B39" s="18">
        <v>271828</v>
      </c>
      <c r="C39" s="11" t="s">
        <v>39</v>
      </c>
      <c r="D39" s="11"/>
      <c r="E39" s="11"/>
      <c r="F39" s="25">
        <v>4</v>
      </c>
      <c r="G39" s="30"/>
      <c r="H39" s="31"/>
      <c r="I39" s="42">
        <v>1</v>
      </c>
      <c r="J39" s="11"/>
      <c r="K39" s="25">
        <v>5</v>
      </c>
      <c r="L39" s="30"/>
      <c r="M39" s="30"/>
      <c r="N39" s="28">
        <v>1</v>
      </c>
      <c r="O39" s="11"/>
      <c r="P39" s="25">
        <v>4</v>
      </c>
      <c r="Q39" s="30"/>
      <c r="R39" s="30"/>
      <c r="S39" s="28">
        <v>1</v>
      </c>
      <c r="T39" s="11"/>
      <c r="U39" s="26">
        <v>13</v>
      </c>
      <c r="V39" s="26">
        <v>0</v>
      </c>
      <c r="W39" s="26">
        <v>0</v>
      </c>
      <c r="X39" s="42">
        <v>1</v>
      </c>
      <c r="Y39" s="11"/>
      <c r="Z39" s="26">
        <v>13</v>
      </c>
      <c r="AA39" s="30">
        <v>0</v>
      </c>
      <c r="AB39" s="26">
        <v>0</v>
      </c>
      <c r="AC39" s="28">
        <v>1</v>
      </c>
    </row>
    <row r="40" spans="1:29" ht="15.75" thickBot="1" x14ac:dyDescent="0.3">
      <c r="A40" s="17">
        <v>31</v>
      </c>
      <c r="B40" s="18">
        <v>277065</v>
      </c>
      <c r="C40" s="11" t="s">
        <v>40</v>
      </c>
      <c r="D40" s="11"/>
      <c r="E40" s="11"/>
      <c r="F40" s="25">
        <v>4</v>
      </c>
      <c r="G40" s="30"/>
      <c r="H40" s="30"/>
      <c r="I40" s="42">
        <v>1</v>
      </c>
      <c r="J40" s="11"/>
      <c r="K40" s="43">
        <v>22</v>
      </c>
      <c r="L40" s="43">
        <v>0</v>
      </c>
      <c r="M40" s="44">
        <v>4</v>
      </c>
      <c r="N40" s="60">
        <v>0.69199999999999995</v>
      </c>
      <c r="O40" s="11"/>
      <c r="P40" s="43">
        <v>24</v>
      </c>
      <c r="Q40" s="44">
        <v>1</v>
      </c>
      <c r="R40" s="43">
        <v>0</v>
      </c>
      <c r="S40" s="46">
        <v>0.96</v>
      </c>
      <c r="T40" s="11"/>
      <c r="U40" s="51">
        <v>50</v>
      </c>
      <c r="V40" s="61">
        <v>1</v>
      </c>
      <c r="W40" s="62">
        <v>4</v>
      </c>
      <c r="X40" s="63">
        <v>0.83599999999999997</v>
      </c>
      <c r="Y40" s="11"/>
      <c r="Z40" s="51">
        <v>50</v>
      </c>
      <c r="AA40" s="52">
        <v>1</v>
      </c>
      <c r="AB40" s="51">
        <v>4</v>
      </c>
      <c r="AC40" s="63">
        <v>0.83599999999999997</v>
      </c>
    </row>
    <row r="41" spans="1:29" ht="15.75" thickBot="1" x14ac:dyDescent="0.3">
      <c r="A41" s="17"/>
      <c r="B41" s="18"/>
      <c r="C41" s="11"/>
      <c r="D41" s="11"/>
      <c r="E41" s="11"/>
      <c r="F41" s="43">
        <v>25</v>
      </c>
      <c r="G41" s="43">
        <v>0</v>
      </c>
      <c r="H41" s="43">
        <v>0</v>
      </c>
      <c r="I41" s="47">
        <v>1</v>
      </c>
      <c r="J41" s="86"/>
      <c r="K41" s="82"/>
      <c r="L41" s="11"/>
      <c r="M41" s="11"/>
      <c r="N41" s="48"/>
      <c r="O41" s="82"/>
      <c r="P41" s="82"/>
      <c r="Q41" s="11"/>
      <c r="R41" s="11"/>
      <c r="S41" s="48"/>
      <c r="T41" s="11"/>
      <c r="U41" s="43">
        <v>117</v>
      </c>
      <c r="V41" s="44">
        <v>2</v>
      </c>
      <c r="W41" s="44">
        <v>8</v>
      </c>
      <c r="X41" s="60">
        <v>0.85799999999999998</v>
      </c>
      <c r="Y41" s="11"/>
      <c r="Z41" s="43">
        <v>117</v>
      </c>
      <c r="AA41" s="44">
        <v>2</v>
      </c>
      <c r="AB41" s="44">
        <v>8</v>
      </c>
      <c r="AC41" s="60">
        <v>0.85799999999999998</v>
      </c>
    </row>
    <row r="42" spans="1:29" x14ac:dyDescent="0.25">
      <c r="A42" s="17"/>
      <c r="B42" s="18"/>
      <c r="C42" s="16" t="s">
        <v>1299</v>
      </c>
      <c r="D42" s="11"/>
      <c r="E42" s="11"/>
      <c r="F42" s="16"/>
      <c r="G42" s="11"/>
      <c r="H42" s="11"/>
      <c r="I42" s="48"/>
      <c r="J42" s="82"/>
      <c r="K42" s="82"/>
      <c r="L42" s="11"/>
      <c r="M42" s="11"/>
      <c r="N42" s="48"/>
      <c r="O42" s="82"/>
      <c r="P42" s="82"/>
      <c r="Q42" s="11"/>
      <c r="R42" s="11"/>
      <c r="S42" s="48"/>
      <c r="T42" s="82"/>
      <c r="U42" s="82"/>
      <c r="V42" s="11"/>
      <c r="W42" s="11"/>
      <c r="X42" s="11"/>
      <c r="Y42" s="82"/>
      <c r="Z42" s="82"/>
      <c r="AA42" s="11"/>
      <c r="AB42" s="11"/>
      <c r="AC42" s="48"/>
    </row>
    <row r="43" spans="1:29" x14ac:dyDescent="0.25">
      <c r="A43" s="17"/>
      <c r="B43" s="64"/>
      <c r="C43" s="16"/>
      <c r="D43" s="11"/>
      <c r="E43" s="11"/>
      <c r="F43" s="16"/>
      <c r="G43" s="11"/>
      <c r="H43" s="11"/>
      <c r="I43" s="48"/>
      <c r="J43" s="11"/>
      <c r="K43" s="25">
        <v>5</v>
      </c>
      <c r="L43" s="57"/>
      <c r="M43" s="30"/>
      <c r="N43" s="28">
        <v>1</v>
      </c>
      <c r="O43" s="11"/>
      <c r="P43" s="25">
        <v>4</v>
      </c>
      <c r="Q43" s="57"/>
      <c r="R43" s="30"/>
      <c r="S43" s="28">
        <v>1</v>
      </c>
      <c r="T43" s="87"/>
      <c r="U43" s="82"/>
      <c r="V43" s="11"/>
      <c r="W43" s="11"/>
      <c r="X43" s="11"/>
      <c r="Y43" s="82"/>
      <c r="Z43" s="82"/>
      <c r="AA43" s="11"/>
      <c r="AB43" s="11"/>
      <c r="AC43" s="48"/>
    </row>
    <row r="44" spans="1:29" ht="15.75" thickBot="1" x14ac:dyDescent="0.3">
      <c r="A44" s="17">
        <v>1</v>
      </c>
      <c r="B44" s="18">
        <v>10069</v>
      </c>
      <c r="C44" s="11" t="s">
        <v>9</v>
      </c>
      <c r="D44" s="11"/>
      <c r="E44" s="11"/>
      <c r="F44" s="25">
        <v>3</v>
      </c>
      <c r="G44" s="57"/>
      <c r="H44" s="30"/>
      <c r="I44" s="28">
        <v>1</v>
      </c>
      <c r="J44" s="11"/>
      <c r="K44" s="49">
        <v>4</v>
      </c>
      <c r="L44" s="57"/>
      <c r="M44" s="57"/>
      <c r="N44" s="42">
        <v>1</v>
      </c>
      <c r="O44" s="11"/>
      <c r="P44" s="49">
        <v>12</v>
      </c>
      <c r="Q44" s="39">
        <v>1</v>
      </c>
      <c r="R44" s="57"/>
      <c r="S44" s="37">
        <v>0.92300000000000004</v>
      </c>
      <c r="T44" s="11"/>
      <c r="U44" s="30">
        <v>19</v>
      </c>
      <c r="V44" s="65">
        <v>1</v>
      </c>
      <c r="W44" s="65">
        <v>0</v>
      </c>
      <c r="X44" s="28">
        <v>0.95</v>
      </c>
      <c r="Y44" s="11"/>
      <c r="Z44" s="30">
        <v>19</v>
      </c>
      <c r="AA44" s="30">
        <v>1</v>
      </c>
      <c r="AB44" s="30">
        <v>0</v>
      </c>
      <c r="AC44" s="28">
        <v>0.95</v>
      </c>
    </row>
    <row r="45" spans="1:29" ht="15.75" thickBot="1" x14ac:dyDescent="0.3">
      <c r="A45" s="17">
        <v>2</v>
      </c>
      <c r="B45" s="18">
        <v>284175</v>
      </c>
      <c r="C45" s="11" t="s">
        <v>42</v>
      </c>
      <c r="D45" s="11"/>
      <c r="E45" s="11"/>
      <c r="F45" s="49">
        <v>3</v>
      </c>
      <c r="G45" s="57"/>
      <c r="H45" s="57"/>
      <c r="I45" s="42">
        <v>1</v>
      </c>
      <c r="J45" s="11"/>
      <c r="K45" s="43">
        <v>9</v>
      </c>
      <c r="L45" s="43">
        <v>0</v>
      </c>
      <c r="M45" s="43">
        <v>0</v>
      </c>
      <c r="N45" s="42">
        <v>1</v>
      </c>
      <c r="O45" s="11"/>
      <c r="P45" s="43">
        <v>16</v>
      </c>
      <c r="Q45" s="44">
        <v>1</v>
      </c>
      <c r="R45" s="43">
        <v>0</v>
      </c>
      <c r="S45" s="37">
        <v>0.94099999999999995</v>
      </c>
      <c r="T45" s="11"/>
      <c r="U45" s="51">
        <v>28</v>
      </c>
      <c r="V45" s="53">
        <v>1</v>
      </c>
      <c r="W45" s="62">
        <v>0</v>
      </c>
      <c r="X45" s="41">
        <v>0.96599999999999997</v>
      </c>
      <c r="Y45" s="11"/>
      <c r="Z45" s="51">
        <v>28</v>
      </c>
      <c r="AA45" s="66">
        <v>1</v>
      </c>
      <c r="AB45" s="51">
        <v>0</v>
      </c>
      <c r="AC45" s="67">
        <v>0.96599999999999997</v>
      </c>
    </row>
    <row r="46" spans="1:29" ht="15.75" thickBot="1" x14ac:dyDescent="0.3">
      <c r="A46" s="17"/>
      <c r="B46" s="18"/>
      <c r="C46" s="11"/>
      <c r="D46" s="11"/>
      <c r="E46" s="11"/>
      <c r="F46" s="43">
        <v>6</v>
      </c>
      <c r="G46" s="43">
        <v>0</v>
      </c>
      <c r="H46" s="43">
        <v>0</v>
      </c>
      <c r="I46" s="56">
        <v>1</v>
      </c>
      <c r="J46" s="87"/>
      <c r="K46" s="82"/>
      <c r="L46" s="68"/>
      <c r="M46" s="16"/>
      <c r="N46" s="48"/>
      <c r="O46" s="82"/>
      <c r="P46" s="82"/>
      <c r="Q46" s="68"/>
      <c r="R46" s="16"/>
      <c r="S46" s="48"/>
      <c r="T46" s="11"/>
      <c r="U46" s="55">
        <v>47</v>
      </c>
      <c r="V46" s="44">
        <v>2</v>
      </c>
      <c r="W46" s="55">
        <v>0</v>
      </c>
      <c r="X46" s="60">
        <v>0.95899999999999996</v>
      </c>
      <c r="Y46" s="11"/>
      <c r="Z46" s="55">
        <v>47</v>
      </c>
      <c r="AA46" s="44">
        <v>2</v>
      </c>
      <c r="AB46" s="55">
        <v>0</v>
      </c>
      <c r="AC46" s="60">
        <v>0.95899999999999996</v>
      </c>
    </row>
    <row r="47" spans="1:29" ht="15.75" thickBot="1" x14ac:dyDescent="0.3">
      <c r="A47" s="17"/>
      <c r="B47" s="18"/>
      <c r="C47" s="11"/>
      <c r="D47" s="11"/>
      <c r="E47" s="69" t="s">
        <v>1300</v>
      </c>
      <c r="F47" s="17"/>
      <c r="G47" s="68"/>
      <c r="H47" s="16"/>
      <c r="I47" s="48"/>
      <c r="J47" s="70"/>
      <c r="K47" s="43">
        <v>131</v>
      </c>
      <c r="L47" s="55">
        <v>0</v>
      </c>
      <c r="M47" s="44">
        <v>6</v>
      </c>
      <c r="N47" s="60">
        <v>0.91200000000000003</v>
      </c>
      <c r="O47" s="70"/>
      <c r="P47" s="43">
        <v>132</v>
      </c>
      <c r="Q47" s="44">
        <v>3</v>
      </c>
      <c r="R47" s="43">
        <v>0</v>
      </c>
      <c r="S47" s="45">
        <v>0.97799999999999998</v>
      </c>
      <c r="T47" s="86"/>
      <c r="U47" s="82"/>
      <c r="V47" s="11"/>
      <c r="W47" s="11"/>
      <c r="X47" s="11"/>
      <c r="Y47" s="82"/>
      <c r="Z47" s="82"/>
      <c r="AA47" s="11"/>
      <c r="AB47" s="11"/>
      <c r="AC47" s="48"/>
    </row>
    <row r="48" spans="1:29" ht="15.75" thickBot="1" x14ac:dyDescent="0.3">
      <c r="A48" s="82"/>
      <c r="B48" s="82"/>
      <c r="C48" s="11"/>
      <c r="D48" s="11"/>
      <c r="E48" s="11"/>
      <c r="F48" s="43">
        <v>105</v>
      </c>
      <c r="G48" s="44">
        <v>1</v>
      </c>
      <c r="H48" s="44">
        <v>1</v>
      </c>
      <c r="I48" s="45">
        <v>0.97199999999999998</v>
      </c>
      <c r="J48" s="86"/>
      <c r="K48" s="82"/>
      <c r="L48" s="11"/>
      <c r="M48" s="11"/>
      <c r="N48" s="48"/>
      <c r="O48" s="82"/>
      <c r="P48" s="82"/>
      <c r="Q48" s="11"/>
      <c r="R48" s="11"/>
      <c r="S48" s="48"/>
      <c r="T48" s="11"/>
      <c r="U48" s="43">
        <v>430</v>
      </c>
      <c r="V48" s="44">
        <v>6</v>
      </c>
      <c r="W48" s="44">
        <v>11</v>
      </c>
      <c r="X48" s="60">
        <v>0.93700000000000006</v>
      </c>
      <c r="Y48" s="11"/>
      <c r="Z48" s="43">
        <v>430</v>
      </c>
      <c r="AA48" s="44">
        <v>6</v>
      </c>
      <c r="AB48" s="44">
        <v>11</v>
      </c>
      <c r="AC48" s="60">
        <v>0.93700000000000006</v>
      </c>
    </row>
    <row r="49" spans="1:29" ht="15.75" thickBot="1" x14ac:dyDescent="0.3">
      <c r="A49" s="82"/>
      <c r="B49" s="82"/>
      <c r="C49" s="11"/>
      <c r="D49" s="11"/>
      <c r="E49" s="11"/>
      <c r="F49" s="16"/>
      <c r="G49" s="11"/>
      <c r="H49" s="11"/>
      <c r="I49" s="48"/>
      <c r="J49" s="82"/>
      <c r="K49" s="82"/>
      <c r="L49" s="11"/>
      <c r="M49" s="16" t="s">
        <v>1301</v>
      </c>
      <c r="N49" s="71" t="s">
        <v>1302</v>
      </c>
      <c r="O49" s="86"/>
      <c r="P49" s="82"/>
      <c r="Q49" s="11"/>
      <c r="R49" s="16" t="s">
        <v>1301</v>
      </c>
      <c r="S49" s="72">
        <v>0.89500000000000002</v>
      </c>
      <c r="T49" s="86"/>
      <c r="U49" s="82"/>
      <c r="V49" s="11"/>
      <c r="W49" s="11"/>
      <c r="X49" s="11"/>
      <c r="Y49" s="82"/>
      <c r="Z49" s="82"/>
      <c r="AA49" s="11"/>
      <c r="AB49" s="11"/>
      <c r="AC49" s="11"/>
    </row>
    <row r="50" spans="1:29" ht="15.75" thickBot="1" x14ac:dyDescent="0.3">
      <c r="A50" s="82"/>
      <c r="B50" s="82"/>
      <c r="C50" s="11"/>
      <c r="D50" s="11"/>
      <c r="E50" s="11"/>
      <c r="F50" s="16"/>
      <c r="G50" s="11"/>
      <c r="H50" s="16" t="s">
        <v>1301</v>
      </c>
      <c r="I50" s="72">
        <v>0.90300000000000002</v>
      </c>
      <c r="J50" s="86"/>
      <c r="K50" s="82"/>
      <c r="L50" s="11"/>
      <c r="M50" s="16" t="s">
        <v>1303</v>
      </c>
      <c r="N50" s="46">
        <v>0.91800000000000004</v>
      </c>
      <c r="O50" s="86"/>
      <c r="P50" s="82"/>
      <c r="Q50" s="11"/>
      <c r="R50" s="16" t="s">
        <v>1303</v>
      </c>
      <c r="S50" s="72">
        <v>0.91100000000000003</v>
      </c>
      <c r="T50" s="86"/>
      <c r="U50" s="82"/>
      <c r="V50" s="11"/>
      <c r="W50" s="16" t="s">
        <v>1301</v>
      </c>
      <c r="X50" s="73">
        <v>0.89900000000000002</v>
      </c>
      <c r="Y50" s="86"/>
      <c r="Z50" s="82"/>
      <c r="AA50" s="11"/>
      <c r="AB50" s="16" t="s">
        <v>1301</v>
      </c>
      <c r="AC50" s="73">
        <v>0.89900000000000002</v>
      </c>
    </row>
    <row r="51" spans="1:29" ht="15.75" thickBot="1" x14ac:dyDescent="0.3">
      <c r="A51" s="82"/>
      <c r="B51" s="82"/>
      <c r="C51" s="11"/>
      <c r="D51" s="11"/>
      <c r="E51" s="11"/>
      <c r="F51" s="16"/>
      <c r="G51" s="11"/>
      <c r="H51" s="16" t="s">
        <v>1303</v>
      </c>
      <c r="I51" s="72">
        <v>0.92</v>
      </c>
      <c r="J51" s="86"/>
      <c r="K51" s="82"/>
      <c r="L51" s="11"/>
      <c r="M51" s="16" t="s">
        <v>1304</v>
      </c>
      <c r="N51" s="72">
        <v>0.90200000000000002</v>
      </c>
      <c r="O51" s="86"/>
      <c r="P51" s="82"/>
      <c r="Q51" s="11"/>
      <c r="R51" s="16" t="s">
        <v>1304</v>
      </c>
      <c r="S51" s="46">
        <v>0.90800000000000003</v>
      </c>
      <c r="T51" s="86"/>
      <c r="U51" s="82"/>
      <c r="V51" s="11"/>
      <c r="W51" s="16" t="s">
        <v>1303</v>
      </c>
      <c r="X51" s="74">
        <v>0.91700000000000004</v>
      </c>
      <c r="Y51" s="86"/>
      <c r="Z51" s="82"/>
      <c r="AA51" s="11"/>
      <c r="AB51" s="16" t="s">
        <v>1303</v>
      </c>
      <c r="AC51" s="74">
        <v>0.91700000000000004</v>
      </c>
    </row>
    <row r="52" spans="1:29" ht="15.75" thickBot="1" x14ac:dyDescent="0.3">
      <c r="A52" s="82"/>
      <c r="B52" s="82"/>
      <c r="C52" s="11"/>
      <c r="D52" s="11"/>
      <c r="E52" s="11"/>
      <c r="F52" s="16"/>
      <c r="G52" s="11"/>
      <c r="H52" s="16" t="s">
        <v>1304</v>
      </c>
      <c r="I52" s="46">
        <v>0.92100000000000004</v>
      </c>
      <c r="J52" s="86"/>
      <c r="K52" s="82"/>
      <c r="L52" s="11"/>
      <c r="M52" s="11"/>
      <c r="N52" s="48"/>
      <c r="O52" s="82"/>
      <c r="P52" s="82"/>
      <c r="Q52" s="11"/>
      <c r="R52" s="11"/>
      <c r="S52" s="48"/>
      <c r="T52" s="82"/>
      <c r="U52" s="82"/>
      <c r="V52" s="11"/>
      <c r="W52" s="16" t="s">
        <v>1304</v>
      </c>
      <c r="X52" s="72">
        <v>0.91500000000000004</v>
      </c>
      <c r="Y52" s="86"/>
      <c r="Z52" s="82"/>
      <c r="AA52" s="11"/>
      <c r="AB52" s="16" t="s">
        <v>1304</v>
      </c>
      <c r="AC52" s="75">
        <v>0.91500000000000004</v>
      </c>
    </row>
  </sheetData>
  <mergeCells count="56">
    <mergeCell ref="J22:K22"/>
    <mergeCell ref="O22:P22"/>
    <mergeCell ref="T22:U22"/>
    <mergeCell ref="Y22:Z22"/>
    <mergeCell ref="F2:I2"/>
    <mergeCell ref="K2:N2"/>
    <mergeCell ref="P2:S2"/>
    <mergeCell ref="U2:X2"/>
    <mergeCell ref="Z2:AC2"/>
    <mergeCell ref="J23:K23"/>
    <mergeCell ref="O23:P23"/>
    <mergeCell ref="T23:U23"/>
    <mergeCell ref="Y23:Z23"/>
    <mergeCell ref="J28:K28"/>
    <mergeCell ref="O28:P28"/>
    <mergeCell ref="T28:U28"/>
    <mergeCell ref="Y28:Z28"/>
    <mergeCell ref="J29:K29"/>
    <mergeCell ref="O29:P29"/>
    <mergeCell ref="T29:U29"/>
    <mergeCell ref="Y29:Z29"/>
    <mergeCell ref="J41:K41"/>
    <mergeCell ref="O41:P41"/>
    <mergeCell ref="J42:K42"/>
    <mergeCell ref="O42:P42"/>
    <mergeCell ref="T42:U42"/>
    <mergeCell ref="Y42:Z42"/>
    <mergeCell ref="T43:U43"/>
    <mergeCell ref="Y43:Z43"/>
    <mergeCell ref="J46:K46"/>
    <mergeCell ref="O46:P46"/>
    <mergeCell ref="T47:U47"/>
    <mergeCell ref="Y47:Z47"/>
    <mergeCell ref="A48:B48"/>
    <mergeCell ref="J48:K48"/>
    <mergeCell ref="O48:P48"/>
    <mergeCell ref="A50:B50"/>
    <mergeCell ref="J50:K50"/>
    <mergeCell ref="O50:P50"/>
    <mergeCell ref="T50:U50"/>
    <mergeCell ref="Y50:Z50"/>
    <mergeCell ref="A49:B49"/>
    <mergeCell ref="J49:K49"/>
    <mergeCell ref="O49:P49"/>
    <mergeCell ref="T49:U49"/>
    <mergeCell ref="Y49:Z49"/>
    <mergeCell ref="A52:B52"/>
    <mergeCell ref="J52:K52"/>
    <mergeCell ref="O52:P52"/>
    <mergeCell ref="T52:U52"/>
    <mergeCell ref="Y52:Z52"/>
    <mergeCell ref="A51:B51"/>
    <mergeCell ref="J51:K51"/>
    <mergeCell ref="O51:P51"/>
    <mergeCell ref="T51:U51"/>
    <mergeCell ref="Y51:Z5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3EDE20-F7AE-4564-82D7-AF6A445B770F}">
  <sheetPr>
    <tabColor rgb="FFFF0000"/>
  </sheetPr>
  <dimension ref="A1:J7"/>
  <sheetViews>
    <sheetView tabSelected="1" workbookViewId="0">
      <selection activeCell="F8" sqref="F8"/>
    </sheetView>
  </sheetViews>
  <sheetFormatPr defaultRowHeight="15" x14ac:dyDescent="0.25"/>
  <cols>
    <col min="1" max="2" width="13" customWidth="1"/>
    <col min="9" max="10" width="13.7109375" customWidth="1"/>
  </cols>
  <sheetData>
    <row r="1" spans="1:10" x14ac:dyDescent="0.25">
      <c r="A1" s="94" t="s">
        <v>1446</v>
      </c>
      <c r="B1" s="94"/>
      <c r="E1" s="94" t="s">
        <v>1450</v>
      </c>
      <c r="F1" s="94"/>
      <c r="I1" s="94" t="s">
        <v>1445</v>
      </c>
      <c r="J1" s="94"/>
    </row>
    <row r="2" spans="1:10" x14ac:dyDescent="0.25">
      <c r="A2">
        <v>0</v>
      </c>
      <c r="B2" s="92">
        <v>0</v>
      </c>
      <c r="E2">
        <v>0</v>
      </c>
      <c r="F2">
        <v>0</v>
      </c>
      <c r="I2">
        <v>0</v>
      </c>
      <c r="J2" s="98">
        <v>200</v>
      </c>
    </row>
    <row r="3" spans="1:10" x14ac:dyDescent="0.25">
      <c r="A3">
        <v>12</v>
      </c>
      <c r="B3" s="92">
        <v>0.04</v>
      </c>
      <c r="E3">
        <v>10</v>
      </c>
      <c r="F3">
        <v>375</v>
      </c>
      <c r="I3">
        <v>12</v>
      </c>
      <c r="J3" s="98">
        <v>250</v>
      </c>
    </row>
    <row r="4" spans="1:10" x14ac:dyDescent="0.25">
      <c r="A4">
        <v>16</v>
      </c>
      <c r="B4" s="92">
        <v>7.0000000000000007E-2</v>
      </c>
      <c r="E4">
        <v>12</v>
      </c>
      <c r="F4">
        <v>750</v>
      </c>
      <c r="I4">
        <v>16</v>
      </c>
      <c r="J4" s="98">
        <v>300</v>
      </c>
    </row>
    <row r="5" spans="1:10" x14ac:dyDescent="0.25">
      <c r="E5">
        <v>16</v>
      </c>
      <c r="F5">
        <v>1500</v>
      </c>
      <c r="I5">
        <v>20</v>
      </c>
      <c r="J5" s="98">
        <v>350</v>
      </c>
    </row>
    <row r="6" spans="1:10" x14ac:dyDescent="0.25">
      <c r="E6">
        <v>20</v>
      </c>
      <c r="F6">
        <v>2500</v>
      </c>
      <c r="I6">
        <v>24</v>
      </c>
      <c r="J6" s="98">
        <v>400</v>
      </c>
    </row>
    <row r="7" spans="1:10" x14ac:dyDescent="0.25">
      <c r="E7">
        <v>24</v>
      </c>
      <c r="F7">
        <v>3000</v>
      </c>
    </row>
  </sheetData>
  <mergeCells count="3">
    <mergeCell ref="I1:J1"/>
    <mergeCell ref="A1:B1"/>
    <mergeCell ref="E1:F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946CC-DDE5-45D7-A697-9117C374E7DF}">
  <dimension ref="A1:H100"/>
  <sheetViews>
    <sheetView workbookViewId="0">
      <selection activeCell="F8" sqref="F8"/>
    </sheetView>
  </sheetViews>
  <sheetFormatPr defaultColWidth="22.85546875" defaultRowHeight="15" x14ac:dyDescent="0.25"/>
  <sheetData>
    <row r="1" spans="1:8" s="79" customFormat="1" ht="50.1" customHeight="1" x14ac:dyDescent="0.25">
      <c r="A1" s="80" t="s">
        <v>1261</v>
      </c>
      <c r="B1" s="80" t="s">
        <v>1254</v>
      </c>
      <c r="C1" s="80" t="s">
        <v>1255</v>
      </c>
      <c r="D1" s="80" t="s">
        <v>1257</v>
      </c>
      <c r="E1" s="80" t="s">
        <v>1258</v>
      </c>
      <c r="F1" s="80" t="s">
        <v>1259</v>
      </c>
      <c r="G1" s="80" t="s">
        <v>1260</v>
      </c>
      <c r="H1" s="80" t="s">
        <v>1262</v>
      </c>
    </row>
    <row r="2" spans="1:8" x14ac:dyDescent="0.25">
      <c r="A2" s="90"/>
      <c r="B2" s="19">
        <v>99</v>
      </c>
      <c r="C2" s="19" t="s">
        <v>6</v>
      </c>
      <c r="D2" s="19">
        <f>IFERROR(VLOOKUP(B2,'NPS Sheet'!$B$4:$AC$45,5,FALSE),0)</f>
        <v>0</v>
      </c>
      <c r="E2" s="81">
        <f>IFERROR(VLOOKUP(B2,'NPS Sheet'!$B$4:$AC$45,8,FALSE),0)</f>
        <v>0</v>
      </c>
      <c r="F2" s="81">
        <f>IFERROR(VLOOKUP(B2,'NPS Sheet'!$B$4:$AC$45,23,FALSE),0)</f>
        <v>0</v>
      </c>
      <c r="G2" s="81">
        <f>IF(E2&gt;F2,E2,F2)</f>
        <v>0</v>
      </c>
      <c r="H2" s="19" t="str">
        <f>IF(G2&gt;A2+3%,"3P",IF(G2=A2,"A",IF(G2&lt;A2,"B")))</f>
        <v>A</v>
      </c>
    </row>
    <row r="3" spans="1:8" x14ac:dyDescent="0.25">
      <c r="A3" s="91"/>
      <c r="B3" s="19">
        <v>3262</v>
      </c>
      <c r="C3" s="19" t="s">
        <v>7</v>
      </c>
      <c r="D3" s="19">
        <f>IFERROR(VLOOKUP(B3,'NPS Sheet'!$B$4:$AC$45,5,FALSE),0)</f>
        <v>3</v>
      </c>
      <c r="E3" s="81">
        <f>IFERROR(VLOOKUP(B3,'NPS Sheet'!$B$4:$AC$45,8,FALSE),0)</f>
        <v>1</v>
      </c>
      <c r="F3" s="81">
        <f>IFERROR(VLOOKUP(B3,'NPS Sheet'!$B$4:$AC$45,23,FALSE),0)</f>
        <v>1</v>
      </c>
      <c r="G3" s="81">
        <f>IF(E3&gt;F3,E3,F3)</f>
        <v>1</v>
      </c>
      <c r="H3" s="19" t="str">
        <f>IF(G3&gt;A2+3%,"3P",IF(G3=A2,"A",IF(G3&lt;A2,"B")))</f>
        <v>3P</v>
      </c>
    </row>
    <row r="4" spans="1:8" x14ac:dyDescent="0.25">
      <c r="A4" s="19"/>
      <c r="B4" s="19">
        <v>10067</v>
      </c>
      <c r="C4" s="19" t="s">
        <v>8</v>
      </c>
      <c r="D4" s="19">
        <f>IFERROR(VLOOKUP(B4,'NPS Sheet'!$B$4:$AC$45,5,FALSE),0)</f>
        <v>0</v>
      </c>
      <c r="E4" s="81">
        <f>IFERROR(VLOOKUP(B4,'NPS Sheet'!$B$4:$AC$45,8,FALSE),0)</f>
        <v>0</v>
      </c>
      <c r="F4" s="81">
        <f>IFERROR(VLOOKUP(B4,'NPS Sheet'!$B$4:$AC$45,23,FALSE),0)</f>
        <v>1</v>
      </c>
      <c r="G4" s="81">
        <f>IF(E4&gt;F4,E4,F4)</f>
        <v>1</v>
      </c>
      <c r="H4" s="19" t="str">
        <f>IF(G4&gt;A2+3%,"3P",IF(G4=A2,"A",IF(G4&lt;A2,"B")))</f>
        <v>3P</v>
      </c>
    </row>
    <row r="5" spans="1:8" x14ac:dyDescent="0.25">
      <c r="A5" s="19"/>
      <c r="B5" s="19">
        <v>10069</v>
      </c>
      <c r="C5" s="19" t="s">
        <v>9</v>
      </c>
      <c r="D5" s="19">
        <f>IFERROR(VLOOKUP(B5,'NPS Sheet'!$B$4:$AC$45,5,FALSE),0)</f>
        <v>3</v>
      </c>
      <c r="E5" s="81">
        <f>IFERROR(VLOOKUP(B5,'NPS Sheet'!$B$4:$AC$45,8,FALSE),0)</f>
        <v>1</v>
      </c>
      <c r="F5" s="81">
        <f>IFERROR(VLOOKUP(B5,'NPS Sheet'!$B$4:$AC$45,23,FALSE),0)</f>
        <v>0.95</v>
      </c>
      <c r="G5" s="81">
        <f>IF(E5&gt;F5,E5,F5)</f>
        <v>1</v>
      </c>
      <c r="H5" s="19" t="str">
        <f>IF(G5&gt;A2+3%,"3P",IF(G5=A2,"A",IF(G5&lt;A2,"B")))</f>
        <v>3P</v>
      </c>
    </row>
    <row r="6" spans="1:8" x14ac:dyDescent="0.25">
      <c r="A6" s="19"/>
      <c r="B6" s="19">
        <v>10303</v>
      </c>
      <c r="C6" s="19" t="s">
        <v>10</v>
      </c>
      <c r="D6" s="19">
        <f>IFERROR(VLOOKUP(B6,'NPS Sheet'!$B$4:$AC$45,5,FALSE),0)</f>
        <v>5</v>
      </c>
      <c r="E6" s="81">
        <f>IFERROR(VLOOKUP(B6,'NPS Sheet'!$B$4:$AC$45,8,FALSE),0)</f>
        <v>1</v>
      </c>
      <c r="F6" s="81">
        <f>IFERROR(VLOOKUP(B6,'NPS Sheet'!$B$4:$AC$45,23,FALSE),0)</f>
        <v>1</v>
      </c>
      <c r="G6" s="81">
        <f>IF(E6&gt;F6,E6,F6)</f>
        <v>1</v>
      </c>
      <c r="H6" s="19" t="str">
        <f>IF(G6&gt;A2+3%,"3P",IF(G6=A2,"A",IF(G6&lt;A2,"B")))</f>
        <v>3P</v>
      </c>
    </row>
    <row r="7" spans="1:8" x14ac:dyDescent="0.25">
      <c r="A7" s="19"/>
      <c r="B7" s="19">
        <v>10304</v>
      </c>
      <c r="C7" s="19" t="s">
        <v>11</v>
      </c>
      <c r="D7" s="19">
        <f>IFERROR(VLOOKUP(B7,'NPS Sheet'!$B$4:$AC$45,5,FALSE),0)</f>
        <v>2</v>
      </c>
      <c r="E7" s="81">
        <f>IFERROR(VLOOKUP(B7,'NPS Sheet'!$B$4:$AC$45,8,FALSE),0)</f>
        <v>1</v>
      </c>
      <c r="F7" s="81">
        <f>IFERROR(VLOOKUP(B7,'NPS Sheet'!$B$4:$AC$45,23,FALSE),0)</f>
        <v>1</v>
      </c>
      <c r="G7" s="81">
        <f>IF(E7&gt;F7,E7,F7)</f>
        <v>1</v>
      </c>
      <c r="H7" s="19" t="str">
        <f>IF(G7&gt;A2+3%,"3P",IF(G7=A2,"A",IF(G7&lt;A2,"B")))</f>
        <v>3P</v>
      </c>
    </row>
    <row r="8" spans="1:8" x14ac:dyDescent="0.25">
      <c r="A8" s="19"/>
      <c r="B8" s="19">
        <v>10775</v>
      </c>
      <c r="C8" s="19" t="s">
        <v>12</v>
      </c>
      <c r="D8" s="19">
        <f>IFERROR(VLOOKUP(B8,'NPS Sheet'!$B$4:$AC$45,5,FALSE),0)</f>
        <v>3</v>
      </c>
      <c r="E8" s="81">
        <f>IFERROR(VLOOKUP(B8,'NPS Sheet'!$B$4:$AC$45,8,FALSE),0)</f>
        <v>0.75</v>
      </c>
      <c r="F8" s="81">
        <f>IFERROR(VLOOKUP(B8,'NPS Sheet'!$B$4:$AC$45,23,FALSE),0)</f>
        <v>0.88900000000000001</v>
      </c>
      <c r="G8" s="81">
        <f>IF(E8&gt;F8,E8,F8)</f>
        <v>0.88900000000000001</v>
      </c>
      <c r="H8" s="19" t="str">
        <f>IF(G8&gt;A2+3%,"3P",IF(G8=A2,"A",IF(G8&lt;A2,"B")))</f>
        <v>3P</v>
      </c>
    </row>
    <row r="9" spans="1:8" x14ac:dyDescent="0.25">
      <c r="A9" s="19"/>
      <c r="B9" s="19">
        <v>11580</v>
      </c>
      <c r="C9" s="19" t="s">
        <v>13</v>
      </c>
      <c r="D9" s="19">
        <f>IFERROR(VLOOKUP(B9,'NPS Sheet'!$B$4:$AC$45,5,FALSE),0)</f>
        <v>5</v>
      </c>
      <c r="E9" s="81">
        <f>IFERROR(VLOOKUP(B9,'NPS Sheet'!$B$4:$AC$45,8,FALSE),0)</f>
        <v>1</v>
      </c>
      <c r="F9" s="81">
        <f>IFERROR(VLOOKUP(B9,'NPS Sheet'!$B$4:$AC$45,23,FALSE),0)</f>
        <v>0.875</v>
      </c>
      <c r="G9" s="81">
        <f>IF(E9&gt;F9,E9,F9)</f>
        <v>1</v>
      </c>
      <c r="H9" s="19" t="str">
        <f>IF(G9&gt;A2+3%,"3P",IF(G9=A2,"A",IF(G9&lt;A2,"B")))</f>
        <v>3P</v>
      </c>
    </row>
    <row r="10" spans="1:8" x14ac:dyDescent="0.25">
      <c r="A10" s="19"/>
      <c r="B10" s="19">
        <v>11809</v>
      </c>
      <c r="C10" s="19" t="s">
        <v>14</v>
      </c>
      <c r="D10" s="19">
        <f>IFERROR(VLOOKUP(B10,'NPS Sheet'!$B$4:$AC$45,5,FALSE),0)</f>
        <v>6</v>
      </c>
      <c r="E10" s="81">
        <f>IFERROR(VLOOKUP(B10,'NPS Sheet'!$B$4:$AC$45,8,FALSE),0)</f>
        <v>1</v>
      </c>
      <c r="F10" s="81">
        <f>IFERROR(VLOOKUP(B10,'NPS Sheet'!$B$4:$AC$45,23,FALSE),0)</f>
        <v>1</v>
      </c>
      <c r="G10" s="81">
        <f>IF(E10&gt;F10,E10,F10)</f>
        <v>1</v>
      </c>
      <c r="H10" s="19" t="str">
        <f>IF(G10&gt;A2+3%,"3P",IF(G10=A2,"A",IF(G10&lt;A2,"B")))</f>
        <v>3P</v>
      </c>
    </row>
    <row r="11" spans="1:8" x14ac:dyDescent="0.25">
      <c r="A11" s="19"/>
      <c r="B11" s="19">
        <v>12104</v>
      </c>
      <c r="C11" s="19" t="s">
        <v>15</v>
      </c>
      <c r="D11" s="19">
        <f>IFERROR(VLOOKUP(B11,'NPS Sheet'!$B$4:$AC$45,5,FALSE),0)</f>
        <v>4</v>
      </c>
      <c r="E11" s="81">
        <f>IFERROR(VLOOKUP(B11,'NPS Sheet'!$B$4:$AC$45,8,FALSE),0)</f>
        <v>1</v>
      </c>
      <c r="F11" s="81">
        <f>IFERROR(VLOOKUP(B11,'NPS Sheet'!$B$4:$AC$45,23,FALSE),0)</f>
        <v>1</v>
      </c>
      <c r="G11" s="81">
        <f>IF(E11&gt;F11,E11,F11)</f>
        <v>1</v>
      </c>
      <c r="H11" s="19" t="str">
        <f>IF(G11&gt;A2+3%,"3P",IF(G11=A2,"A",IF(G11&lt;A2,"B")))</f>
        <v>3P</v>
      </c>
    </row>
    <row r="12" spans="1:8" x14ac:dyDescent="0.25">
      <c r="A12" s="19"/>
      <c r="B12" s="19">
        <v>13189</v>
      </c>
      <c r="C12" s="19" t="s">
        <v>16</v>
      </c>
      <c r="D12" s="19">
        <f>IFERROR(VLOOKUP(B12,'NPS Sheet'!$B$4:$AC$45,5,FALSE),0)</f>
        <v>2</v>
      </c>
      <c r="E12" s="81">
        <f>IFERROR(VLOOKUP(B12,'NPS Sheet'!$B$4:$AC$45,8,FALSE),0)</f>
        <v>0.33300000000000002</v>
      </c>
      <c r="F12" s="81">
        <f>IFERROR(VLOOKUP(B12,'NPS Sheet'!$B$4:$AC$45,23,FALSE),0)</f>
        <v>0.84599999999999997</v>
      </c>
      <c r="G12" s="81">
        <f>IF(E12&gt;F12,E12,F12)</f>
        <v>0.84599999999999997</v>
      </c>
      <c r="H12" s="19" t="str">
        <f>IF(G12&gt;A2+3%,"3P",IF(G12=A2,"A",IF(G12&lt;A2,"B")))</f>
        <v>3P</v>
      </c>
    </row>
    <row r="13" spans="1:8" x14ac:dyDescent="0.25">
      <c r="A13" s="19"/>
      <c r="B13" s="19">
        <v>14383</v>
      </c>
      <c r="C13" s="19" t="s">
        <v>17</v>
      </c>
      <c r="D13" s="19">
        <f>IFERROR(VLOOKUP(B13,'NPS Sheet'!$B$4:$AC$45,5,FALSE),0)</f>
        <v>3</v>
      </c>
      <c r="E13" s="81">
        <f>IFERROR(VLOOKUP(B13,'NPS Sheet'!$B$4:$AC$45,8,FALSE),0)</f>
        <v>1</v>
      </c>
      <c r="F13" s="81">
        <f>IFERROR(VLOOKUP(B13,'NPS Sheet'!$B$4:$AC$45,23,FALSE),0)</f>
        <v>1</v>
      </c>
      <c r="G13" s="81">
        <f>IF(E13&gt;F13,E13,F13)</f>
        <v>1</v>
      </c>
      <c r="H13" s="19" t="str">
        <f>IF(G13&gt;A2+3%,"3P",IF(G13=A2,"A",IF(G13&lt;A2,"B")))</f>
        <v>3P</v>
      </c>
    </row>
    <row r="14" spans="1:8" x14ac:dyDescent="0.25">
      <c r="A14" s="19"/>
      <c r="B14" s="19">
        <v>16210</v>
      </c>
      <c r="C14" s="19" t="s">
        <v>19</v>
      </c>
      <c r="D14" s="19">
        <f>IFERROR(VLOOKUP(B14,'NPS Sheet'!$B$4:$AC$45,5,FALSE),0)</f>
        <v>3</v>
      </c>
      <c r="E14" s="81">
        <f>IFERROR(VLOOKUP(B14,'NPS Sheet'!$B$4:$AC$45,8,FALSE),0)</f>
        <v>1</v>
      </c>
      <c r="F14" s="81">
        <f>IFERROR(VLOOKUP(B14,'NPS Sheet'!$B$4:$AC$45,23,FALSE),0)</f>
        <v>1</v>
      </c>
      <c r="G14" s="81">
        <f>IF(E14&gt;F14,E14,F14)</f>
        <v>1</v>
      </c>
      <c r="H14" s="19" t="str">
        <f>IF(G14&gt;A2+3%,"3P",IF(G14=A2,"A",IF(G14&lt;A2,"B")))</f>
        <v>3P</v>
      </c>
    </row>
    <row r="15" spans="1:8" x14ac:dyDescent="0.25">
      <c r="A15" s="19"/>
      <c r="B15" s="19">
        <v>16734</v>
      </c>
      <c r="C15" s="19" t="s">
        <v>21</v>
      </c>
      <c r="D15" s="19">
        <f>IFERROR(VLOOKUP(B15,'NPS Sheet'!$B$4:$AC$45,5,FALSE),0)</f>
        <v>4</v>
      </c>
      <c r="E15" s="81">
        <f>IFERROR(VLOOKUP(B15,'NPS Sheet'!$B$4:$AC$45,8,FALSE),0)</f>
        <v>1</v>
      </c>
      <c r="F15" s="81">
        <f>IFERROR(VLOOKUP(B15,'NPS Sheet'!$B$4:$AC$45,23,FALSE),0)</f>
        <v>1</v>
      </c>
      <c r="G15" s="81">
        <f>IF(E15&gt;F15,E15,F15)</f>
        <v>1</v>
      </c>
      <c r="H15" s="19" t="str">
        <f>IF(G15&gt;A2+3%,"3P",IF(G15=A2,"A",IF(G15&lt;A2,"B")))</f>
        <v>3P</v>
      </c>
    </row>
    <row r="16" spans="1:8" x14ac:dyDescent="0.25">
      <c r="A16" s="19"/>
      <c r="B16" s="19">
        <v>20993</v>
      </c>
      <c r="C16" s="19" t="s">
        <v>1250</v>
      </c>
      <c r="D16" s="19">
        <f>IFERROR(VLOOKUP(B16,'NPS Sheet'!$B$4:$AC$45,5,FALSE),0)</f>
        <v>3</v>
      </c>
      <c r="E16" s="81">
        <f>IFERROR(VLOOKUP(B16,'NPS Sheet'!$B$4:$AC$45,8,FALSE),0)</f>
        <v>1</v>
      </c>
      <c r="F16" s="81">
        <f>IFERROR(VLOOKUP(B16,'NPS Sheet'!$B$4:$AC$45,23,FALSE),0)</f>
        <v>0.5</v>
      </c>
      <c r="G16" s="81">
        <f>IF(E16&gt;F16,E16,F16)</f>
        <v>1</v>
      </c>
      <c r="H16" s="19" t="str">
        <f>IF(G16&gt;A2+3%,"3P",IF(G16=A2,"A",IF(G16&lt;A2,"B")))</f>
        <v>3P</v>
      </c>
    </row>
    <row r="17" spans="1:8" x14ac:dyDescent="0.25">
      <c r="A17" s="19"/>
      <c r="B17" s="19">
        <v>22145</v>
      </c>
      <c r="C17" s="19" t="s">
        <v>1251</v>
      </c>
      <c r="D17" s="19">
        <f>IFERROR(VLOOKUP(B17,'NPS Sheet'!$B$4:$AC$45,5,FALSE),0)</f>
        <v>3</v>
      </c>
      <c r="E17" s="81">
        <f>IFERROR(VLOOKUP(B17,'NPS Sheet'!$B$4:$AC$45,8,FALSE),0)</f>
        <v>1</v>
      </c>
      <c r="F17" s="81">
        <f>IFERROR(VLOOKUP(B17,'NPS Sheet'!$B$4:$AC$45,23,FALSE),0)</f>
        <v>1</v>
      </c>
      <c r="G17" s="81">
        <f>IF(E17&gt;F17,E17,F17)</f>
        <v>1</v>
      </c>
      <c r="H17" s="19" t="str">
        <f>IF(G17&gt;A2+3%,"3P",IF(G17=A2,"A",IF(G17&lt;A2,"B")))</f>
        <v>3P</v>
      </c>
    </row>
    <row r="18" spans="1:8" x14ac:dyDescent="0.25">
      <c r="A18" s="19"/>
      <c r="B18" s="19">
        <v>22478</v>
      </c>
      <c r="C18" s="19" t="s">
        <v>1252</v>
      </c>
      <c r="D18" s="19">
        <f>IFERROR(VLOOKUP(B18,'NPS Sheet'!$B$4:$AC$45,5,FALSE),0)</f>
        <v>0</v>
      </c>
      <c r="E18" s="81">
        <f>IFERROR(VLOOKUP(B18,'NPS Sheet'!$B$4:$AC$45,8,FALSE),0)</f>
        <v>0</v>
      </c>
      <c r="F18" s="81">
        <f>IFERROR(VLOOKUP(B18,'NPS Sheet'!$B$4:$AC$45,23,FALSE),0)</f>
        <v>0</v>
      </c>
      <c r="G18" s="81">
        <f>IF(E18&gt;F18,E18,F18)</f>
        <v>0</v>
      </c>
      <c r="H18" s="19" t="str">
        <f>IF(G18&gt;A2+3%,"3P",IF(G18=A2,"A",IF(G18&lt;A2,"B")))</f>
        <v>A</v>
      </c>
    </row>
    <row r="19" spans="1:8" x14ac:dyDescent="0.25">
      <c r="A19" s="19"/>
      <c r="B19" s="19">
        <v>22564</v>
      </c>
      <c r="C19" s="19" t="s">
        <v>1253</v>
      </c>
      <c r="D19" s="19">
        <f>IFERROR(VLOOKUP(B19,'NPS Sheet'!$B$4:$AC$45,5,FALSE),0)</f>
        <v>3</v>
      </c>
      <c r="E19" s="81">
        <f>IFERROR(VLOOKUP(B19,'NPS Sheet'!$B$4:$AC$45,8,FALSE),0)</f>
        <v>1</v>
      </c>
      <c r="F19" s="81">
        <f>IFERROR(VLOOKUP(B19,'NPS Sheet'!$B$4:$AC$45,23,FALSE),0)</f>
        <v>1</v>
      </c>
      <c r="G19" s="81">
        <f>IF(E19&gt;F19,E19,F19)</f>
        <v>1</v>
      </c>
      <c r="H19" s="19" t="str">
        <f>IF(G19&gt;A2+3%,"3P",IF(G19=A2,"A",IF(G19&lt;A2,"B")))</f>
        <v>3P</v>
      </c>
    </row>
    <row r="20" spans="1:8" x14ac:dyDescent="0.25">
      <c r="A20" s="19"/>
      <c r="B20" s="19">
        <v>207147</v>
      </c>
      <c r="C20" s="19" t="s">
        <v>27</v>
      </c>
      <c r="D20" s="19">
        <f>IFERROR(VLOOKUP(B20,'NPS Sheet'!$B$4:$AC$45,5,FALSE),0)</f>
        <v>0</v>
      </c>
      <c r="E20" s="81">
        <f>IFERROR(VLOOKUP(B20,'NPS Sheet'!$B$4:$AC$45,8,FALSE),0)</f>
        <v>0</v>
      </c>
      <c r="F20" s="81">
        <f>IFERROR(VLOOKUP(B20,'NPS Sheet'!$B$4:$AC$45,23,FALSE),0)</f>
        <v>0.5</v>
      </c>
      <c r="G20" s="81">
        <f>IF(E20&gt;F20,E20,F20)</f>
        <v>0.5</v>
      </c>
      <c r="H20" s="19" t="str">
        <f>IF(G20&gt;A2+3%,"3P",IF(G20=A2,"A",IF(G20&lt;A2,"B")))</f>
        <v>3P</v>
      </c>
    </row>
    <row r="21" spans="1:8" x14ac:dyDescent="0.25">
      <c r="A21" s="19"/>
      <c r="B21" s="19">
        <v>207347</v>
      </c>
      <c r="C21" s="19" t="s">
        <v>28</v>
      </c>
      <c r="D21" s="19">
        <f>IFERROR(VLOOKUP(B21,'NPS Sheet'!$B$4:$AC$45,5,FALSE),0)</f>
        <v>1</v>
      </c>
      <c r="E21" s="81">
        <f>IFERROR(VLOOKUP(B21,'NPS Sheet'!$B$4:$AC$45,8,FALSE),0)</f>
        <v>1</v>
      </c>
      <c r="F21" s="81">
        <f>IFERROR(VLOOKUP(B21,'NPS Sheet'!$B$4:$AC$45,23,FALSE),0)</f>
        <v>1</v>
      </c>
      <c r="G21" s="81">
        <f>IF(E21&gt;F21,E21,F21)</f>
        <v>1</v>
      </c>
      <c r="H21" s="19" t="str">
        <f>IF(G21&gt;A2+3%,"3P",IF(G21=A2,"A",IF(G21&lt;A2,"B")))</f>
        <v>3P</v>
      </c>
    </row>
    <row r="22" spans="1:8" x14ac:dyDescent="0.25">
      <c r="A22" s="19"/>
      <c r="B22" s="19">
        <v>207462</v>
      </c>
      <c r="C22" s="19" t="s">
        <v>29</v>
      </c>
      <c r="D22" s="19">
        <f>IFERROR(VLOOKUP(B22,'NPS Sheet'!$B$4:$AC$45,5,FALSE),0)</f>
        <v>5</v>
      </c>
      <c r="E22" s="81">
        <f>IFERROR(VLOOKUP(B22,'NPS Sheet'!$B$4:$AC$45,8,FALSE),0)</f>
        <v>1</v>
      </c>
      <c r="F22" s="81">
        <f>IFERROR(VLOOKUP(B22,'NPS Sheet'!$B$4:$AC$45,23,FALSE),0)</f>
        <v>1</v>
      </c>
      <c r="G22" s="81">
        <f>IF(E22&gt;F22,E22,F22)</f>
        <v>1</v>
      </c>
      <c r="H22" s="19" t="str">
        <f>IF(G22&gt;A2+3%,"3P",IF(G22=A2,"A",IF(G22&lt;A2,"B")))</f>
        <v>3P</v>
      </c>
    </row>
    <row r="23" spans="1:8" x14ac:dyDescent="0.25">
      <c r="A23" s="19"/>
      <c r="B23" s="19">
        <v>207573</v>
      </c>
      <c r="C23" s="19" t="s">
        <v>30</v>
      </c>
      <c r="D23" s="19">
        <f>IFERROR(VLOOKUP(B23,'NPS Sheet'!$B$4:$AC$45,5,FALSE),0)</f>
        <v>3</v>
      </c>
      <c r="E23" s="81">
        <f>IFERROR(VLOOKUP(B23,'NPS Sheet'!$B$4:$AC$45,8,FALSE),0)</f>
        <v>1</v>
      </c>
      <c r="F23" s="81">
        <f>IFERROR(VLOOKUP(B23,'NPS Sheet'!$B$4:$AC$45,23,FALSE),0)</f>
        <v>1</v>
      </c>
      <c r="G23" s="81">
        <f>IF(E23&gt;F23,E23,F23)</f>
        <v>1</v>
      </c>
      <c r="H23" s="19" t="str">
        <f>IF(G23&gt;A2+3%,"3P",IF(G23=A2,"A",IF(G23&lt;A2,"B")))</f>
        <v>3P</v>
      </c>
    </row>
    <row r="24" spans="1:8" x14ac:dyDescent="0.25">
      <c r="A24" s="19"/>
      <c r="B24" s="19">
        <v>207580</v>
      </c>
      <c r="C24" s="19" t="s">
        <v>31</v>
      </c>
      <c r="D24" s="19">
        <f>IFERROR(VLOOKUP(B24,'NPS Sheet'!$B$4:$AC$45,5,FALSE),0)</f>
        <v>3</v>
      </c>
      <c r="E24" s="81">
        <f>IFERROR(VLOOKUP(B24,'NPS Sheet'!$B$4:$AC$45,8,FALSE),0)</f>
        <v>1</v>
      </c>
      <c r="F24" s="81">
        <f>IFERROR(VLOOKUP(B24,'NPS Sheet'!$B$4:$AC$45,23,FALSE),0)</f>
        <v>0.93799999999999994</v>
      </c>
      <c r="G24" s="81">
        <f>IF(E24&gt;F24,E24,F24)</f>
        <v>1</v>
      </c>
      <c r="H24" s="19" t="str">
        <f>IF(G24&gt;A2+3%,"3P",IF(G24=A2,"A",IF(G24&lt;A2,"B")))</f>
        <v>3P</v>
      </c>
    </row>
    <row r="25" spans="1:8" x14ac:dyDescent="0.25">
      <c r="A25" s="19"/>
      <c r="B25" s="19">
        <v>215323</v>
      </c>
      <c r="C25" s="19" t="s">
        <v>895</v>
      </c>
      <c r="D25" s="19">
        <f>IFERROR(VLOOKUP(B25,'NPS Sheet'!$B$4:$AC$45,5,FALSE),0)</f>
        <v>11</v>
      </c>
      <c r="E25" s="81">
        <f>IFERROR(VLOOKUP(B25,'NPS Sheet'!$B$4:$AC$45,8,FALSE),0)</f>
        <v>1</v>
      </c>
      <c r="F25" s="81">
        <f>IFERROR(VLOOKUP(B25,'NPS Sheet'!$B$4:$AC$45,23,FALSE),0)</f>
        <v>1</v>
      </c>
      <c r="G25" s="81">
        <f>IF(E25&gt;F25,E25,F25)</f>
        <v>1</v>
      </c>
      <c r="H25" s="19" t="str">
        <f>IF(G25&gt;A2+3%,"3P",IF(G25=A2,"A",IF(G25&lt;A2,"B")))</f>
        <v>3P</v>
      </c>
    </row>
    <row r="26" spans="1:8" x14ac:dyDescent="0.25">
      <c r="A26" s="19"/>
      <c r="B26" s="19">
        <v>217079</v>
      </c>
      <c r="C26" s="19" t="s">
        <v>941</v>
      </c>
      <c r="D26" s="19">
        <f>IFERROR(VLOOKUP(B26,'NPS Sheet'!$B$4:$AC$45,5,FALSE),0)</f>
        <v>3</v>
      </c>
      <c r="E26" s="81">
        <f>IFERROR(VLOOKUP(B26,'NPS Sheet'!$B$4:$AC$45,8,FALSE),0)</f>
        <v>1</v>
      </c>
      <c r="F26" s="81">
        <f>IFERROR(VLOOKUP(B26,'NPS Sheet'!$B$4:$AC$45,23,FALSE),0)</f>
        <v>1</v>
      </c>
      <c r="G26" s="81">
        <f>IF(E26&gt;F26,E26,F26)</f>
        <v>1</v>
      </c>
      <c r="H26" s="19" t="str">
        <f>IF(G26&gt;A2+3%,"3P",IF(G26=A2,"A",IF(G26&lt;A2,"B")))</f>
        <v>3P</v>
      </c>
    </row>
    <row r="27" spans="1:8" x14ac:dyDescent="0.25">
      <c r="A27" s="19"/>
      <c r="B27" s="19">
        <v>242160</v>
      </c>
      <c r="C27" s="19" t="s">
        <v>34</v>
      </c>
      <c r="D27" s="19">
        <f>IFERROR(VLOOKUP(B27,'NPS Sheet'!$B$4:$AC$45,5,FALSE),0)</f>
        <v>4</v>
      </c>
      <c r="E27" s="81">
        <f>IFERROR(VLOOKUP(B27,'NPS Sheet'!$B$4:$AC$45,8,FALSE),0)</f>
        <v>1</v>
      </c>
      <c r="F27" s="81">
        <f>IFERROR(VLOOKUP(B27,'NPS Sheet'!$B$4:$AC$45,23,FALSE),0)</f>
        <v>1</v>
      </c>
      <c r="G27" s="81">
        <f>IF(E27&gt;F27,E27,F27)</f>
        <v>1</v>
      </c>
      <c r="H27" s="19" t="str">
        <f>IF(G27&gt;A2+3%,"3P",IF(G27=A2,"A",IF(G27&lt;A2,"B")))</f>
        <v>3P</v>
      </c>
    </row>
    <row r="28" spans="1:8" x14ac:dyDescent="0.25">
      <c r="A28" s="19"/>
      <c r="B28" s="19">
        <v>245770</v>
      </c>
      <c r="C28" s="19" t="s">
        <v>984</v>
      </c>
      <c r="D28" s="19">
        <f>IFERROR(VLOOKUP(B28,'NPS Sheet'!$B$4:$AC$45,5,FALSE),0)</f>
        <v>3</v>
      </c>
      <c r="E28" s="81">
        <f>IFERROR(VLOOKUP(B28,'NPS Sheet'!$B$4:$AC$45,8,FALSE),0)</f>
        <v>1</v>
      </c>
      <c r="F28" s="81">
        <f>IFERROR(VLOOKUP(B28,'NPS Sheet'!$B$4:$AC$45,23,FALSE),0)</f>
        <v>1</v>
      </c>
      <c r="G28" s="81">
        <f>IF(E28&gt;F28,E28,F28)</f>
        <v>1</v>
      </c>
      <c r="H28" s="19" t="str">
        <f>IF(G28&gt;A2+3%,"3P",IF(G28=A2,"A",IF(G28&lt;A2,"B")))</f>
        <v>3P</v>
      </c>
    </row>
    <row r="29" spans="1:8" x14ac:dyDescent="0.25">
      <c r="A29" s="19"/>
      <c r="B29" s="19">
        <v>259020</v>
      </c>
      <c r="C29" s="19" t="s">
        <v>1022</v>
      </c>
      <c r="D29" s="19">
        <f>IFERROR(VLOOKUP(B29,'NPS Sheet'!$B$4:$AC$45,5,FALSE),0)</f>
        <v>0</v>
      </c>
      <c r="E29" s="81">
        <f>IFERROR(VLOOKUP(B29,'NPS Sheet'!$B$4:$AC$45,8,FALSE),0)</f>
        <v>0</v>
      </c>
      <c r="F29" s="81">
        <f>IFERROR(VLOOKUP(B29,'NPS Sheet'!$B$4:$AC$45,23,FALSE),0)</f>
        <v>0</v>
      </c>
      <c r="G29" s="81">
        <f>IF(E29&gt;F29,E29,F29)</f>
        <v>0</v>
      </c>
      <c r="H29" s="19" t="str">
        <f>IF(G29&gt;A2+3%,"3P",IF(G29=A2,"A",IF(G29&lt;A2,"B")))</f>
        <v>A</v>
      </c>
    </row>
    <row r="30" spans="1:8" x14ac:dyDescent="0.25">
      <c r="A30" s="19"/>
      <c r="B30" s="19">
        <v>259520</v>
      </c>
      <c r="C30" s="19" t="s">
        <v>36</v>
      </c>
      <c r="D30" s="19">
        <f>IFERROR(VLOOKUP(B30,'NPS Sheet'!$B$4:$AC$45,5,FALSE),0)</f>
        <v>5</v>
      </c>
      <c r="E30" s="81">
        <f>IFERROR(VLOOKUP(B30,'NPS Sheet'!$B$4:$AC$45,8,FALSE),0)</f>
        <v>1</v>
      </c>
      <c r="F30" s="81">
        <f>IFERROR(VLOOKUP(B30,'NPS Sheet'!$B$4:$AC$45,23,FALSE),0)</f>
        <v>1</v>
      </c>
      <c r="G30" s="81">
        <f>IF(E30&gt;F30,E30,F30)</f>
        <v>1</v>
      </c>
      <c r="H30" s="19" t="str">
        <f>IF(G30&gt;A2+3%,"3P",IF(G30=A2,"A",IF(G30&lt;A2,"B")))</f>
        <v>3P</v>
      </c>
    </row>
    <row r="31" spans="1:8" x14ac:dyDescent="0.25">
      <c r="A31" s="19"/>
      <c r="B31" s="19">
        <v>261800</v>
      </c>
      <c r="C31" s="19" t="s">
        <v>1082</v>
      </c>
      <c r="D31" s="19">
        <f>IFERROR(VLOOKUP(B31,'NPS Sheet'!$B$4:$AC$45,5,FALSE),0)</f>
        <v>1</v>
      </c>
      <c r="E31" s="81">
        <f>IFERROR(VLOOKUP(B31,'NPS Sheet'!$B$4:$AC$45,8,FALSE),0)</f>
        <v>1</v>
      </c>
      <c r="F31" s="81">
        <f>IFERROR(VLOOKUP(B31,'NPS Sheet'!$B$4:$AC$45,23,FALSE),0)</f>
        <v>1</v>
      </c>
      <c r="G31" s="81">
        <f>IF(E31&gt;F31,E31,F31)</f>
        <v>1</v>
      </c>
      <c r="H31" s="19" t="str">
        <f>IF(G31&gt;A2+3%,"3P",IF(G31=A2,"A",IF(G31&lt;A2,"B")))</f>
        <v>3P</v>
      </c>
    </row>
    <row r="32" spans="1:8" x14ac:dyDescent="0.25">
      <c r="A32" s="19"/>
      <c r="B32" s="19">
        <v>267623</v>
      </c>
      <c r="C32" s="19" t="s">
        <v>38</v>
      </c>
      <c r="D32" s="19">
        <f>IFERROR(VLOOKUP(B32,'NPS Sheet'!$B$4:$AC$45,5,FALSE),0)</f>
        <v>3</v>
      </c>
      <c r="E32" s="81">
        <f>IFERROR(VLOOKUP(B32,'NPS Sheet'!$B$4:$AC$45,8,FALSE),0)</f>
        <v>1</v>
      </c>
      <c r="F32" s="81">
        <f>IFERROR(VLOOKUP(B32,'NPS Sheet'!$B$4:$AC$45,23,FALSE),0)</f>
        <v>1</v>
      </c>
      <c r="G32" s="81">
        <f>IF(E32&gt;F32,E32,F32)</f>
        <v>1</v>
      </c>
      <c r="H32" s="19" t="str">
        <f>IF(G32&gt;A2+3%,"3P",IF(G32=A2,"A",IF(G32&lt;A2,"B")))</f>
        <v>3P</v>
      </c>
    </row>
    <row r="33" spans="1:8" x14ac:dyDescent="0.25">
      <c r="A33" s="19"/>
      <c r="B33" s="19">
        <v>271828</v>
      </c>
      <c r="C33" s="19" t="s">
        <v>39</v>
      </c>
      <c r="D33" s="19">
        <f>IFERROR(VLOOKUP(B33,'NPS Sheet'!$B$4:$AC$45,5,FALSE),0)</f>
        <v>4</v>
      </c>
      <c r="E33" s="81">
        <f>IFERROR(VLOOKUP(B33,'NPS Sheet'!$B$4:$AC$45,8,FALSE),0)</f>
        <v>1</v>
      </c>
      <c r="F33" s="81">
        <f>IFERROR(VLOOKUP(B33,'NPS Sheet'!$B$4:$AC$45,23,FALSE),0)</f>
        <v>1</v>
      </c>
      <c r="G33" s="81">
        <f>IF(E33&gt;F33,E33,F33)</f>
        <v>1</v>
      </c>
      <c r="H33" s="19" t="str">
        <f>IF(G33&gt;A2+3%,"3P",IF(G33=A2,"A",IF(G33&lt;A2,"B")))</f>
        <v>3P</v>
      </c>
    </row>
    <row r="34" spans="1:8" x14ac:dyDescent="0.25">
      <c r="A34" s="19"/>
      <c r="B34" s="19">
        <v>277065</v>
      </c>
      <c r="C34" s="19" t="s">
        <v>40</v>
      </c>
      <c r="D34" s="19">
        <f>IFERROR(VLOOKUP(B34,'NPS Sheet'!$B$4:$AC$45,5,FALSE),0)</f>
        <v>4</v>
      </c>
      <c r="E34" s="81">
        <f>IFERROR(VLOOKUP(B34,'NPS Sheet'!$B$4:$AC$45,8,FALSE),0)</f>
        <v>1</v>
      </c>
      <c r="F34" s="81">
        <f>IFERROR(VLOOKUP(B34,'NPS Sheet'!$B$4:$AC$45,23,FALSE),0)</f>
        <v>0.83599999999999997</v>
      </c>
      <c r="G34" s="81">
        <f>IF(E34&gt;F34,E34,F34)</f>
        <v>1</v>
      </c>
      <c r="H34" s="19" t="str">
        <f>IF(G34&gt;A2+3%,"3P",IF(G34=A2,"A",IF(G34&lt;A2,"B")))</f>
        <v>3P</v>
      </c>
    </row>
    <row r="35" spans="1:8" x14ac:dyDescent="0.25">
      <c r="A35" s="19"/>
      <c r="B35" s="19">
        <v>277793</v>
      </c>
      <c r="C35" s="19" t="s">
        <v>1189</v>
      </c>
      <c r="D35" s="19">
        <f>IFERROR(VLOOKUP(B35,'NPS Sheet'!$B$4:$AC$45,5,FALSE),0)</f>
        <v>0</v>
      </c>
      <c r="E35" s="81">
        <f>IFERROR(VLOOKUP(B35,'NPS Sheet'!$B$4:$AC$45,8,FALSE),0)</f>
        <v>0</v>
      </c>
      <c r="F35" s="81">
        <f>IFERROR(VLOOKUP(B35,'NPS Sheet'!$B$4:$AC$45,23,FALSE),0)</f>
        <v>0</v>
      </c>
      <c r="G35" s="81">
        <f>IF(E35&gt;F35,E35,F35)</f>
        <v>0</v>
      </c>
      <c r="H35" s="19" t="str">
        <f>IF(G35&gt;A2+3%,"3P",IF(G35=A2,"A",IF(G35&lt;A2,"B")))</f>
        <v>A</v>
      </c>
    </row>
    <row r="36" spans="1:8" x14ac:dyDescent="0.25">
      <c r="A36" s="19"/>
      <c r="B36" s="19">
        <v>283245</v>
      </c>
      <c r="C36" s="19" t="s">
        <v>1191</v>
      </c>
      <c r="D36" s="19">
        <f>IFERROR(VLOOKUP(B36,'NPS Sheet'!$B$4:$AC$45,5,FALSE),0)</f>
        <v>0</v>
      </c>
      <c r="E36" s="81">
        <f>IFERROR(VLOOKUP(B36,'NPS Sheet'!$B$4:$AC$45,8,FALSE),0)</f>
        <v>0</v>
      </c>
      <c r="F36" s="81">
        <f>IFERROR(VLOOKUP(B36,'NPS Sheet'!$B$4:$AC$45,23,FALSE),0)</f>
        <v>0</v>
      </c>
      <c r="G36" s="81">
        <f>IF(E36&gt;F36,E36,F36)</f>
        <v>0</v>
      </c>
      <c r="H36" s="19" t="str">
        <f>IF(G36&gt;A2+3%,"3P",IF(G36=A2,"A",IF(G36&lt;A2,"B")))</f>
        <v>A</v>
      </c>
    </row>
    <row r="37" spans="1:8" x14ac:dyDescent="0.25">
      <c r="A37" s="19"/>
      <c r="B37" s="19">
        <v>284175</v>
      </c>
      <c r="C37" s="19" t="s">
        <v>42</v>
      </c>
      <c r="D37" s="19">
        <f>IFERROR(VLOOKUP(B37,'NPS Sheet'!$B$4:$AC$45,5,FALSE),0)</f>
        <v>3</v>
      </c>
      <c r="E37" s="81">
        <f>IFERROR(VLOOKUP(B37,'NPS Sheet'!$B$4:$AC$45,8,FALSE),0)</f>
        <v>1</v>
      </c>
      <c r="F37" s="81">
        <f>IFERROR(VLOOKUP(B37,'NPS Sheet'!$B$4:$AC$45,23,FALSE),0)</f>
        <v>0.96599999999999997</v>
      </c>
      <c r="G37" s="81">
        <f>IF(E37&gt;F37,E37,F37)</f>
        <v>1</v>
      </c>
      <c r="H37" s="19" t="str">
        <f>IF(G37&gt;A2+3%,"3P",IF(G37=A2,"A",IF(G37&lt;A2,"B")))</f>
        <v>3P</v>
      </c>
    </row>
    <row r="38" spans="1:8" x14ac:dyDescent="0.25">
      <c r="A38" s="19"/>
      <c r="B38" s="19"/>
      <c r="C38" s="19"/>
      <c r="D38" s="19"/>
      <c r="E38" s="81"/>
      <c r="F38" s="81"/>
      <c r="G38" s="81"/>
      <c r="H38" s="19"/>
    </row>
    <row r="39" spans="1:8" x14ac:dyDescent="0.25">
      <c r="A39" s="19"/>
      <c r="B39" s="19"/>
      <c r="C39" s="19"/>
      <c r="D39" s="19"/>
      <c r="E39" s="81"/>
      <c r="F39" s="81"/>
      <c r="G39" s="81"/>
      <c r="H39" s="19"/>
    </row>
    <row r="40" spans="1:8" x14ac:dyDescent="0.25">
      <c r="A40" s="19"/>
      <c r="B40" s="19"/>
      <c r="C40" s="19"/>
      <c r="D40" s="19"/>
      <c r="E40" s="81"/>
      <c r="F40" s="81"/>
      <c r="G40" s="81"/>
      <c r="H40" s="19"/>
    </row>
    <row r="41" spans="1:8" x14ac:dyDescent="0.25">
      <c r="A41" s="19"/>
      <c r="B41" s="19"/>
      <c r="C41" s="19"/>
      <c r="D41" s="19"/>
      <c r="E41" s="81"/>
      <c r="F41" s="81"/>
      <c r="G41" s="81"/>
      <c r="H41" s="19"/>
    </row>
    <row r="42" spans="1:8" x14ac:dyDescent="0.25">
      <c r="A42" s="19"/>
      <c r="B42" s="19"/>
      <c r="C42" s="19"/>
      <c r="D42" s="19"/>
      <c r="E42" s="81"/>
      <c r="F42" s="81"/>
      <c r="G42" s="81"/>
      <c r="H42" s="19"/>
    </row>
    <row r="43" spans="1:8" x14ac:dyDescent="0.25">
      <c r="A43" s="19"/>
      <c r="B43" s="19"/>
      <c r="C43" s="19"/>
      <c r="D43" s="19"/>
      <c r="E43" s="81"/>
      <c r="F43" s="81"/>
      <c r="G43" s="81"/>
      <c r="H43" s="19"/>
    </row>
    <row r="44" spans="1:8" x14ac:dyDescent="0.25">
      <c r="A44" s="19"/>
      <c r="B44" s="19"/>
      <c r="C44" s="19"/>
      <c r="D44" s="19"/>
      <c r="E44" s="81"/>
      <c r="F44" s="81"/>
      <c r="G44" s="81"/>
      <c r="H44" s="19"/>
    </row>
    <row r="45" spans="1:8" x14ac:dyDescent="0.25">
      <c r="A45" s="19"/>
      <c r="B45" s="19"/>
      <c r="C45" s="19"/>
      <c r="D45" s="19"/>
      <c r="E45" s="81"/>
      <c r="F45" s="81"/>
      <c r="G45" s="81"/>
      <c r="H45" s="19"/>
    </row>
    <row r="46" spans="1:8" x14ac:dyDescent="0.25">
      <c r="A46" s="19"/>
      <c r="B46" s="19"/>
      <c r="C46" s="19"/>
      <c r="D46" s="19"/>
      <c r="E46" s="81"/>
      <c r="F46" s="81"/>
      <c r="G46" s="81"/>
      <c r="H46" s="19"/>
    </row>
    <row r="47" spans="1:8" x14ac:dyDescent="0.25">
      <c r="A47" s="19"/>
      <c r="B47" s="19"/>
      <c r="C47" s="19"/>
      <c r="D47" s="19"/>
      <c r="E47" s="81"/>
      <c r="F47" s="81"/>
      <c r="G47" s="81"/>
      <c r="H47" s="19"/>
    </row>
    <row r="48" spans="1:8" x14ac:dyDescent="0.25">
      <c r="A48" s="19"/>
      <c r="B48" s="19"/>
      <c r="C48" s="19"/>
      <c r="D48" s="19"/>
      <c r="E48" s="81"/>
      <c r="F48" s="81"/>
      <c r="G48" s="81"/>
      <c r="H48" s="19"/>
    </row>
    <row r="49" spans="1:8" x14ac:dyDescent="0.25">
      <c r="A49" s="19"/>
      <c r="B49" s="19"/>
      <c r="C49" s="19"/>
      <c r="D49" s="19"/>
      <c r="E49" s="81"/>
      <c r="F49" s="81"/>
      <c r="G49" s="81"/>
      <c r="H49" s="19"/>
    </row>
    <row r="50" spans="1:8" x14ac:dyDescent="0.25">
      <c r="A50" s="19"/>
      <c r="B50" s="19"/>
      <c r="C50" s="19"/>
      <c r="D50" s="19"/>
      <c r="E50" s="81"/>
      <c r="F50" s="81"/>
      <c r="G50" s="81"/>
      <c r="H50" s="19"/>
    </row>
    <row r="51" spans="1:8" x14ac:dyDescent="0.25">
      <c r="A51" s="19"/>
      <c r="B51" s="19"/>
      <c r="C51" s="19"/>
      <c r="D51" s="19"/>
      <c r="E51" s="81"/>
      <c r="F51" s="81"/>
      <c r="G51" s="81"/>
      <c r="H51" s="19"/>
    </row>
    <row r="52" spans="1:8" x14ac:dyDescent="0.25">
      <c r="A52" s="19"/>
      <c r="B52" s="19"/>
      <c r="C52" s="19"/>
      <c r="D52" s="19"/>
      <c r="E52" s="81"/>
      <c r="F52" s="81"/>
      <c r="G52" s="81"/>
      <c r="H52" s="19"/>
    </row>
    <row r="53" spans="1:8" x14ac:dyDescent="0.25">
      <c r="A53" s="19"/>
      <c r="B53" s="19"/>
      <c r="C53" s="19"/>
      <c r="D53" s="19"/>
      <c r="E53" s="81"/>
      <c r="F53" s="81"/>
      <c r="G53" s="81"/>
      <c r="H53" s="19"/>
    </row>
    <row r="54" spans="1:8" x14ac:dyDescent="0.25">
      <c r="A54" s="19"/>
      <c r="B54" s="19"/>
      <c r="C54" s="19"/>
      <c r="D54" s="19"/>
      <c r="E54" s="81"/>
      <c r="F54" s="81"/>
      <c r="G54" s="81"/>
      <c r="H54" s="19"/>
    </row>
    <row r="55" spans="1:8" x14ac:dyDescent="0.25">
      <c r="A55" s="19"/>
      <c r="B55" s="19"/>
      <c r="C55" s="19"/>
      <c r="D55" s="19"/>
      <c r="E55" s="81"/>
      <c r="F55" s="81"/>
      <c r="G55" s="81"/>
      <c r="H55" s="19"/>
    </row>
    <row r="56" spans="1:8" x14ac:dyDescent="0.25">
      <c r="A56" s="19"/>
      <c r="B56" s="19"/>
      <c r="C56" s="19"/>
      <c r="D56" s="19"/>
      <c r="E56" s="81"/>
      <c r="F56" s="81"/>
      <c r="G56" s="81"/>
      <c r="H56" s="19"/>
    </row>
    <row r="57" spans="1:8" x14ac:dyDescent="0.25">
      <c r="A57" s="19"/>
      <c r="B57" s="19"/>
      <c r="C57" s="19"/>
      <c r="D57" s="19"/>
      <c r="E57" s="81"/>
      <c r="F57" s="81"/>
      <c r="G57" s="81"/>
      <c r="H57" s="19"/>
    </row>
    <row r="58" spans="1:8" x14ac:dyDescent="0.25">
      <c r="A58" s="19"/>
      <c r="B58" s="19"/>
      <c r="C58" s="19"/>
      <c r="D58" s="19"/>
      <c r="E58" s="81"/>
      <c r="F58" s="81"/>
      <c r="G58" s="81"/>
      <c r="H58" s="19"/>
    </row>
    <row r="59" spans="1:8" x14ac:dyDescent="0.25">
      <c r="A59" s="19"/>
      <c r="B59" s="19"/>
      <c r="C59" s="19"/>
      <c r="D59" s="19"/>
      <c r="E59" s="81"/>
      <c r="F59" s="81"/>
      <c r="G59" s="81"/>
      <c r="H59" s="19"/>
    </row>
    <row r="60" spans="1:8" x14ac:dyDescent="0.25">
      <c r="A60" s="19"/>
      <c r="B60" s="19"/>
      <c r="C60" s="19"/>
      <c r="D60" s="19"/>
      <c r="E60" s="81"/>
      <c r="F60" s="81"/>
      <c r="G60" s="81"/>
      <c r="H60" s="19"/>
    </row>
    <row r="61" spans="1:8" x14ac:dyDescent="0.25">
      <c r="A61" s="19"/>
      <c r="B61" s="19"/>
      <c r="C61" s="19"/>
      <c r="D61" s="19"/>
      <c r="E61" s="81"/>
      <c r="F61" s="81"/>
      <c r="G61" s="81"/>
      <c r="H61" s="19"/>
    </row>
    <row r="62" spans="1:8" x14ac:dyDescent="0.25">
      <c r="A62" s="19"/>
      <c r="B62" s="19"/>
      <c r="C62" s="19"/>
      <c r="D62" s="19"/>
      <c r="E62" s="81"/>
      <c r="F62" s="81"/>
      <c r="G62" s="81"/>
      <c r="H62" s="19"/>
    </row>
    <row r="63" spans="1:8" x14ac:dyDescent="0.25">
      <c r="A63" s="19"/>
      <c r="B63" s="19"/>
      <c r="C63" s="19"/>
      <c r="D63" s="19"/>
      <c r="E63" s="81"/>
      <c r="F63" s="81"/>
      <c r="G63" s="81"/>
      <c r="H63" s="19"/>
    </row>
    <row r="64" spans="1:8" x14ac:dyDescent="0.25">
      <c r="A64" s="19"/>
      <c r="B64" s="19"/>
      <c r="C64" s="19"/>
      <c r="D64" s="19"/>
      <c r="E64" s="81"/>
      <c r="F64" s="81"/>
      <c r="G64" s="81"/>
      <c r="H64" s="19"/>
    </row>
    <row r="65" spans="1:8" x14ac:dyDescent="0.25">
      <c r="A65" s="19"/>
      <c r="B65" s="19"/>
      <c r="C65" s="19"/>
      <c r="D65" s="19"/>
      <c r="E65" s="81"/>
      <c r="F65" s="81"/>
      <c r="G65" s="81"/>
      <c r="H65" s="19"/>
    </row>
    <row r="66" spans="1:8" x14ac:dyDescent="0.25">
      <c r="A66" s="19"/>
      <c r="B66" s="19"/>
      <c r="C66" s="19"/>
      <c r="D66" s="19"/>
      <c r="E66" s="81"/>
      <c r="F66" s="81"/>
      <c r="G66" s="81"/>
      <c r="H66" s="19"/>
    </row>
    <row r="67" spans="1:8" x14ac:dyDescent="0.25">
      <c r="A67" s="19"/>
      <c r="B67" s="19"/>
      <c r="C67" s="19"/>
      <c r="D67" s="19"/>
      <c r="E67" s="81"/>
      <c r="F67" s="81"/>
      <c r="G67" s="81"/>
      <c r="H67" s="19"/>
    </row>
    <row r="68" spans="1:8" x14ac:dyDescent="0.25">
      <c r="A68" s="19"/>
      <c r="B68" s="19"/>
      <c r="C68" s="19"/>
      <c r="D68" s="19"/>
      <c r="E68" s="81"/>
      <c r="F68" s="81"/>
      <c r="G68" s="81"/>
      <c r="H68" s="19"/>
    </row>
    <row r="69" spans="1:8" x14ac:dyDescent="0.25">
      <c r="A69" s="19"/>
      <c r="B69" s="19"/>
      <c r="C69" s="19"/>
      <c r="D69" s="19"/>
      <c r="E69" s="81"/>
      <c r="F69" s="81"/>
      <c r="G69" s="81"/>
      <c r="H69" s="19"/>
    </row>
    <row r="70" spans="1:8" x14ac:dyDescent="0.25">
      <c r="A70" s="19"/>
      <c r="B70" s="19"/>
      <c r="C70" s="19"/>
      <c r="D70" s="19"/>
      <c r="E70" s="81"/>
      <c r="F70" s="81"/>
      <c r="G70" s="81"/>
      <c r="H70" s="19"/>
    </row>
    <row r="71" spans="1:8" x14ac:dyDescent="0.25">
      <c r="A71" s="19"/>
      <c r="B71" s="19"/>
      <c r="C71" s="19"/>
      <c r="D71" s="19"/>
      <c r="E71" s="81"/>
      <c r="F71" s="81"/>
      <c r="G71" s="81"/>
      <c r="H71" s="19"/>
    </row>
    <row r="72" spans="1:8" x14ac:dyDescent="0.25">
      <c r="A72" s="19"/>
      <c r="B72" s="19"/>
      <c r="C72" s="19"/>
      <c r="D72" s="19"/>
      <c r="E72" s="81"/>
      <c r="F72" s="81"/>
      <c r="G72" s="81"/>
      <c r="H72" s="19"/>
    </row>
    <row r="73" spans="1:8" x14ac:dyDescent="0.25">
      <c r="A73" s="19"/>
      <c r="B73" s="19"/>
      <c r="C73" s="19"/>
      <c r="D73" s="19"/>
      <c r="E73" s="81"/>
      <c r="F73" s="81"/>
      <c r="G73" s="81"/>
      <c r="H73" s="19"/>
    </row>
    <row r="74" spans="1:8" x14ac:dyDescent="0.25">
      <c r="A74" s="19"/>
      <c r="B74" s="19"/>
      <c r="C74" s="19"/>
      <c r="D74" s="19"/>
      <c r="E74" s="81"/>
      <c r="F74" s="81"/>
      <c r="G74" s="81"/>
      <c r="H74" s="19"/>
    </row>
    <row r="75" spans="1:8" x14ac:dyDescent="0.25">
      <c r="A75" s="19"/>
      <c r="B75" s="19"/>
      <c r="C75" s="19"/>
      <c r="D75" s="19"/>
      <c r="E75" s="81"/>
      <c r="F75" s="81"/>
      <c r="G75" s="81"/>
      <c r="H75" s="19"/>
    </row>
    <row r="76" spans="1:8" x14ac:dyDescent="0.25">
      <c r="A76" s="19"/>
      <c r="B76" s="19"/>
      <c r="C76" s="19"/>
      <c r="D76" s="19"/>
      <c r="E76" s="81"/>
      <c r="F76" s="81"/>
      <c r="G76" s="81"/>
      <c r="H76" s="19"/>
    </row>
    <row r="77" spans="1:8" x14ac:dyDescent="0.25">
      <c r="A77" s="19"/>
      <c r="B77" s="19"/>
      <c r="C77" s="19"/>
      <c r="D77" s="19"/>
      <c r="E77" s="81"/>
      <c r="F77" s="81"/>
      <c r="G77" s="81"/>
      <c r="H77" s="19"/>
    </row>
    <row r="78" spans="1:8" x14ac:dyDescent="0.25">
      <c r="A78" s="19"/>
      <c r="B78" s="19"/>
      <c r="C78" s="19"/>
      <c r="D78" s="19"/>
      <c r="E78" s="81"/>
      <c r="F78" s="81"/>
      <c r="G78" s="81"/>
      <c r="H78" s="19"/>
    </row>
    <row r="79" spans="1:8" x14ac:dyDescent="0.25">
      <c r="A79" s="19"/>
      <c r="B79" s="19"/>
      <c r="C79" s="19"/>
      <c r="D79" s="19"/>
      <c r="E79" s="81"/>
      <c r="F79" s="81"/>
      <c r="G79" s="81"/>
      <c r="H79" s="19"/>
    </row>
    <row r="80" spans="1:8" x14ac:dyDescent="0.25">
      <c r="A80" s="19"/>
      <c r="B80" s="19"/>
      <c r="C80" s="19"/>
      <c r="D80" s="19"/>
      <c r="E80" s="81"/>
      <c r="F80" s="81"/>
      <c r="G80" s="81"/>
      <c r="H80" s="19"/>
    </row>
    <row r="81" spans="1:8" x14ac:dyDescent="0.25">
      <c r="A81" s="19"/>
      <c r="B81" s="19"/>
      <c r="C81" s="19"/>
      <c r="D81" s="19"/>
      <c r="E81" s="81"/>
      <c r="F81" s="81"/>
      <c r="G81" s="81"/>
      <c r="H81" s="19"/>
    </row>
    <row r="82" spans="1:8" x14ac:dyDescent="0.25">
      <c r="A82" s="19"/>
      <c r="B82" s="19"/>
      <c r="C82" s="19"/>
      <c r="D82" s="19"/>
      <c r="E82" s="81"/>
      <c r="F82" s="81"/>
      <c r="G82" s="81"/>
      <c r="H82" s="19"/>
    </row>
    <row r="83" spans="1:8" x14ac:dyDescent="0.25">
      <c r="A83" s="19"/>
      <c r="B83" s="19"/>
      <c r="C83" s="19"/>
      <c r="D83" s="19"/>
      <c r="E83" s="81"/>
      <c r="F83" s="81"/>
      <c r="G83" s="81"/>
      <c r="H83" s="19"/>
    </row>
    <row r="84" spans="1:8" x14ac:dyDescent="0.25">
      <c r="A84" s="19"/>
      <c r="B84" s="19"/>
      <c r="C84" s="19"/>
      <c r="D84" s="19"/>
      <c r="E84" s="81"/>
      <c r="F84" s="81"/>
      <c r="G84" s="81"/>
      <c r="H84" s="19"/>
    </row>
    <row r="85" spans="1:8" x14ac:dyDescent="0.25">
      <c r="A85" s="19"/>
      <c r="B85" s="19"/>
      <c r="C85" s="19"/>
      <c r="D85" s="19"/>
      <c r="E85" s="81"/>
      <c r="F85" s="81"/>
      <c r="G85" s="81"/>
      <c r="H85" s="19"/>
    </row>
    <row r="86" spans="1:8" x14ac:dyDescent="0.25">
      <c r="A86" s="19"/>
      <c r="B86" s="19"/>
      <c r="C86" s="19"/>
      <c r="D86" s="19"/>
      <c r="E86" s="81"/>
      <c r="F86" s="81"/>
      <c r="G86" s="81"/>
      <c r="H86" s="19"/>
    </row>
    <row r="87" spans="1:8" x14ac:dyDescent="0.25">
      <c r="A87" s="19"/>
      <c r="B87" s="19"/>
      <c r="C87" s="19"/>
      <c r="D87" s="19"/>
      <c r="E87" s="81"/>
      <c r="F87" s="81"/>
      <c r="G87" s="81"/>
      <c r="H87" s="19"/>
    </row>
    <row r="88" spans="1:8" x14ac:dyDescent="0.25">
      <c r="A88" s="19"/>
      <c r="B88" s="19"/>
      <c r="C88" s="19"/>
      <c r="D88" s="19"/>
      <c r="E88" s="81"/>
      <c r="F88" s="81"/>
      <c r="G88" s="81"/>
      <c r="H88" s="19"/>
    </row>
    <row r="89" spans="1:8" x14ac:dyDescent="0.25">
      <c r="A89" s="19"/>
      <c r="B89" s="19"/>
      <c r="C89" s="19"/>
      <c r="D89" s="19"/>
      <c r="E89" s="81"/>
      <c r="F89" s="81"/>
      <c r="G89" s="81"/>
      <c r="H89" s="19"/>
    </row>
    <row r="90" spans="1:8" x14ac:dyDescent="0.25">
      <c r="A90" s="19"/>
      <c r="B90" s="19"/>
      <c r="C90" s="19"/>
      <c r="D90" s="19"/>
      <c r="E90" s="81"/>
      <c r="F90" s="81"/>
      <c r="G90" s="81"/>
      <c r="H90" s="19"/>
    </row>
    <row r="91" spans="1:8" x14ac:dyDescent="0.25">
      <c r="A91" s="19"/>
      <c r="B91" s="19"/>
      <c r="C91" s="19"/>
      <c r="D91" s="19"/>
      <c r="E91" s="81"/>
      <c r="F91" s="81"/>
      <c r="G91" s="81"/>
      <c r="H91" s="19"/>
    </row>
    <row r="92" spans="1:8" x14ac:dyDescent="0.25">
      <c r="A92" s="19"/>
      <c r="B92" s="19"/>
      <c r="C92" s="19"/>
      <c r="D92" s="19"/>
      <c r="E92" s="81"/>
      <c r="F92" s="81"/>
      <c r="G92" s="81"/>
      <c r="H92" s="19"/>
    </row>
    <row r="93" spans="1:8" x14ac:dyDescent="0.25">
      <c r="A93" s="19"/>
      <c r="B93" s="19"/>
      <c r="C93" s="19"/>
      <c r="D93" s="19"/>
      <c r="E93" s="81"/>
      <c r="F93" s="81"/>
      <c r="G93" s="81"/>
      <c r="H93" s="19"/>
    </row>
    <row r="94" spans="1:8" x14ac:dyDescent="0.25">
      <c r="A94" s="19"/>
      <c r="B94" s="19"/>
      <c r="C94" s="19"/>
      <c r="D94" s="19"/>
      <c r="E94" s="81"/>
      <c r="F94" s="81"/>
      <c r="G94" s="81"/>
      <c r="H94" s="19"/>
    </row>
    <row r="95" spans="1:8" x14ac:dyDescent="0.25">
      <c r="A95" s="19"/>
      <c r="B95" s="19"/>
      <c r="C95" s="19"/>
      <c r="D95" s="19"/>
      <c r="E95" s="81"/>
      <c r="F95" s="81"/>
      <c r="G95" s="81"/>
      <c r="H95" s="19"/>
    </row>
    <row r="96" spans="1:8" x14ac:dyDescent="0.25">
      <c r="A96" s="19"/>
      <c r="B96" s="19"/>
      <c r="C96" s="19"/>
      <c r="D96" s="19"/>
      <c r="E96" s="81"/>
      <c r="F96" s="81"/>
      <c r="G96" s="81"/>
      <c r="H96" s="19"/>
    </row>
    <row r="97" spans="1:8" x14ac:dyDescent="0.25">
      <c r="A97" s="19"/>
      <c r="B97" s="19"/>
      <c r="C97" s="19"/>
      <c r="D97" s="19"/>
      <c r="E97" s="81"/>
      <c r="F97" s="81"/>
      <c r="G97" s="81"/>
      <c r="H97" s="19"/>
    </row>
    <row r="98" spans="1:8" x14ac:dyDescent="0.25">
      <c r="A98" s="19"/>
      <c r="B98" s="19"/>
      <c r="C98" s="19"/>
      <c r="D98" s="19"/>
      <c r="E98" s="81"/>
      <c r="F98" s="81"/>
      <c r="G98" s="81"/>
      <c r="H98" s="19"/>
    </row>
    <row r="99" spans="1:8" x14ac:dyDescent="0.25">
      <c r="A99" s="19"/>
      <c r="B99" s="19"/>
      <c r="C99" s="19"/>
      <c r="D99" s="19"/>
      <c r="E99" s="81"/>
      <c r="F99" s="81"/>
      <c r="G99" s="81"/>
      <c r="H99" s="19"/>
    </row>
    <row r="100" spans="1:8" x14ac:dyDescent="0.25">
      <c r="A100" s="19"/>
      <c r="B100" s="19"/>
      <c r="C100" s="19"/>
      <c r="D100" s="19"/>
      <c r="E100" s="81"/>
      <c r="F100" s="81"/>
      <c r="G100" s="81"/>
      <c r="H100" s="19"/>
    </row>
  </sheetData>
  <mergeCells count="1">
    <mergeCell ref="A2:A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EE032-4985-4B1E-9132-FCA72917F1FB}">
  <dimension ref="A1:P37"/>
  <sheetViews>
    <sheetView workbookViewId="0"/>
  </sheetViews>
  <sheetFormatPr defaultRowHeight="15" x14ac:dyDescent="0.25"/>
  <sheetData>
    <row r="1" spans="1:16" x14ac:dyDescent="0.25">
      <c r="A1" t="s">
        <v>1254</v>
      </c>
      <c r="B1" t="s">
        <v>1255</v>
      </c>
      <c r="C1" t="s">
        <v>1274</v>
      </c>
      <c r="D1" t="s">
        <v>1275</v>
      </c>
      <c r="E1" t="s">
        <v>1276</v>
      </c>
      <c r="F1" t="s">
        <v>1277</v>
      </c>
      <c r="G1" t="s">
        <v>1265</v>
      </c>
      <c r="H1" t="s">
        <v>1266</v>
      </c>
      <c r="I1" t="s">
        <v>1278</v>
      </c>
      <c r="J1" t="s">
        <v>1279</v>
      </c>
      <c r="K1" t="s">
        <v>1280</v>
      </c>
      <c r="L1" t="s">
        <v>1281</v>
      </c>
      <c r="M1" t="s">
        <v>1271</v>
      </c>
      <c r="N1" t="s">
        <v>1282</v>
      </c>
      <c r="O1" t="s">
        <v>1283</v>
      </c>
      <c r="P1" t="s">
        <v>1284</v>
      </c>
    </row>
    <row r="2" spans="1:16" x14ac:dyDescent="0.25">
      <c r="A2">
        <v>99</v>
      </c>
      <c r="B2" t="s">
        <v>6</v>
      </c>
      <c r="C2">
        <v>1</v>
      </c>
      <c r="D2" t="str">
        <f>IF(C2&lt;15, "", _xlfn.RANK.EQ(C2, C:C, 0))</f>
        <v/>
      </c>
      <c r="E2">
        <f>IFERROR(VLOOKUP(A2, SPIFFS!A:H, 8, 0), 0)</f>
        <v>1758</v>
      </c>
      <c r="F2">
        <v>200</v>
      </c>
      <c r="G2">
        <f>IFERROR('[1]HOUSE EMPLOYEE'!M19, 0)</f>
        <v>0</v>
      </c>
    </row>
    <row r="3" spans="1:16" x14ac:dyDescent="0.25">
      <c r="A3">
        <v>3262</v>
      </c>
      <c r="B3" t="s">
        <v>7</v>
      </c>
      <c r="C3">
        <v>12</v>
      </c>
      <c r="D3" t="str">
        <f>IF(C3&lt;15, "", _xlfn.RANK.EQ(C3, C:C, 0))</f>
        <v/>
      </c>
      <c r="E3">
        <f>IFERROR(VLOOKUP(A3, SPIFFS!A:H, 8, 0), 0)</f>
        <v>23.61</v>
      </c>
      <c r="F3">
        <v>3143.9700000000003</v>
      </c>
      <c r="G3">
        <f>IFERROR('[2]JOHN SINDONI'!M31, 0)</f>
        <v>0</v>
      </c>
    </row>
    <row r="4" spans="1:16" x14ac:dyDescent="0.25">
      <c r="A4">
        <v>10067</v>
      </c>
      <c r="B4" t="s">
        <v>8</v>
      </c>
      <c r="C4">
        <v>0</v>
      </c>
      <c r="D4" t="str">
        <f>IF(C4&lt;15, "", _xlfn.RANK.EQ(C4, C:C, 0))</f>
        <v/>
      </c>
      <c r="E4">
        <f>IFERROR(VLOOKUP(A4, SPIFFS!A:H, 8, 0), 0)</f>
        <v>1075</v>
      </c>
      <c r="F4">
        <v>0</v>
      </c>
      <c r="G4">
        <f>IFERROR('[3]CHRISTOPHER CALERO'!M18, 0)</f>
        <v>0</v>
      </c>
    </row>
    <row r="5" spans="1:16" x14ac:dyDescent="0.25">
      <c r="A5">
        <v>10069</v>
      </c>
      <c r="B5" t="s">
        <v>9</v>
      </c>
      <c r="C5">
        <v>9.5</v>
      </c>
      <c r="D5" t="str">
        <f>IF(C5&lt;15, "", _xlfn.RANK.EQ(C5, C:C, 0))</f>
        <v/>
      </c>
      <c r="E5">
        <f>IFERROR(VLOOKUP(A5, SPIFFS!A:H, 8, 0), 0)</f>
        <v>0</v>
      </c>
      <c r="F5">
        <v>3419.54</v>
      </c>
      <c r="G5">
        <f>IFERROR('[4]HUGO GONZALEZ'!M29, 0)</f>
        <v>0</v>
      </c>
    </row>
    <row r="6" spans="1:16" x14ac:dyDescent="0.25">
      <c r="A6">
        <v>10303</v>
      </c>
      <c r="B6" t="s">
        <v>10</v>
      </c>
      <c r="C6">
        <v>16.5</v>
      </c>
      <c r="D6">
        <f>IF(C6&lt;15, "", _xlfn.RANK.EQ(C6, C:C, 0))</f>
        <v>3</v>
      </c>
      <c r="E6">
        <f>IFERROR(VLOOKUP(A6, SPIFFS!A:H, 8, 0), 0)</f>
        <v>550</v>
      </c>
      <c r="F6">
        <v>7308.57</v>
      </c>
      <c r="G6">
        <f>IFERROR('[5]DANIEL GARCIA'!M35, 0)</f>
        <v>0</v>
      </c>
    </row>
    <row r="7" spans="1:16" x14ac:dyDescent="0.25">
      <c r="A7">
        <v>10304</v>
      </c>
      <c r="B7" t="s">
        <v>11</v>
      </c>
      <c r="C7">
        <v>7.5</v>
      </c>
      <c r="D7" t="str">
        <f>IF(C7&lt;15, "", _xlfn.RANK.EQ(C7, C:C, 0))</f>
        <v/>
      </c>
      <c r="E7">
        <f>IFERROR(VLOOKUP(A7, SPIFFS!A:H, 8, 0), 0)</f>
        <v>1402.9</v>
      </c>
      <c r="F7">
        <v>2750.6</v>
      </c>
      <c r="G7">
        <f>IFERROR('[6]RICARDO PEREZ'!M27, 0)</f>
        <v>0</v>
      </c>
    </row>
    <row r="8" spans="1:16" x14ac:dyDescent="0.25">
      <c r="A8">
        <v>10775</v>
      </c>
      <c r="B8" t="s">
        <v>12</v>
      </c>
      <c r="C8">
        <v>13</v>
      </c>
      <c r="D8" t="str">
        <f>IF(C8&lt;15, "", _xlfn.RANK.EQ(C8, C:C, 0))</f>
        <v/>
      </c>
      <c r="E8">
        <f>IFERROR(VLOOKUP(A8, SPIFFS!A:H, 8, 0), 0)</f>
        <v>550</v>
      </c>
      <c r="F8">
        <v>5570.15</v>
      </c>
      <c r="G8">
        <f>IFERROR('[7]JEAN FREZIN'!M32, 0)</f>
        <v>0</v>
      </c>
    </row>
    <row r="9" spans="1:16" x14ac:dyDescent="0.25">
      <c r="A9">
        <v>11580</v>
      </c>
      <c r="B9" t="s">
        <v>13</v>
      </c>
      <c r="C9">
        <v>11.5</v>
      </c>
      <c r="D9" t="str">
        <f>IF(C9&lt;15, "", _xlfn.RANK.EQ(C9, C:C, 0))</f>
        <v/>
      </c>
      <c r="E9">
        <f>IFERROR(VLOOKUP(A9, SPIFFS!A:H, 8, 0), 0)</f>
        <v>1050</v>
      </c>
      <c r="F9">
        <v>4761.369999999999</v>
      </c>
      <c r="G9">
        <f>IFERROR('[8]FREDDY JUAREZ'!M32, 0)</f>
        <v>0</v>
      </c>
    </row>
    <row r="10" spans="1:16" x14ac:dyDescent="0.25">
      <c r="A10">
        <v>11809</v>
      </c>
      <c r="B10" t="s">
        <v>14</v>
      </c>
      <c r="C10">
        <v>17.5</v>
      </c>
      <c r="D10">
        <f>IF(C10&lt;15, "", _xlfn.RANK.EQ(C10, C:C, 0))</f>
        <v>2</v>
      </c>
      <c r="E10">
        <f>IFERROR(VLOOKUP(A10, SPIFFS!A:H, 8, 0), 0)</f>
        <v>1601.51</v>
      </c>
      <c r="F10">
        <v>10419.870000000001</v>
      </c>
      <c r="G10">
        <f>IFERROR('[9]MICHAEL LAZO'!M39, 0)</f>
        <v>0</v>
      </c>
    </row>
    <row r="11" spans="1:16" x14ac:dyDescent="0.25">
      <c r="A11">
        <v>12104</v>
      </c>
      <c r="B11" t="s">
        <v>15</v>
      </c>
      <c r="C11">
        <v>15.5</v>
      </c>
      <c r="D11">
        <f>IF(C11&lt;15, "", _xlfn.RANK.EQ(C11, C:C, 0))</f>
        <v>7</v>
      </c>
      <c r="E11">
        <f>IFERROR(VLOOKUP(A11, SPIFFS!A:H, 8, 0), 0)</f>
        <v>625</v>
      </c>
      <c r="F11">
        <v>10787.31</v>
      </c>
      <c r="G11">
        <f>IFERROR('[10]JOVAN MANZANARES'!M36, 0)</f>
        <v>0</v>
      </c>
    </row>
    <row r="12" spans="1:16" x14ac:dyDescent="0.25">
      <c r="A12">
        <v>13189</v>
      </c>
      <c r="B12" t="s">
        <v>16</v>
      </c>
      <c r="C12">
        <v>8.5</v>
      </c>
      <c r="D12" t="str">
        <f>IF(C12&lt;15, "", _xlfn.RANK.EQ(C12, C:C, 0))</f>
        <v/>
      </c>
      <c r="E12">
        <f>IFERROR(VLOOKUP(A12, SPIFFS!A:H, 8, 0), 0)</f>
        <v>0</v>
      </c>
      <c r="F12">
        <v>2691.95</v>
      </c>
      <c r="G12">
        <f>IFERROR('[11]BRYAN ALTUNAGA'!M27, 0)</f>
        <v>0</v>
      </c>
    </row>
    <row r="13" spans="1:16" x14ac:dyDescent="0.25">
      <c r="A13">
        <v>14383</v>
      </c>
      <c r="B13" t="s">
        <v>17</v>
      </c>
      <c r="C13">
        <v>14.5</v>
      </c>
      <c r="D13" t="str">
        <f>IF(C13&lt;15, "", _xlfn.RANK.EQ(C13, C:C, 0))</f>
        <v/>
      </c>
      <c r="E13">
        <f>IFERROR(VLOOKUP(A13, SPIFFS!A:H, 8, 0), 0)</f>
        <v>0</v>
      </c>
      <c r="F13">
        <v>11546.669999999998</v>
      </c>
      <c r="G13">
        <f>IFERROR('[12]CARLOS CORNIELES'!M33, 0)</f>
        <v>0</v>
      </c>
    </row>
    <row r="14" spans="1:16" x14ac:dyDescent="0.25">
      <c r="A14">
        <v>16210</v>
      </c>
      <c r="B14" t="s">
        <v>19</v>
      </c>
      <c r="C14">
        <v>11.5</v>
      </c>
      <c r="D14" t="str">
        <f>IF(C14&lt;15, "", _xlfn.RANK.EQ(C14, C:C, 0))</f>
        <v/>
      </c>
      <c r="E14">
        <f>IFERROR(VLOOKUP(A14, SPIFFS!A:H, 8, 0), 0)</f>
        <v>4600</v>
      </c>
      <c r="F14">
        <v>2601.17</v>
      </c>
      <c r="G14">
        <f>IFERROR('[13]RAFAEL FIGUEREDO DE SANTIAGO'!M32, 0)</f>
        <v>0</v>
      </c>
    </row>
    <row r="15" spans="1:16" x14ac:dyDescent="0.25">
      <c r="A15">
        <v>16734</v>
      </c>
      <c r="B15" t="s">
        <v>21</v>
      </c>
      <c r="C15">
        <v>12.5</v>
      </c>
      <c r="D15" t="str">
        <f>IF(C15&lt;15, "", _xlfn.RANK.EQ(C15, C:C, 0))</f>
        <v/>
      </c>
      <c r="E15">
        <f>IFERROR(VLOOKUP(A15, SPIFFS!A:H, 8, 0), 0)</f>
        <v>250</v>
      </c>
      <c r="F15">
        <v>3381.34</v>
      </c>
      <c r="G15">
        <f>IFERROR('[14]MAXIMILIANO TORIANO'!M33, 0)</f>
        <v>0</v>
      </c>
    </row>
    <row r="16" spans="1:16" x14ac:dyDescent="0.25">
      <c r="A16">
        <v>20993</v>
      </c>
      <c r="B16" t="s">
        <v>1250</v>
      </c>
      <c r="C16">
        <v>14.5</v>
      </c>
      <c r="D16" t="str">
        <f>IF(C16&lt;15, "", _xlfn.RANK.EQ(C16, C:C, 0))</f>
        <v/>
      </c>
      <c r="E16">
        <f>IFERROR(VLOOKUP(A16, SPIFFS!A:H, 8, 0), 0)</f>
        <v>1500</v>
      </c>
      <c r="F16">
        <v>6123.5999999999995</v>
      </c>
      <c r="G16">
        <f>IFERROR('[15]LUCAS BUCCI ODDO'!M35, 0)</f>
        <v>0</v>
      </c>
    </row>
    <row r="17" spans="1:7" x14ac:dyDescent="0.25">
      <c r="A17">
        <v>22145</v>
      </c>
      <c r="B17" t="s">
        <v>1251</v>
      </c>
      <c r="C17">
        <v>14</v>
      </c>
      <c r="D17" t="str">
        <f>IF(C17&lt;15, "", _xlfn.RANK.EQ(C17, C:C, 0))</f>
        <v/>
      </c>
      <c r="E17">
        <f>IFERROR(VLOOKUP(A17, SPIFFS!A:H, 8, 0), 0)</f>
        <v>2650</v>
      </c>
      <c r="F17">
        <v>6826.8600000000006</v>
      </c>
      <c r="G17">
        <f>IFERROR('[16]SERGIO BETANCOURT'!M33, 0)</f>
        <v>0</v>
      </c>
    </row>
    <row r="18" spans="1:7" x14ac:dyDescent="0.25">
      <c r="A18">
        <v>22478</v>
      </c>
      <c r="B18" t="s">
        <v>1252</v>
      </c>
      <c r="C18">
        <v>5</v>
      </c>
      <c r="D18" t="str">
        <f>IF(C18&lt;15, "", _xlfn.RANK.EQ(C18, C:C, 0))</f>
        <v/>
      </c>
      <c r="E18">
        <f>IFERROR(VLOOKUP(A18, SPIFFS!A:H, 8, 0), 0)</f>
        <v>202.8</v>
      </c>
      <c r="F18">
        <v>1862.81</v>
      </c>
      <c r="G18">
        <f>IFERROR('[17]ARMAND PERRIER'!M23, 0)</f>
        <v>0</v>
      </c>
    </row>
    <row r="19" spans="1:7" x14ac:dyDescent="0.25">
      <c r="A19">
        <v>22564</v>
      </c>
      <c r="B19" t="s">
        <v>1253</v>
      </c>
      <c r="C19">
        <v>14</v>
      </c>
      <c r="D19" t="str">
        <f>IF(C19&lt;15, "", _xlfn.RANK.EQ(C19, C:C, 0))</f>
        <v/>
      </c>
      <c r="E19">
        <f>IFERROR(VLOOKUP(A19, SPIFFS!A:H, 8, 0), 0)</f>
        <v>1050</v>
      </c>
      <c r="F19">
        <v>10722.95</v>
      </c>
      <c r="G19">
        <f>IFERROR('[18]ADAM PARTRIDGE'!M33, 0)</f>
        <v>0</v>
      </c>
    </row>
    <row r="20" spans="1:7" x14ac:dyDescent="0.25">
      <c r="A20">
        <v>207147</v>
      </c>
      <c r="B20" t="s">
        <v>27</v>
      </c>
      <c r="C20">
        <v>6</v>
      </c>
      <c r="D20" t="str">
        <f>IF(C20&lt;15, "", _xlfn.RANK.EQ(C20, C:C, 0))</f>
        <v/>
      </c>
      <c r="E20">
        <f>IFERROR(VLOOKUP(A20, SPIFFS!A:H, 8, 0), 0)</f>
        <v>1000</v>
      </c>
      <c r="F20">
        <v>1859.83</v>
      </c>
      <c r="G20">
        <f>IFERROR('[19]WEBER GUILBAUD'!M24, 0)</f>
        <v>0</v>
      </c>
    </row>
    <row r="21" spans="1:7" x14ac:dyDescent="0.25">
      <c r="A21">
        <v>207347</v>
      </c>
      <c r="B21" t="s">
        <v>28</v>
      </c>
      <c r="C21">
        <v>8</v>
      </c>
      <c r="D21" t="str">
        <f>IF(C21&lt;15, "", _xlfn.RANK.EQ(C21, C:C, 0))</f>
        <v/>
      </c>
      <c r="E21">
        <f>IFERROR(VLOOKUP(A21, SPIFFS!A:H, 8, 0), 0)</f>
        <v>800</v>
      </c>
      <c r="F21">
        <v>3672.2</v>
      </c>
      <c r="G21">
        <f>IFERROR('[20]GONZALO SOSA'!M26, 0)</f>
        <v>0</v>
      </c>
    </row>
    <row r="22" spans="1:7" x14ac:dyDescent="0.25">
      <c r="A22">
        <v>207462</v>
      </c>
      <c r="B22" t="s">
        <v>29</v>
      </c>
      <c r="C22">
        <v>11</v>
      </c>
      <c r="D22" t="str">
        <f>IF(C22&lt;15, "", _xlfn.RANK.EQ(C22, C:C, 0))</f>
        <v/>
      </c>
      <c r="E22">
        <f>IFERROR(VLOOKUP(A22, SPIFFS!A:H, 8, 0), 0)</f>
        <v>1100</v>
      </c>
      <c r="F22">
        <v>3104.4500000000003</v>
      </c>
      <c r="G22">
        <f>IFERROR('[21]OMAR CRUZ'!M29, 0)</f>
        <v>0</v>
      </c>
    </row>
    <row r="23" spans="1:7" x14ac:dyDescent="0.25">
      <c r="A23">
        <v>207573</v>
      </c>
      <c r="B23" t="s">
        <v>30</v>
      </c>
      <c r="C23">
        <v>8</v>
      </c>
      <c r="D23" t="str">
        <f>IF(C23&lt;15, "", _xlfn.RANK.EQ(C23, C:C, 0))</f>
        <v/>
      </c>
      <c r="E23">
        <f>IFERROR(VLOOKUP(A23, SPIFFS!A:H, 8, 0), 0)</f>
        <v>0</v>
      </c>
      <c r="F23">
        <v>3149.22</v>
      </c>
      <c r="G23">
        <f>IFERROR('[22]PATRICK MCCLOSKEY'!M27, 0)</f>
        <v>0</v>
      </c>
    </row>
    <row r="24" spans="1:7" x14ac:dyDescent="0.25">
      <c r="A24">
        <v>207580</v>
      </c>
      <c r="B24" t="s">
        <v>31</v>
      </c>
      <c r="C24">
        <v>16</v>
      </c>
      <c r="D24">
        <f>IF(C24&lt;15, "", _xlfn.RANK.EQ(C24, C:C, 0))</f>
        <v>4</v>
      </c>
      <c r="E24">
        <f>IFERROR(VLOOKUP(A24, SPIFFS!A:H, 8, 0), 0)</f>
        <v>1450</v>
      </c>
      <c r="F24">
        <v>11576.7</v>
      </c>
      <c r="G24">
        <f>IFERROR('[23]MANUEL GINORI'!M36, 0)</f>
        <v>0</v>
      </c>
    </row>
    <row r="25" spans="1:7" x14ac:dyDescent="0.25">
      <c r="A25">
        <v>215323</v>
      </c>
      <c r="B25" t="s">
        <v>895</v>
      </c>
      <c r="C25">
        <v>16</v>
      </c>
      <c r="D25">
        <f>IF(C25&lt;15, "", _xlfn.RANK.EQ(C25, C:C, 0))</f>
        <v>4</v>
      </c>
      <c r="E25">
        <f>IFERROR(VLOOKUP(A25, SPIFFS!A:H, 8, 0), 0)</f>
        <v>500</v>
      </c>
      <c r="F25">
        <v>6027.2300000000005</v>
      </c>
      <c r="G25">
        <f>IFERROR('[24]ALEX PALACIOS'!M35, 0)</f>
        <v>0</v>
      </c>
    </row>
    <row r="26" spans="1:7" x14ac:dyDescent="0.25">
      <c r="A26">
        <v>217079</v>
      </c>
      <c r="B26" t="s">
        <v>941</v>
      </c>
      <c r="C26">
        <v>9</v>
      </c>
      <c r="D26" t="str">
        <f>IF(C26&lt;15, "", _xlfn.RANK.EQ(C26, C:C, 0))</f>
        <v/>
      </c>
      <c r="E26">
        <f>IFERROR(VLOOKUP(A26, SPIFFS!A:H, 8, 0), 0)</f>
        <v>0</v>
      </c>
      <c r="F26">
        <v>2854.28</v>
      </c>
      <c r="G26">
        <f>IFERROR('[25]FRANCISCO LLANO'!M29, 0)</f>
        <v>0</v>
      </c>
    </row>
    <row r="27" spans="1:7" x14ac:dyDescent="0.25">
      <c r="A27">
        <v>242160</v>
      </c>
      <c r="B27" t="s">
        <v>34</v>
      </c>
      <c r="C27">
        <v>8</v>
      </c>
      <c r="D27" t="str">
        <f>IF(C27&lt;15, "", _xlfn.RANK.EQ(C27, C:C, 0))</f>
        <v/>
      </c>
      <c r="E27">
        <f>IFERROR(VLOOKUP(A27, SPIFFS!A:H, 8, 0), 0)</f>
        <v>1800</v>
      </c>
      <c r="F27">
        <v>1905.53</v>
      </c>
      <c r="G27">
        <f>IFERROR('[26]FRANCESCO DIAZ'!M27, 0)</f>
        <v>0</v>
      </c>
    </row>
    <row r="28" spans="1:7" x14ac:dyDescent="0.25">
      <c r="A28">
        <v>245770</v>
      </c>
      <c r="B28" t="s">
        <v>984</v>
      </c>
      <c r="C28">
        <v>12.5</v>
      </c>
      <c r="D28" t="str">
        <f>IF(C28&lt;15, "", _xlfn.RANK.EQ(C28, C:C, 0))</f>
        <v/>
      </c>
      <c r="E28">
        <f>IFERROR(VLOOKUP(A28, SPIFFS!A:H, 8, 0), 0)</f>
        <v>0</v>
      </c>
      <c r="F28">
        <v>6046.93</v>
      </c>
      <c r="G28">
        <f>IFERROR('[27]ROBERT HUNTER'!M31, 0)</f>
        <v>0</v>
      </c>
    </row>
    <row r="29" spans="1:7" x14ac:dyDescent="0.25">
      <c r="A29">
        <v>259020</v>
      </c>
      <c r="B29" t="s">
        <v>1022</v>
      </c>
      <c r="C29">
        <v>1</v>
      </c>
      <c r="D29" t="str">
        <f>IF(C29&lt;15, "", _xlfn.RANK.EQ(C29, C:C, 0))</f>
        <v/>
      </c>
      <c r="E29">
        <f>IFERROR(VLOOKUP(A29, SPIFFS!A:H, 8, 0), 0)</f>
        <v>0</v>
      </c>
      <c r="F29">
        <v>200</v>
      </c>
      <c r="G29">
        <f>IFERROR('[28]NIMA ZARE'!M19, 0)</f>
        <v>0</v>
      </c>
    </row>
    <row r="30" spans="1:7" x14ac:dyDescent="0.25">
      <c r="A30">
        <v>259520</v>
      </c>
      <c r="B30" t="s">
        <v>36</v>
      </c>
      <c r="C30">
        <v>20</v>
      </c>
      <c r="D30">
        <f>IF(C30&lt;15, "", _xlfn.RANK.EQ(C30, C:C, 0))</f>
        <v>1</v>
      </c>
      <c r="E30">
        <f>IFERROR(VLOOKUP(A30, SPIFFS!A:H, 8, 0), 0)</f>
        <v>0</v>
      </c>
      <c r="F30">
        <v>11422.06</v>
      </c>
      <c r="G30">
        <f>IFERROR('[29]FRANK GARCIA ECHEMENDIA'!M38, 0)</f>
        <v>0</v>
      </c>
    </row>
    <row r="31" spans="1:7" x14ac:dyDescent="0.25">
      <c r="A31">
        <v>261800</v>
      </c>
      <c r="B31" t="s">
        <v>1082</v>
      </c>
      <c r="C31">
        <v>4.5</v>
      </c>
      <c r="D31" t="str">
        <f>IF(C31&lt;15, "", _xlfn.RANK.EQ(C31, C:C, 0))</f>
        <v/>
      </c>
      <c r="E31">
        <f>IFERROR(VLOOKUP(A31, SPIFFS!A:H, 8, 0), 0)</f>
        <v>506</v>
      </c>
      <c r="F31">
        <v>1532.33</v>
      </c>
      <c r="G31">
        <f>IFERROR('[30]CHRISTOPHER MANNING'!M23, 0)</f>
        <v>0</v>
      </c>
    </row>
    <row r="32" spans="1:7" x14ac:dyDescent="0.25">
      <c r="A32">
        <v>267623</v>
      </c>
      <c r="B32" t="s">
        <v>38</v>
      </c>
      <c r="C32">
        <v>8</v>
      </c>
      <c r="D32" t="str">
        <f>IF(C32&lt;15, "", _xlfn.RANK.EQ(C32, C:C, 0))</f>
        <v/>
      </c>
      <c r="E32">
        <f>IFERROR(VLOOKUP(A32, SPIFFS!A:H, 8, 0), 0)</f>
        <v>2460</v>
      </c>
      <c r="F32">
        <v>2112.65</v>
      </c>
      <c r="G32">
        <f>IFERROR('[31]PEDRO CANAS'!M26, 0)</f>
        <v>0</v>
      </c>
    </row>
    <row r="33" spans="1:7" x14ac:dyDescent="0.25">
      <c r="A33">
        <v>271828</v>
      </c>
      <c r="B33" t="s">
        <v>39</v>
      </c>
      <c r="C33">
        <v>14</v>
      </c>
      <c r="D33" t="str">
        <f>IF(C33&lt;15, "", _xlfn.RANK.EQ(C33, C:C, 0))</f>
        <v/>
      </c>
      <c r="E33">
        <f>IFERROR(VLOOKUP(A33, SPIFFS!A:H, 8, 0), 0)</f>
        <v>550</v>
      </c>
      <c r="F33">
        <v>4906.2700000000004</v>
      </c>
      <c r="G33">
        <f>IFERROR('[32]JORGE SUAREZ'!M35, 0)</f>
        <v>0</v>
      </c>
    </row>
    <row r="34" spans="1:7" x14ac:dyDescent="0.25">
      <c r="A34">
        <v>277065</v>
      </c>
      <c r="B34" t="s">
        <v>40</v>
      </c>
      <c r="C34">
        <v>12</v>
      </c>
      <c r="D34" t="str">
        <f>IF(C34&lt;15, "", _xlfn.RANK.EQ(C34, C:C, 0))</f>
        <v/>
      </c>
      <c r="E34">
        <f>IFERROR(VLOOKUP(A34, SPIFFS!A:H, 8, 0), 0)</f>
        <v>0</v>
      </c>
      <c r="F34">
        <v>3919.58</v>
      </c>
      <c r="G34">
        <f>IFERROR('[33]JAIME WEVER'!M33, 0)</f>
        <v>0</v>
      </c>
    </row>
    <row r="35" spans="1:7" x14ac:dyDescent="0.25">
      <c r="A35">
        <v>277793</v>
      </c>
      <c r="B35" t="s">
        <v>1189</v>
      </c>
      <c r="C35">
        <v>1</v>
      </c>
      <c r="D35" t="str">
        <f>IF(C35&lt;15, "", _xlfn.RANK.EQ(C35, C:C, 0))</f>
        <v/>
      </c>
      <c r="E35">
        <f>IFERROR(VLOOKUP(A35, SPIFFS!A:H, 8, 0), 0)</f>
        <v>0</v>
      </c>
      <c r="F35">
        <v>576.36</v>
      </c>
      <c r="G35">
        <f>IFERROR('[34]MARLON BOSCH'!M19, 0)</f>
        <v>0</v>
      </c>
    </row>
    <row r="36" spans="1:7" x14ac:dyDescent="0.25">
      <c r="A36">
        <v>283245</v>
      </c>
      <c r="B36" t="s">
        <v>1191</v>
      </c>
      <c r="C36">
        <v>6.5</v>
      </c>
      <c r="D36" t="str">
        <f>IF(C36&lt;15, "", _xlfn.RANK.EQ(C36, C:C, 0))</f>
        <v/>
      </c>
      <c r="E36">
        <f>IFERROR(VLOOKUP(A36, SPIFFS!A:H, 8, 0), 0)</f>
        <v>250</v>
      </c>
      <c r="F36">
        <v>2774.6099999999997</v>
      </c>
      <c r="G36">
        <f>IFERROR('[35]ALEJANDRO DE LA TERGA'!M26, 0)</f>
        <v>0</v>
      </c>
    </row>
    <row r="37" spans="1:7" x14ac:dyDescent="0.25">
      <c r="A37">
        <v>284175</v>
      </c>
      <c r="B37" t="s">
        <v>42</v>
      </c>
      <c r="C37">
        <v>16</v>
      </c>
      <c r="D37">
        <f>IF(C37&lt;15, "", _xlfn.RANK.EQ(C37, C:C, 0))</f>
        <v>4</v>
      </c>
      <c r="E37">
        <f>IFERROR(VLOOKUP(A37, SPIFFS!A:H, 8, 0), 0)</f>
        <v>0</v>
      </c>
      <c r="F37">
        <v>3505.7200000000003</v>
      </c>
      <c r="G37">
        <f>IFERROR('[36]ANTHONY CERRUELA'!M36, 0)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87E6C-AB9D-4E62-BB69-02C7D83F9125}">
  <dimension ref="A1:M37"/>
  <sheetViews>
    <sheetView workbookViewId="0"/>
  </sheetViews>
  <sheetFormatPr defaultRowHeight="15" x14ac:dyDescent="0.25"/>
  <sheetData>
    <row r="1" spans="1:13" x14ac:dyDescent="0.25">
      <c r="A1" t="s">
        <v>1254</v>
      </c>
      <c r="B1" t="s">
        <v>1255</v>
      </c>
      <c r="C1" t="s">
        <v>1263</v>
      </c>
      <c r="D1" t="s">
        <v>1264</v>
      </c>
      <c r="E1" t="s">
        <v>1265</v>
      </c>
      <c r="F1" t="s">
        <v>1266</v>
      </c>
      <c r="G1" t="s">
        <v>1267</v>
      </c>
      <c r="H1" t="s">
        <v>1268</v>
      </c>
      <c r="I1" t="s">
        <v>1269</v>
      </c>
      <c r="J1" t="s">
        <v>1270</v>
      </c>
      <c r="K1" t="s">
        <v>1271</v>
      </c>
      <c r="L1" t="s">
        <v>1272</v>
      </c>
      <c r="M1" t="s">
        <v>1273</v>
      </c>
    </row>
    <row r="2" spans="1:13" x14ac:dyDescent="0.25">
      <c r="A2">
        <v>99</v>
      </c>
      <c r="B2" t="s">
        <v>6</v>
      </c>
    </row>
    <row r="3" spans="1:13" x14ac:dyDescent="0.25">
      <c r="A3">
        <v>3262</v>
      </c>
      <c r="B3" t="s">
        <v>7</v>
      </c>
    </row>
    <row r="4" spans="1:13" x14ac:dyDescent="0.25">
      <c r="A4">
        <v>10067</v>
      </c>
      <c r="B4" t="s">
        <v>8</v>
      </c>
    </row>
    <row r="5" spans="1:13" x14ac:dyDescent="0.25">
      <c r="A5">
        <v>10069</v>
      </c>
      <c r="B5" t="s">
        <v>9</v>
      </c>
    </row>
    <row r="6" spans="1:13" x14ac:dyDescent="0.25">
      <c r="A6">
        <v>10303</v>
      </c>
      <c r="B6" t="s">
        <v>10</v>
      </c>
    </row>
    <row r="7" spans="1:13" x14ac:dyDescent="0.25">
      <c r="A7">
        <v>10304</v>
      </c>
      <c r="B7" t="s">
        <v>11</v>
      </c>
    </row>
    <row r="8" spans="1:13" x14ac:dyDescent="0.25">
      <c r="A8">
        <v>10775</v>
      </c>
      <c r="B8" t="s">
        <v>12</v>
      </c>
    </row>
    <row r="9" spans="1:13" x14ac:dyDescent="0.25">
      <c r="A9">
        <v>11580</v>
      </c>
      <c r="B9" t="s">
        <v>13</v>
      </c>
    </row>
    <row r="10" spans="1:13" x14ac:dyDescent="0.25">
      <c r="A10">
        <v>11809</v>
      </c>
      <c r="B10" t="s">
        <v>14</v>
      </c>
    </row>
    <row r="11" spans="1:13" x14ac:dyDescent="0.25">
      <c r="A11">
        <v>12104</v>
      </c>
      <c r="B11" t="s">
        <v>15</v>
      </c>
    </row>
    <row r="12" spans="1:13" x14ac:dyDescent="0.25">
      <c r="A12">
        <v>13189</v>
      </c>
      <c r="B12" t="s">
        <v>16</v>
      </c>
    </row>
    <row r="13" spans="1:13" x14ac:dyDescent="0.25">
      <c r="A13">
        <v>14383</v>
      </c>
      <c r="B13" t="s">
        <v>17</v>
      </c>
    </row>
    <row r="14" spans="1:13" x14ac:dyDescent="0.25">
      <c r="A14">
        <v>16210</v>
      </c>
      <c r="B14" t="s">
        <v>19</v>
      </c>
    </row>
    <row r="15" spans="1:13" x14ac:dyDescent="0.25">
      <c r="A15">
        <v>16734</v>
      </c>
      <c r="B15" t="s">
        <v>21</v>
      </c>
    </row>
    <row r="16" spans="1:13" x14ac:dyDescent="0.25">
      <c r="A16">
        <v>20993</v>
      </c>
      <c r="B16" t="s">
        <v>1250</v>
      </c>
    </row>
    <row r="17" spans="1:2" x14ac:dyDescent="0.25">
      <c r="A17">
        <v>22145</v>
      </c>
      <c r="B17" t="s">
        <v>1251</v>
      </c>
    </row>
    <row r="18" spans="1:2" x14ac:dyDescent="0.25">
      <c r="A18">
        <v>22478</v>
      </c>
      <c r="B18" t="s">
        <v>1252</v>
      </c>
    </row>
    <row r="19" spans="1:2" x14ac:dyDescent="0.25">
      <c r="A19">
        <v>22564</v>
      </c>
      <c r="B19" t="s">
        <v>1253</v>
      </c>
    </row>
    <row r="20" spans="1:2" x14ac:dyDescent="0.25">
      <c r="A20">
        <v>207147</v>
      </c>
      <c r="B20" t="s">
        <v>27</v>
      </c>
    </row>
    <row r="21" spans="1:2" x14ac:dyDescent="0.25">
      <c r="A21">
        <v>207347</v>
      </c>
      <c r="B21" t="s">
        <v>28</v>
      </c>
    </row>
    <row r="22" spans="1:2" x14ac:dyDescent="0.25">
      <c r="A22">
        <v>207462</v>
      </c>
      <c r="B22" t="s">
        <v>29</v>
      </c>
    </row>
    <row r="23" spans="1:2" x14ac:dyDescent="0.25">
      <c r="A23">
        <v>207573</v>
      </c>
      <c r="B23" t="s">
        <v>30</v>
      </c>
    </row>
    <row r="24" spans="1:2" x14ac:dyDescent="0.25">
      <c r="A24">
        <v>207580</v>
      </c>
      <c r="B24" t="s">
        <v>31</v>
      </c>
    </row>
    <row r="25" spans="1:2" x14ac:dyDescent="0.25">
      <c r="A25">
        <v>215323</v>
      </c>
      <c r="B25" t="s">
        <v>895</v>
      </c>
    </row>
    <row r="26" spans="1:2" x14ac:dyDescent="0.25">
      <c r="A26">
        <v>217079</v>
      </c>
      <c r="B26" t="s">
        <v>941</v>
      </c>
    </row>
    <row r="27" spans="1:2" x14ac:dyDescent="0.25">
      <c r="A27">
        <v>242160</v>
      </c>
      <c r="B27" t="s">
        <v>34</v>
      </c>
    </row>
    <row r="28" spans="1:2" x14ac:dyDescent="0.25">
      <c r="A28">
        <v>245770</v>
      </c>
      <c r="B28" t="s">
        <v>984</v>
      </c>
    </row>
    <row r="29" spans="1:2" x14ac:dyDescent="0.25">
      <c r="A29">
        <v>259020</v>
      </c>
      <c r="B29" t="s">
        <v>1022</v>
      </c>
    </row>
    <row r="30" spans="1:2" x14ac:dyDescent="0.25">
      <c r="A30">
        <v>259520</v>
      </c>
      <c r="B30" t="s">
        <v>36</v>
      </c>
    </row>
    <row r="31" spans="1:2" x14ac:dyDescent="0.25">
      <c r="A31">
        <v>261800</v>
      </c>
      <c r="B31" t="s">
        <v>1082</v>
      </c>
    </row>
    <row r="32" spans="1:2" x14ac:dyDescent="0.25">
      <c r="A32">
        <v>267623</v>
      </c>
      <c r="B32" t="s">
        <v>38</v>
      </c>
    </row>
    <row r="33" spans="1:2" x14ac:dyDescent="0.25">
      <c r="A33">
        <v>271828</v>
      </c>
      <c r="B33" t="s">
        <v>39</v>
      </c>
    </row>
    <row r="34" spans="1:2" x14ac:dyDescent="0.25">
      <c r="A34">
        <v>277065</v>
      </c>
      <c r="B34" t="s">
        <v>40</v>
      </c>
    </row>
    <row r="35" spans="1:2" x14ac:dyDescent="0.25">
      <c r="A35">
        <v>277793</v>
      </c>
      <c r="B35" t="s">
        <v>1189</v>
      </c>
    </row>
    <row r="36" spans="1:2" x14ac:dyDescent="0.25">
      <c r="A36">
        <v>283245</v>
      </c>
      <c r="B36" t="s">
        <v>1191</v>
      </c>
    </row>
    <row r="37" spans="1:2" x14ac:dyDescent="0.25">
      <c r="A37">
        <v>284175</v>
      </c>
      <c r="B37" t="s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44</vt:i4>
      </vt:variant>
    </vt:vector>
  </HeadingPairs>
  <TitlesOfParts>
    <vt:vector size="44" baseType="lpstr">
      <vt:lpstr>0432</vt:lpstr>
      <vt:lpstr>90</vt:lpstr>
      <vt:lpstr>3213</vt:lpstr>
      <vt:lpstr>SPIFFS</vt:lpstr>
      <vt:lpstr>NPS Sheet</vt:lpstr>
      <vt:lpstr>Look Up Table</vt:lpstr>
      <vt:lpstr>NPS</vt:lpstr>
      <vt:lpstr>Pay Summary</vt:lpstr>
      <vt:lpstr>JV Posting</vt:lpstr>
      <vt:lpstr>HOUSE EMPLOYEE</vt:lpstr>
      <vt:lpstr>JOHN SINDONI</vt:lpstr>
      <vt:lpstr>HUGO GONZALEZ</vt:lpstr>
      <vt:lpstr>DANIEL GARCIA</vt:lpstr>
      <vt:lpstr>RICARDO PEREZ</vt:lpstr>
      <vt:lpstr>JEAN FREZIN</vt:lpstr>
      <vt:lpstr>FREDDY JUAREZ</vt:lpstr>
      <vt:lpstr>MICHAEL LAZO</vt:lpstr>
      <vt:lpstr>JOVAN MANZANARES</vt:lpstr>
      <vt:lpstr>BRYAN ALTUNAGA</vt:lpstr>
      <vt:lpstr>CARLOS CORNIELES</vt:lpstr>
      <vt:lpstr>RAFAEL FIGUEREDO DE SANTIAGO</vt:lpstr>
      <vt:lpstr>MAXIMILIANO TORIANO</vt:lpstr>
      <vt:lpstr>LUCAS BUCCI ODDO</vt:lpstr>
      <vt:lpstr>SERGIO BETANCOURT</vt:lpstr>
      <vt:lpstr>ARMAND PERRIER</vt:lpstr>
      <vt:lpstr>ADAM PARTRIDGE</vt:lpstr>
      <vt:lpstr>WEBER GUILBAUD</vt:lpstr>
      <vt:lpstr>GONZALO SOSA</vt:lpstr>
      <vt:lpstr>OMAR CRUZ</vt:lpstr>
      <vt:lpstr>PATRICK MCCLOSKEY</vt:lpstr>
      <vt:lpstr>MANUEL GINORI</vt:lpstr>
      <vt:lpstr>ALEX PALACIOS</vt:lpstr>
      <vt:lpstr>FRANCISCO LLANO</vt:lpstr>
      <vt:lpstr>FRANCESCO DIAZ</vt:lpstr>
      <vt:lpstr>ROBERT HUNTER</vt:lpstr>
      <vt:lpstr>NIMA ZARE</vt:lpstr>
      <vt:lpstr>FRANK GARCIA ECHEMENDIA</vt:lpstr>
      <vt:lpstr>CHRISTOPHER MANNING</vt:lpstr>
      <vt:lpstr>PEDRO CANAS</vt:lpstr>
      <vt:lpstr>JORGE SUAREZ</vt:lpstr>
      <vt:lpstr>JAIME WEVER</vt:lpstr>
      <vt:lpstr>MARLON BOSCH</vt:lpstr>
      <vt:lpstr>ALEJANDRO DE LA TERGA</vt:lpstr>
      <vt:lpstr>ANTHONY CERRUELA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Beckwith</dc:creator>
  <cp:lastModifiedBy>Matthew Beckwith</cp:lastModifiedBy>
  <dcterms:created xsi:type="dcterms:W3CDTF">2025-04-14T13:02:54Z</dcterms:created>
  <dcterms:modified xsi:type="dcterms:W3CDTF">2025-04-16T19:44:19Z</dcterms:modified>
</cp:coreProperties>
</file>